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niktverd/Downloads/"/>
    </mc:Choice>
  </mc:AlternateContent>
  <xr:revisionPtr revIDLastSave="0" documentId="8_{5E85BD26-F51D-5F43-9C98-10C2D36189F8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General" sheetId="1" r:id="rId1"/>
    <sheet name="Прямая Модель" sheetId="2" r:id="rId2"/>
    <sheet name="Обратная модель" sheetId="3" r:id="rId3"/>
    <sheet name="Лист3" sheetId="4" r:id="rId4"/>
    <sheet name="Лист4" sheetId="5" r:id="rId5"/>
    <sheet name="General (копия)" sheetId="6" r:id="rId6"/>
    <sheet name="100-200" sheetId="7" r:id="rId7"/>
    <sheet name="1000" sheetId="8" r:id="rId8"/>
  </sheets>
  <definedNames>
    <definedName name="_xlnm._FilterDatabase" localSheetId="6" hidden="1">'100-200'!$A$4:$V$465</definedName>
    <definedName name="_xlnm._FilterDatabase" localSheetId="7" hidden="1">'1000'!$A$4:$V$49</definedName>
    <definedName name="_xlnm._FilterDatabase" localSheetId="0" hidden="1">General!$A$1:$D$1352</definedName>
    <definedName name="_xlnm._FilterDatabase" localSheetId="5" hidden="1">'General (копия)'!$A$4:$V$1355</definedName>
    <definedName name="_xlnm._FilterDatabase" localSheetId="2" hidden="1">'Обратная модель'!$A$4:$S$24</definedName>
    <definedName name="_xlnm._FilterDatabase" localSheetId="1" hidden="1">'Прямая Модель'!$A$4:$V$1355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183q2HD4wrQdgvUs+RcJEGxU58Q=="/>
    </ext>
  </extLst>
</workbook>
</file>

<file path=xl/calcChain.xml><?xml version="1.0" encoding="utf-8"?>
<calcChain xmlns="http://schemas.openxmlformats.org/spreadsheetml/2006/main">
  <c r="U49" i="8" l="1"/>
  <c r="T49" i="8"/>
  <c r="Q49" i="8"/>
  <c r="P49" i="8"/>
  <c r="O49" i="8"/>
  <c r="N49" i="8"/>
  <c r="M49" i="8"/>
  <c r="J49" i="8"/>
  <c r="K49" i="8" s="1"/>
  <c r="L49" i="8" s="1"/>
  <c r="I49" i="8"/>
  <c r="H49" i="8"/>
  <c r="U48" i="8"/>
  <c r="T48" i="8"/>
  <c r="Q48" i="8"/>
  <c r="P48" i="8"/>
  <c r="O48" i="8"/>
  <c r="N48" i="8"/>
  <c r="M48" i="8"/>
  <c r="J48" i="8"/>
  <c r="K48" i="8" s="1"/>
  <c r="L48" i="8" s="1"/>
  <c r="I48" i="8"/>
  <c r="H48" i="8"/>
  <c r="U47" i="8"/>
  <c r="T47" i="8"/>
  <c r="Q47" i="8"/>
  <c r="P47" i="8"/>
  <c r="O47" i="8"/>
  <c r="N47" i="8"/>
  <c r="M47" i="8"/>
  <c r="J47" i="8"/>
  <c r="K47" i="8" s="1"/>
  <c r="L47" i="8" s="1"/>
  <c r="I47" i="8"/>
  <c r="H47" i="8"/>
  <c r="U46" i="8"/>
  <c r="T46" i="8"/>
  <c r="Q46" i="8"/>
  <c r="P46" i="8"/>
  <c r="O46" i="8"/>
  <c r="R46" i="8" s="1"/>
  <c r="N46" i="8"/>
  <c r="M46" i="8"/>
  <c r="J46" i="8"/>
  <c r="K46" i="8" s="1"/>
  <c r="L46" i="8" s="1"/>
  <c r="I46" i="8"/>
  <c r="H46" i="8"/>
  <c r="U45" i="8"/>
  <c r="T45" i="8"/>
  <c r="Q45" i="8"/>
  <c r="P45" i="8"/>
  <c r="O45" i="8"/>
  <c r="R45" i="8" s="1"/>
  <c r="N45" i="8"/>
  <c r="M45" i="8"/>
  <c r="J45" i="8"/>
  <c r="K45" i="8" s="1"/>
  <c r="L45" i="8" s="1"/>
  <c r="I45" i="8"/>
  <c r="H45" i="8"/>
  <c r="U44" i="8"/>
  <c r="T44" i="8"/>
  <c r="Q44" i="8"/>
  <c r="P44" i="8"/>
  <c r="O44" i="8"/>
  <c r="N44" i="8"/>
  <c r="M44" i="8"/>
  <c r="J44" i="8"/>
  <c r="K44" i="8" s="1"/>
  <c r="L44" i="8" s="1"/>
  <c r="I44" i="8"/>
  <c r="H44" i="8"/>
  <c r="U43" i="8"/>
  <c r="T43" i="8"/>
  <c r="Q43" i="8"/>
  <c r="P43" i="8"/>
  <c r="O43" i="8"/>
  <c r="N43" i="8"/>
  <c r="M43" i="8"/>
  <c r="J43" i="8"/>
  <c r="K43" i="8" s="1"/>
  <c r="L43" i="8" s="1"/>
  <c r="I43" i="8"/>
  <c r="H43" i="8"/>
  <c r="U42" i="8"/>
  <c r="T42" i="8"/>
  <c r="Q42" i="8"/>
  <c r="P42" i="8"/>
  <c r="O42" i="8"/>
  <c r="R42" i="8" s="1"/>
  <c r="N42" i="8"/>
  <c r="M42" i="8"/>
  <c r="J42" i="8"/>
  <c r="K42" i="8" s="1"/>
  <c r="L42" i="8" s="1"/>
  <c r="I42" i="8"/>
  <c r="H42" i="8"/>
  <c r="U41" i="8"/>
  <c r="T41" i="8"/>
  <c r="Q41" i="8"/>
  <c r="P41" i="8"/>
  <c r="O41" i="8"/>
  <c r="R41" i="8" s="1"/>
  <c r="N41" i="8"/>
  <c r="M41" i="8"/>
  <c r="J41" i="8"/>
  <c r="K41" i="8" s="1"/>
  <c r="L41" i="8" s="1"/>
  <c r="I41" i="8"/>
  <c r="H41" i="8"/>
  <c r="U40" i="8"/>
  <c r="T40" i="8"/>
  <c r="Q40" i="8"/>
  <c r="P40" i="8"/>
  <c r="O40" i="8"/>
  <c r="N40" i="8"/>
  <c r="M40" i="8"/>
  <c r="J40" i="8"/>
  <c r="K40" i="8" s="1"/>
  <c r="L40" i="8" s="1"/>
  <c r="I40" i="8"/>
  <c r="H40" i="8"/>
  <c r="U39" i="8"/>
  <c r="T39" i="8"/>
  <c r="Q39" i="8"/>
  <c r="P39" i="8"/>
  <c r="O39" i="8"/>
  <c r="N39" i="8"/>
  <c r="M39" i="8"/>
  <c r="J39" i="8"/>
  <c r="K39" i="8" s="1"/>
  <c r="L39" i="8" s="1"/>
  <c r="I39" i="8"/>
  <c r="H39" i="8"/>
  <c r="U38" i="8"/>
  <c r="T38" i="8"/>
  <c r="Q38" i="8"/>
  <c r="P38" i="8"/>
  <c r="O38" i="8"/>
  <c r="N38" i="8"/>
  <c r="M38" i="8"/>
  <c r="J38" i="8"/>
  <c r="K38" i="8" s="1"/>
  <c r="L38" i="8" s="1"/>
  <c r="I38" i="8"/>
  <c r="H38" i="8"/>
  <c r="U37" i="8"/>
  <c r="T37" i="8"/>
  <c r="Q37" i="8"/>
  <c r="P37" i="8"/>
  <c r="O37" i="8"/>
  <c r="R37" i="8" s="1"/>
  <c r="N37" i="8"/>
  <c r="M37" i="8"/>
  <c r="J37" i="8"/>
  <c r="K37" i="8" s="1"/>
  <c r="L37" i="8" s="1"/>
  <c r="I37" i="8"/>
  <c r="H37" i="8"/>
  <c r="U36" i="8"/>
  <c r="T36" i="8"/>
  <c r="Q36" i="8"/>
  <c r="P36" i="8"/>
  <c r="O36" i="8"/>
  <c r="N36" i="8"/>
  <c r="M36" i="8"/>
  <c r="J36" i="8"/>
  <c r="K36" i="8" s="1"/>
  <c r="L36" i="8" s="1"/>
  <c r="I36" i="8"/>
  <c r="H36" i="8"/>
  <c r="U35" i="8"/>
  <c r="T35" i="8"/>
  <c r="Q35" i="8"/>
  <c r="P35" i="8"/>
  <c r="O35" i="8"/>
  <c r="N35" i="8"/>
  <c r="M35" i="8"/>
  <c r="J35" i="8"/>
  <c r="K35" i="8" s="1"/>
  <c r="L35" i="8" s="1"/>
  <c r="I35" i="8"/>
  <c r="H35" i="8"/>
  <c r="U34" i="8"/>
  <c r="T34" i="8"/>
  <c r="Q34" i="8"/>
  <c r="P34" i="8"/>
  <c r="O34" i="8"/>
  <c r="N34" i="8"/>
  <c r="M34" i="8"/>
  <c r="J34" i="8"/>
  <c r="K34" i="8" s="1"/>
  <c r="L34" i="8" s="1"/>
  <c r="I34" i="8"/>
  <c r="H34" i="8"/>
  <c r="U33" i="8"/>
  <c r="T33" i="8"/>
  <c r="Q33" i="8"/>
  <c r="P33" i="8"/>
  <c r="O33" i="8"/>
  <c r="N33" i="8"/>
  <c r="M33" i="8"/>
  <c r="J33" i="8"/>
  <c r="K33" i="8" s="1"/>
  <c r="L33" i="8" s="1"/>
  <c r="I33" i="8"/>
  <c r="H33" i="8"/>
  <c r="U32" i="8"/>
  <c r="T32" i="8"/>
  <c r="Q32" i="8"/>
  <c r="P32" i="8"/>
  <c r="O32" i="8"/>
  <c r="N32" i="8"/>
  <c r="M32" i="8"/>
  <c r="J32" i="8"/>
  <c r="K32" i="8" s="1"/>
  <c r="L32" i="8" s="1"/>
  <c r="I32" i="8"/>
  <c r="H32" i="8"/>
  <c r="U31" i="8"/>
  <c r="T31" i="8"/>
  <c r="Q31" i="8"/>
  <c r="P31" i="8"/>
  <c r="O31" i="8"/>
  <c r="N31" i="8"/>
  <c r="M31" i="8"/>
  <c r="J31" i="8"/>
  <c r="K31" i="8" s="1"/>
  <c r="L31" i="8" s="1"/>
  <c r="I31" i="8"/>
  <c r="H31" i="8"/>
  <c r="U30" i="8"/>
  <c r="T30" i="8"/>
  <c r="Q30" i="8"/>
  <c r="P30" i="8"/>
  <c r="O30" i="8"/>
  <c r="N30" i="8"/>
  <c r="M30" i="8"/>
  <c r="J30" i="8"/>
  <c r="K30" i="8" s="1"/>
  <c r="L30" i="8" s="1"/>
  <c r="I30" i="8"/>
  <c r="H30" i="8"/>
  <c r="U29" i="8"/>
  <c r="T29" i="8"/>
  <c r="Q29" i="8"/>
  <c r="P29" i="8"/>
  <c r="O29" i="8"/>
  <c r="R29" i="8" s="1"/>
  <c r="N29" i="8"/>
  <c r="M29" i="8"/>
  <c r="J29" i="8"/>
  <c r="K29" i="8" s="1"/>
  <c r="L29" i="8" s="1"/>
  <c r="I29" i="8"/>
  <c r="H29" i="8"/>
  <c r="U28" i="8"/>
  <c r="T28" i="8"/>
  <c r="Q28" i="8"/>
  <c r="P28" i="8"/>
  <c r="O28" i="8"/>
  <c r="N28" i="8"/>
  <c r="M28" i="8"/>
  <c r="J28" i="8"/>
  <c r="K28" i="8" s="1"/>
  <c r="L28" i="8" s="1"/>
  <c r="I28" i="8"/>
  <c r="H28" i="8"/>
  <c r="U27" i="8"/>
  <c r="T27" i="8"/>
  <c r="Q27" i="8"/>
  <c r="P27" i="8"/>
  <c r="O27" i="8"/>
  <c r="N27" i="8"/>
  <c r="M27" i="8"/>
  <c r="J27" i="8"/>
  <c r="K27" i="8" s="1"/>
  <c r="L27" i="8" s="1"/>
  <c r="I27" i="8"/>
  <c r="H27" i="8"/>
  <c r="U26" i="8"/>
  <c r="T26" i="8"/>
  <c r="Q26" i="8"/>
  <c r="P26" i="8"/>
  <c r="O26" i="8"/>
  <c r="R26" i="8" s="1"/>
  <c r="N26" i="8"/>
  <c r="M26" i="8"/>
  <c r="J26" i="8"/>
  <c r="K26" i="8" s="1"/>
  <c r="L26" i="8" s="1"/>
  <c r="I26" i="8"/>
  <c r="H26" i="8"/>
  <c r="U25" i="8"/>
  <c r="T25" i="8"/>
  <c r="Q25" i="8"/>
  <c r="P25" i="8"/>
  <c r="O25" i="8"/>
  <c r="R25" i="8" s="1"/>
  <c r="N25" i="8"/>
  <c r="M25" i="8"/>
  <c r="J25" i="8"/>
  <c r="K25" i="8" s="1"/>
  <c r="L25" i="8" s="1"/>
  <c r="I25" i="8"/>
  <c r="H25" i="8"/>
  <c r="U24" i="8"/>
  <c r="T24" i="8"/>
  <c r="Q24" i="8"/>
  <c r="P24" i="8"/>
  <c r="O24" i="8"/>
  <c r="R24" i="8" s="1"/>
  <c r="N24" i="8"/>
  <c r="M24" i="8"/>
  <c r="J24" i="8"/>
  <c r="K24" i="8" s="1"/>
  <c r="L24" i="8" s="1"/>
  <c r="I24" i="8"/>
  <c r="H24" i="8"/>
  <c r="U23" i="8"/>
  <c r="T23" i="8"/>
  <c r="Q23" i="8"/>
  <c r="P23" i="8"/>
  <c r="O23" i="8"/>
  <c r="N23" i="8"/>
  <c r="M23" i="8"/>
  <c r="J23" i="8"/>
  <c r="K23" i="8" s="1"/>
  <c r="L23" i="8" s="1"/>
  <c r="I23" i="8"/>
  <c r="H23" i="8"/>
  <c r="U22" i="8"/>
  <c r="T22" i="8"/>
  <c r="Q22" i="8"/>
  <c r="P22" i="8"/>
  <c r="O22" i="8"/>
  <c r="R22" i="8" s="1"/>
  <c r="N22" i="8"/>
  <c r="M22" i="8"/>
  <c r="J22" i="8"/>
  <c r="K22" i="8" s="1"/>
  <c r="L22" i="8" s="1"/>
  <c r="I22" i="8"/>
  <c r="H22" i="8"/>
  <c r="U21" i="8"/>
  <c r="T21" i="8"/>
  <c r="Q21" i="8"/>
  <c r="P21" i="8"/>
  <c r="O21" i="8"/>
  <c r="N21" i="8"/>
  <c r="M21" i="8"/>
  <c r="J21" i="8"/>
  <c r="K21" i="8" s="1"/>
  <c r="L21" i="8" s="1"/>
  <c r="I21" i="8"/>
  <c r="H21" i="8"/>
  <c r="U20" i="8"/>
  <c r="T20" i="8"/>
  <c r="Q20" i="8"/>
  <c r="P20" i="8"/>
  <c r="O20" i="8"/>
  <c r="R20" i="8" s="1"/>
  <c r="N20" i="8"/>
  <c r="M20" i="8"/>
  <c r="J20" i="8"/>
  <c r="K20" i="8" s="1"/>
  <c r="L20" i="8" s="1"/>
  <c r="I20" i="8"/>
  <c r="H20" i="8"/>
  <c r="U19" i="8"/>
  <c r="T19" i="8"/>
  <c r="Q19" i="8"/>
  <c r="P19" i="8"/>
  <c r="O19" i="8"/>
  <c r="N19" i="8"/>
  <c r="M19" i="8"/>
  <c r="J19" i="8"/>
  <c r="K19" i="8" s="1"/>
  <c r="L19" i="8" s="1"/>
  <c r="I19" i="8"/>
  <c r="H19" i="8"/>
  <c r="U18" i="8"/>
  <c r="T18" i="8"/>
  <c r="Q18" i="8"/>
  <c r="P18" i="8"/>
  <c r="O18" i="8"/>
  <c r="N18" i="8"/>
  <c r="M18" i="8"/>
  <c r="J18" i="8"/>
  <c r="K18" i="8" s="1"/>
  <c r="L18" i="8" s="1"/>
  <c r="I18" i="8"/>
  <c r="H18" i="8"/>
  <c r="U17" i="8"/>
  <c r="T17" i="8"/>
  <c r="Q17" i="8"/>
  <c r="P17" i="8"/>
  <c r="O17" i="8"/>
  <c r="N17" i="8"/>
  <c r="M17" i="8"/>
  <c r="J17" i="8"/>
  <c r="K17" i="8" s="1"/>
  <c r="L17" i="8" s="1"/>
  <c r="I17" i="8"/>
  <c r="H17" i="8"/>
  <c r="U16" i="8"/>
  <c r="T16" i="8"/>
  <c r="Q16" i="8"/>
  <c r="P16" i="8"/>
  <c r="O16" i="8"/>
  <c r="R16" i="8" s="1"/>
  <c r="N16" i="8"/>
  <c r="M16" i="8"/>
  <c r="J16" i="8"/>
  <c r="K16" i="8" s="1"/>
  <c r="L16" i="8" s="1"/>
  <c r="I16" i="8"/>
  <c r="H16" i="8"/>
  <c r="U15" i="8"/>
  <c r="T15" i="8"/>
  <c r="Q15" i="8"/>
  <c r="P15" i="8"/>
  <c r="O15" i="8"/>
  <c r="N15" i="8"/>
  <c r="M15" i="8"/>
  <c r="J15" i="8"/>
  <c r="K15" i="8" s="1"/>
  <c r="L15" i="8" s="1"/>
  <c r="I15" i="8"/>
  <c r="H15" i="8"/>
  <c r="U14" i="8"/>
  <c r="T14" i="8"/>
  <c r="Q14" i="8"/>
  <c r="P14" i="8"/>
  <c r="O14" i="8"/>
  <c r="N14" i="8"/>
  <c r="M14" i="8"/>
  <c r="J14" i="8"/>
  <c r="K14" i="8" s="1"/>
  <c r="L14" i="8" s="1"/>
  <c r="I14" i="8"/>
  <c r="H14" i="8"/>
  <c r="U13" i="8"/>
  <c r="T13" i="8"/>
  <c r="Q13" i="8"/>
  <c r="P13" i="8"/>
  <c r="O13" i="8"/>
  <c r="R13" i="8" s="1"/>
  <c r="N13" i="8"/>
  <c r="M13" i="8"/>
  <c r="J13" i="8"/>
  <c r="K13" i="8" s="1"/>
  <c r="L13" i="8" s="1"/>
  <c r="I13" i="8"/>
  <c r="H13" i="8"/>
  <c r="U12" i="8"/>
  <c r="T12" i="8"/>
  <c r="Q12" i="8"/>
  <c r="P12" i="8"/>
  <c r="O12" i="8"/>
  <c r="R12" i="8" s="1"/>
  <c r="N12" i="8"/>
  <c r="M12" i="8"/>
  <c r="J12" i="8"/>
  <c r="K12" i="8" s="1"/>
  <c r="L12" i="8" s="1"/>
  <c r="I12" i="8"/>
  <c r="H12" i="8"/>
  <c r="U11" i="8"/>
  <c r="T11" i="8"/>
  <c r="Q11" i="8"/>
  <c r="P11" i="8"/>
  <c r="O11" i="8"/>
  <c r="N11" i="8"/>
  <c r="M11" i="8"/>
  <c r="J11" i="8"/>
  <c r="K11" i="8" s="1"/>
  <c r="L11" i="8" s="1"/>
  <c r="I11" i="8"/>
  <c r="H11" i="8"/>
  <c r="U10" i="8"/>
  <c r="T10" i="8"/>
  <c r="Q10" i="8"/>
  <c r="P10" i="8"/>
  <c r="O10" i="8"/>
  <c r="N10" i="8"/>
  <c r="M10" i="8"/>
  <c r="J10" i="8"/>
  <c r="K10" i="8" s="1"/>
  <c r="L10" i="8" s="1"/>
  <c r="I10" i="8"/>
  <c r="H10" i="8"/>
  <c r="U9" i="8"/>
  <c r="T9" i="8"/>
  <c r="Q9" i="8"/>
  <c r="P9" i="8"/>
  <c r="O9" i="8"/>
  <c r="R9" i="8" s="1"/>
  <c r="N9" i="8"/>
  <c r="M9" i="8"/>
  <c r="J9" i="8"/>
  <c r="K9" i="8" s="1"/>
  <c r="L9" i="8" s="1"/>
  <c r="I9" i="8"/>
  <c r="H9" i="8"/>
  <c r="U8" i="8"/>
  <c r="T8" i="8"/>
  <c r="Q8" i="8"/>
  <c r="P8" i="8"/>
  <c r="O8" i="8"/>
  <c r="R8" i="8" s="1"/>
  <c r="N8" i="8"/>
  <c r="M8" i="8"/>
  <c r="J8" i="8"/>
  <c r="K8" i="8" s="1"/>
  <c r="L8" i="8" s="1"/>
  <c r="I8" i="8"/>
  <c r="H8" i="8"/>
  <c r="U7" i="8"/>
  <c r="T7" i="8"/>
  <c r="Q7" i="8"/>
  <c r="P7" i="8"/>
  <c r="O7" i="8"/>
  <c r="N7" i="8"/>
  <c r="M7" i="8"/>
  <c r="J7" i="8"/>
  <c r="K7" i="8" s="1"/>
  <c r="L7" i="8" s="1"/>
  <c r="I7" i="8"/>
  <c r="H7" i="8"/>
  <c r="U6" i="8"/>
  <c r="T6" i="8"/>
  <c r="Q6" i="8"/>
  <c r="P6" i="8"/>
  <c r="O6" i="8"/>
  <c r="R6" i="8" s="1"/>
  <c r="N6" i="8"/>
  <c r="M6" i="8"/>
  <c r="J6" i="8"/>
  <c r="K6" i="8" s="1"/>
  <c r="L6" i="8" s="1"/>
  <c r="I6" i="8"/>
  <c r="H6" i="8"/>
  <c r="U5" i="8"/>
  <c r="T5" i="8"/>
  <c r="Q5" i="8"/>
  <c r="P5" i="8"/>
  <c r="O5" i="8"/>
  <c r="N5" i="8"/>
  <c r="M5" i="8"/>
  <c r="J5" i="8"/>
  <c r="K5" i="8" s="1"/>
  <c r="L5" i="8" s="1"/>
  <c r="I5" i="8"/>
  <c r="H5" i="8"/>
  <c r="U465" i="7"/>
  <c r="T465" i="7"/>
  <c r="Q465" i="7"/>
  <c r="P465" i="7"/>
  <c r="O465" i="7"/>
  <c r="N465" i="7"/>
  <c r="M465" i="7"/>
  <c r="J465" i="7"/>
  <c r="K465" i="7" s="1"/>
  <c r="L465" i="7" s="1"/>
  <c r="I465" i="7"/>
  <c r="H465" i="7"/>
  <c r="U464" i="7"/>
  <c r="T464" i="7"/>
  <c r="Q464" i="7"/>
  <c r="P464" i="7"/>
  <c r="O464" i="7"/>
  <c r="N464" i="7"/>
  <c r="M464" i="7"/>
  <c r="J464" i="7"/>
  <c r="K464" i="7" s="1"/>
  <c r="L464" i="7" s="1"/>
  <c r="I464" i="7"/>
  <c r="H464" i="7"/>
  <c r="U463" i="7"/>
  <c r="T463" i="7"/>
  <c r="Q463" i="7"/>
  <c r="P463" i="7"/>
  <c r="O463" i="7"/>
  <c r="N463" i="7"/>
  <c r="M463" i="7"/>
  <c r="J463" i="7"/>
  <c r="K463" i="7" s="1"/>
  <c r="L463" i="7" s="1"/>
  <c r="I463" i="7"/>
  <c r="H463" i="7"/>
  <c r="U462" i="7"/>
  <c r="T462" i="7"/>
  <c r="Q462" i="7"/>
  <c r="P462" i="7"/>
  <c r="O462" i="7"/>
  <c r="N462" i="7"/>
  <c r="M462" i="7"/>
  <c r="J462" i="7"/>
  <c r="K462" i="7" s="1"/>
  <c r="L462" i="7" s="1"/>
  <c r="I462" i="7"/>
  <c r="H462" i="7"/>
  <c r="U461" i="7"/>
  <c r="T461" i="7"/>
  <c r="Q461" i="7"/>
  <c r="P461" i="7"/>
  <c r="O461" i="7"/>
  <c r="R461" i="7" s="1"/>
  <c r="N461" i="7"/>
  <c r="M461" i="7"/>
  <c r="J461" i="7"/>
  <c r="K461" i="7" s="1"/>
  <c r="L461" i="7" s="1"/>
  <c r="I461" i="7"/>
  <c r="H461" i="7"/>
  <c r="U460" i="7"/>
  <c r="T460" i="7"/>
  <c r="Q460" i="7"/>
  <c r="P460" i="7"/>
  <c r="O460" i="7"/>
  <c r="N460" i="7"/>
  <c r="M460" i="7"/>
  <c r="J460" i="7"/>
  <c r="K460" i="7" s="1"/>
  <c r="L460" i="7" s="1"/>
  <c r="I460" i="7"/>
  <c r="H460" i="7"/>
  <c r="U459" i="7"/>
  <c r="T459" i="7"/>
  <c r="Q459" i="7"/>
  <c r="P459" i="7"/>
  <c r="O459" i="7"/>
  <c r="N459" i="7"/>
  <c r="M459" i="7"/>
  <c r="J459" i="7"/>
  <c r="K459" i="7" s="1"/>
  <c r="L459" i="7" s="1"/>
  <c r="I459" i="7"/>
  <c r="H459" i="7"/>
  <c r="U458" i="7"/>
  <c r="T458" i="7"/>
  <c r="Q458" i="7"/>
  <c r="P458" i="7"/>
  <c r="O458" i="7"/>
  <c r="N458" i="7"/>
  <c r="M458" i="7"/>
  <c r="J458" i="7"/>
  <c r="K458" i="7" s="1"/>
  <c r="L458" i="7" s="1"/>
  <c r="I458" i="7"/>
  <c r="H458" i="7"/>
  <c r="U457" i="7"/>
  <c r="T457" i="7"/>
  <c r="Q457" i="7"/>
  <c r="P457" i="7"/>
  <c r="O457" i="7"/>
  <c r="N457" i="7"/>
  <c r="M457" i="7"/>
  <c r="J457" i="7"/>
  <c r="K457" i="7" s="1"/>
  <c r="L457" i="7" s="1"/>
  <c r="I457" i="7"/>
  <c r="H457" i="7"/>
  <c r="U456" i="7"/>
  <c r="T456" i="7"/>
  <c r="Q456" i="7"/>
  <c r="P456" i="7"/>
  <c r="O456" i="7"/>
  <c r="N456" i="7"/>
  <c r="M456" i="7"/>
  <c r="J456" i="7"/>
  <c r="K456" i="7" s="1"/>
  <c r="L456" i="7" s="1"/>
  <c r="I456" i="7"/>
  <c r="H456" i="7"/>
  <c r="U455" i="7"/>
  <c r="T455" i="7"/>
  <c r="Q455" i="7"/>
  <c r="P455" i="7"/>
  <c r="O455" i="7"/>
  <c r="N455" i="7"/>
  <c r="M455" i="7"/>
  <c r="J455" i="7"/>
  <c r="K455" i="7" s="1"/>
  <c r="L455" i="7" s="1"/>
  <c r="I455" i="7"/>
  <c r="H455" i="7"/>
  <c r="U454" i="7"/>
  <c r="T454" i="7"/>
  <c r="Q454" i="7"/>
  <c r="P454" i="7"/>
  <c r="O454" i="7"/>
  <c r="R454" i="7" s="1"/>
  <c r="N454" i="7"/>
  <c r="M454" i="7"/>
  <c r="J454" i="7"/>
  <c r="K454" i="7" s="1"/>
  <c r="L454" i="7" s="1"/>
  <c r="I454" i="7"/>
  <c r="H454" i="7"/>
  <c r="U453" i="7"/>
  <c r="T453" i="7"/>
  <c r="Q453" i="7"/>
  <c r="P453" i="7"/>
  <c r="O453" i="7"/>
  <c r="R453" i="7" s="1"/>
  <c r="N453" i="7"/>
  <c r="M453" i="7"/>
  <c r="J453" i="7"/>
  <c r="K453" i="7" s="1"/>
  <c r="L453" i="7" s="1"/>
  <c r="I453" i="7"/>
  <c r="H453" i="7"/>
  <c r="U452" i="7"/>
  <c r="T452" i="7"/>
  <c r="Q452" i="7"/>
  <c r="P452" i="7"/>
  <c r="O452" i="7"/>
  <c r="N452" i="7"/>
  <c r="M452" i="7"/>
  <c r="J452" i="7"/>
  <c r="K452" i="7" s="1"/>
  <c r="L452" i="7" s="1"/>
  <c r="I452" i="7"/>
  <c r="H452" i="7"/>
  <c r="U451" i="7"/>
  <c r="T451" i="7"/>
  <c r="Q451" i="7"/>
  <c r="P451" i="7"/>
  <c r="O451" i="7"/>
  <c r="R451" i="7" s="1"/>
  <c r="N451" i="7"/>
  <c r="M451" i="7"/>
  <c r="J451" i="7"/>
  <c r="K451" i="7" s="1"/>
  <c r="L451" i="7" s="1"/>
  <c r="I451" i="7"/>
  <c r="H451" i="7"/>
  <c r="U450" i="7"/>
  <c r="T450" i="7"/>
  <c r="Q450" i="7"/>
  <c r="P450" i="7"/>
  <c r="O450" i="7"/>
  <c r="N450" i="7"/>
  <c r="M450" i="7"/>
  <c r="J450" i="7"/>
  <c r="K450" i="7" s="1"/>
  <c r="L450" i="7" s="1"/>
  <c r="I450" i="7"/>
  <c r="H450" i="7"/>
  <c r="U449" i="7"/>
  <c r="T449" i="7"/>
  <c r="Q449" i="7"/>
  <c r="P449" i="7"/>
  <c r="O449" i="7"/>
  <c r="R449" i="7" s="1"/>
  <c r="N449" i="7"/>
  <c r="M449" i="7"/>
  <c r="J449" i="7"/>
  <c r="K449" i="7" s="1"/>
  <c r="L449" i="7" s="1"/>
  <c r="I449" i="7"/>
  <c r="H449" i="7"/>
  <c r="U448" i="7"/>
  <c r="T448" i="7"/>
  <c r="Q448" i="7"/>
  <c r="P448" i="7"/>
  <c r="O448" i="7"/>
  <c r="N448" i="7"/>
  <c r="M448" i="7"/>
  <c r="J448" i="7"/>
  <c r="K448" i="7" s="1"/>
  <c r="L448" i="7" s="1"/>
  <c r="I448" i="7"/>
  <c r="H448" i="7"/>
  <c r="U447" i="7"/>
  <c r="T447" i="7"/>
  <c r="V447" i="7" s="1"/>
  <c r="Q447" i="7"/>
  <c r="P447" i="7"/>
  <c r="O447" i="7"/>
  <c r="N447" i="7"/>
  <c r="M447" i="7"/>
  <c r="J447" i="7"/>
  <c r="K447" i="7" s="1"/>
  <c r="L447" i="7" s="1"/>
  <c r="I447" i="7"/>
  <c r="H447" i="7"/>
  <c r="U446" i="7"/>
  <c r="T446" i="7"/>
  <c r="Q446" i="7"/>
  <c r="P446" i="7"/>
  <c r="O446" i="7"/>
  <c r="N446" i="7"/>
  <c r="M446" i="7"/>
  <c r="J446" i="7"/>
  <c r="K446" i="7" s="1"/>
  <c r="L446" i="7" s="1"/>
  <c r="I446" i="7"/>
  <c r="H446" i="7"/>
  <c r="U445" i="7"/>
  <c r="T445" i="7"/>
  <c r="Q445" i="7"/>
  <c r="P445" i="7"/>
  <c r="O445" i="7"/>
  <c r="N445" i="7"/>
  <c r="M445" i="7"/>
  <c r="J445" i="7"/>
  <c r="K445" i="7" s="1"/>
  <c r="L445" i="7" s="1"/>
  <c r="I445" i="7"/>
  <c r="H445" i="7"/>
  <c r="U444" i="7"/>
  <c r="T444" i="7"/>
  <c r="Q444" i="7"/>
  <c r="P444" i="7"/>
  <c r="O444" i="7"/>
  <c r="N444" i="7"/>
  <c r="M444" i="7"/>
  <c r="J444" i="7"/>
  <c r="K444" i="7" s="1"/>
  <c r="L444" i="7" s="1"/>
  <c r="I444" i="7"/>
  <c r="H444" i="7"/>
  <c r="U443" i="7"/>
  <c r="T443" i="7"/>
  <c r="Q443" i="7"/>
  <c r="P443" i="7"/>
  <c r="O443" i="7"/>
  <c r="N443" i="7"/>
  <c r="M443" i="7"/>
  <c r="J443" i="7"/>
  <c r="K443" i="7" s="1"/>
  <c r="L443" i="7" s="1"/>
  <c r="I443" i="7"/>
  <c r="H443" i="7"/>
  <c r="U442" i="7"/>
  <c r="T442" i="7"/>
  <c r="Q442" i="7"/>
  <c r="P442" i="7"/>
  <c r="O442" i="7"/>
  <c r="N442" i="7"/>
  <c r="M442" i="7"/>
  <c r="J442" i="7"/>
  <c r="K442" i="7" s="1"/>
  <c r="L442" i="7" s="1"/>
  <c r="I442" i="7"/>
  <c r="H442" i="7"/>
  <c r="U441" i="7"/>
  <c r="T441" i="7"/>
  <c r="Q441" i="7"/>
  <c r="P441" i="7"/>
  <c r="O441" i="7"/>
  <c r="N441" i="7"/>
  <c r="M441" i="7"/>
  <c r="J441" i="7"/>
  <c r="K441" i="7" s="1"/>
  <c r="L441" i="7" s="1"/>
  <c r="I441" i="7"/>
  <c r="H441" i="7"/>
  <c r="U440" i="7"/>
  <c r="T440" i="7"/>
  <c r="Q440" i="7"/>
  <c r="P440" i="7"/>
  <c r="O440" i="7"/>
  <c r="N440" i="7"/>
  <c r="M440" i="7"/>
  <c r="J440" i="7"/>
  <c r="K440" i="7" s="1"/>
  <c r="L440" i="7" s="1"/>
  <c r="I440" i="7"/>
  <c r="H440" i="7"/>
  <c r="U439" i="7"/>
  <c r="T439" i="7"/>
  <c r="Q439" i="7"/>
  <c r="P439" i="7"/>
  <c r="O439" i="7"/>
  <c r="N439" i="7"/>
  <c r="M439" i="7"/>
  <c r="J439" i="7"/>
  <c r="K439" i="7" s="1"/>
  <c r="L439" i="7" s="1"/>
  <c r="I439" i="7"/>
  <c r="H439" i="7"/>
  <c r="U438" i="7"/>
  <c r="T438" i="7"/>
  <c r="Q438" i="7"/>
  <c r="P438" i="7"/>
  <c r="O438" i="7"/>
  <c r="R438" i="7" s="1"/>
  <c r="N438" i="7"/>
  <c r="M438" i="7"/>
  <c r="J438" i="7"/>
  <c r="K438" i="7" s="1"/>
  <c r="L438" i="7" s="1"/>
  <c r="I438" i="7"/>
  <c r="H438" i="7"/>
  <c r="U437" i="7"/>
  <c r="T437" i="7"/>
  <c r="Q437" i="7"/>
  <c r="P437" i="7"/>
  <c r="O437" i="7"/>
  <c r="R437" i="7" s="1"/>
  <c r="N437" i="7"/>
  <c r="M437" i="7"/>
  <c r="J437" i="7"/>
  <c r="K437" i="7" s="1"/>
  <c r="L437" i="7" s="1"/>
  <c r="I437" i="7"/>
  <c r="H437" i="7"/>
  <c r="U436" i="7"/>
  <c r="T436" i="7"/>
  <c r="Q436" i="7"/>
  <c r="P436" i="7"/>
  <c r="O436" i="7"/>
  <c r="N436" i="7"/>
  <c r="M436" i="7"/>
  <c r="J436" i="7"/>
  <c r="K436" i="7" s="1"/>
  <c r="L436" i="7" s="1"/>
  <c r="I436" i="7"/>
  <c r="H436" i="7"/>
  <c r="U435" i="7"/>
  <c r="T435" i="7"/>
  <c r="Q435" i="7"/>
  <c r="P435" i="7"/>
  <c r="O435" i="7"/>
  <c r="R435" i="7" s="1"/>
  <c r="N435" i="7"/>
  <c r="M435" i="7"/>
  <c r="J435" i="7"/>
  <c r="K435" i="7" s="1"/>
  <c r="L435" i="7" s="1"/>
  <c r="I435" i="7"/>
  <c r="H435" i="7"/>
  <c r="U434" i="7"/>
  <c r="T434" i="7"/>
  <c r="Q434" i="7"/>
  <c r="P434" i="7"/>
  <c r="O434" i="7"/>
  <c r="N434" i="7"/>
  <c r="M434" i="7"/>
  <c r="J434" i="7"/>
  <c r="K434" i="7" s="1"/>
  <c r="L434" i="7" s="1"/>
  <c r="I434" i="7"/>
  <c r="H434" i="7"/>
  <c r="U433" i="7"/>
  <c r="T433" i="7"/>
  <c r="Q433" i="7"/>
  <c r="P433" i="7"/>
  <c r="O433" i="7"/>
  <c r="R433" i="7" s="1"/>
  <c r="N433" i="7"/>
  <c r="M433" i="7"/>
  <c r="J433" i="7"/>
  <c r="K433" i="7" s="1"/>
  <c r="L433" i="7" s="1"/>
  <c r="I433" i="7"/>
  <c r="H433" i="7"/>
  <c r="U432" i="7"/>
  <c r="T432" i="7"/>
  <c r="Q432" i="7"/>
  <c r="P432" i="7"/>
  <c r="O432" i="7"/>
  <c r="N432" i="7"/>
  <c r="M432" i="7"/>
  <c r="J432" i="7"/>
  <c r="K432" i="7" s="1"/>
  <c r="L432" i="7" s="1"/>
  <c r="I432" i="7"/>
  <c r="H432" i="7"/>
  <c r="U431" i="7"/>
  <c r="T431" i="7"/>
  <c r="Q431" i="7"/>
  <c r="P431" i="7"/>
  <c r="O431" i="7"/>
  <c r="N431" i="7"/>
  <c r="M431" i="7"/>
  <c r="J431" i="7"/>
  <c r="K431" i="7" s="1"/>
  <c r="L431" i="7" s="1"/>
  <c r="I431" i="7"/>
  <c r="H431" i="7"/>
  <c r="U430" i="7"/>
  <c r="T430" i="7"/>
  <c r="Q430" i="7"/>
  <c r="P430" i="7"/>
  <c r="O430" i="7"/>
  <c r="N430" i="7"/>
  <c r="M430" i="7"/>
  <c r="J430" i="7"/>
  <c r="K430" i="7" s="1"/>
  <c r="L430" i="7" s="1"/>
  <c r="I430" i="7"/>
  <c r="H430" i="7"/>
  <c r="U429" i="7"/>
  <c r="T429" i="7"/>
  <c r="Q429" i="7"/>
  <c r="P429" i="7"/>
  <c r="O429" i="7"/>
  <c r="R429" i="7" s="1"/>
  <c r="N429" i="7"/>
  <c r="M429" i="7"/>
  <c r="J429" i="7"/>
  <c r="K429" i="7" s="1"/>
  <c r="L429" i="7" s="1"/>
  <c r="I429" i="7"/>
  <c r="H429" i="7"/>
  <c r="U428" i="7"/>
  <c r="T428" i="7"/>
  <c r="Q428" i="7"/>
  <c r="P428" i="7"/>
  <c r="O428" i="7"/>
  <c r="N428" i="7"/>
  <c r="M428" i="7"/>
  <c r="J428" i="7"/>
  <c r="K428" i="7" s="1"/>
  <c r="L428" i="7" s="1"/>
  <c r="I428" i="7"/>
  <c r="H428" i="7"/>
  <c r="U427" i="7"/>
  <c r="T427" i="7"/>
  <c r="Q427" i="7"/>
  <c r="P427" i="7"/>
  <c r="O427" i="7"/>
  <c r="N427" i="7"/>
  <c r="M427" i="7"/>
  <c r="J427" i="7"/>
  <c r="K427" i="7" s="1"/>
  <c r="L427" i="7" s="1"/>
  <c r="I427" i="7"/>
  <c r="H427" i="7"/>
  <c r="U426" i="7"/>
  <c r="T426" i="7"/>
  <c r="Q426" i="7"/>
  <c r="P426" i="7"/>
  <c r="O426" i="7"/>
  <c r="N426" i="7"/>
  <c r="M426" i="7"/>
  <c r="J426" i="7"/>
  <c r="K426" i="7" s="1"/>
  <c r="L426" i="7" s="1"/>
  <c r="I426" i="7"/>
  <c r="H426" i="7"/>
  <c r="U425" i="7"/>
  <c r="T425" i="7"/>
  <c r="Q425" i="7"/>
  <c r="P425" i="7"/>
  <c r="O425" i="7"/>
  <c r="R425" i="7" s="1"/>
  <c r="N425" i="7"/>
  <c r="M425" i="7"/>
  <c r="J425" i="7"/>
  <c r="K425" i="7" s="1"/>
  <c r="L425" i="7" s="1"/>
  <c r="I425" i="7"/>
  <c r="H425" i="7"/>
  <c r="U424" i="7"/>
  <c r="T424" i="7"/>
  <c r="Q424" i="7"/>
  <c r="P424" i="7"/>
  <c r="O424" i="7"/>
  <c r="N424" i="7"/>
  <c r="M424" i="7"/>
  <c r="J424" i="7"/>
  <c r="K424" i="7" s="1"/>
  <c r="L424" i="7" s="1"/>
  <c r="I424" i="7"/>
  <c r="H424" i="7"/>
  <c r="U423" i="7"/>
  <c r="T423" i="7"/>
  <c r="Q423" i="7"/>
  <c r="P423" i="7"/>
  <c r="O423" i="7"/>
  <c r="N423" i="7"/>
  <c r="M423" i="7"/>
  <c r="J423" i="7"/>
  <c r="K423" i="7" s="1"/>
  <c r="L423" i="7" s="1"/>
  <c r="I423" i="7"/>
  <c r="H423" i="7"/>
  <c r="U422" i="7"/>
  <c r="T422" i="7"/>
  <c r="Q422" i="7"/>
  <c r="P422" i="7"/>
  <c r="O422" i="7"/>
  <c r="R422" i="7" s="1"/>
  <c r="N422" i="7"/>
  <c r="M422" i="7"/>
  <c r="J422" i="7"/>
  <c r="K422" i="7" s="1"/>
  <c r="L422" i="7" s="1"/>
  <c r="I422" i="7"/>
  <c r="H422" i="7"/>
  <c r="U421" i="7"/>
  <c r="T421" i="7"/>
  <c r="Q421" i="7"/>
  <c r="P421" i="7"/>
  <c r="O421" i="7"/>
  <c r="R421" i="7" s="1"/>
  <c r="N421" i="7"/>
  <c r="M421" i="7"/>
  <c r="J421" i="7"/>
  <c r="K421" i="7" s="1"/>
  <c r="L421" i="7" s="1"/>
  <c r="I421" i="7"/>
  <c r="H421" i="7"/>
  <c r="U420" i="7"/>
  <c r="T420" i="7"/>
  <c r="Q420" i="7"/>
  <c r="P420" i="7"/>
  <c r="O420" i="7"/>
  <c r="N420" i="7"/>
  <c r="M420" i="7"/>
  <c r="J420" i="7"/>
  <c r="K420" i="7" s="1"/>
  <c r="L420" i="7" s="1"/>
  <c r="I420" i="7"/>
  <c r="H420" i="7"/>
  <c r="U419" i="7"/>
  <c r="T419" i="7"/>
  <c r="Q419" i="7"/>
  <c r="P419" i="7"/>
  <c r="O419" i="7"/>
  <c r="R419" i="7" s="1"/>
  <c r="N419" i="7"/>
  <c r="M419" i="7"/>
  <c r="J419" i="7"/>
  <c r="K419" i="7" s="1"/>
  <c r="L419" i="7" s="1"/>
  <c r="I419" i="7"/>
  <c r="H419" i="7"/>
  <c r="U418" i="7"/>
  <c r="T418" i="7"/>
  <c r="Q418" i="7"/>
  <c r="P418" i="7"/>
  <c r="O418" i="7"/>
  <c r="N418" i="7"/>
  <c r="M418" i="7"/>
  <c r="J418" i="7"/>
  <c r="K418" i="7" s="1"/>
  <c r="L418" i="7" s="1"/>
  <c r="I418" i="7"/>
  <c r="H418" i="7"/>
  <c r="U417" i="7"/>
  <c r="T417" i="7"/>
  <c r="Q417" i="7"/>
  <c r="P417" i="7"/>
  <c r="O417" i="7"/>
  <c r="R417" i="7" s="1"/>
  <c r="N417" i="7"/>
  <c r="M417" i="7"/>
  <c r="J417" i="7"/>
  <c r="K417" i="7" s="1"/>
  <c r="L417" i="7" s="1"/>
  <c r="I417" i="7"/>
  <c r="H417" i="7"/>
  <c r="U416" i="7"/>
  <c r="T416" i="7"/>
  <c r="Q416" i="7"/>
  <c r="P416" i="7"/>
  <c r="O416" i="7"/>
  <c r="N416" i="7"/>
  <c r="M416" i="7"/>
  <c r="J416" i="7"/>
  <c r="K416" i="7" s="1"/>
  <c r="L416" i="7" s="1"/>
  <c r="I416" i="7"/>
  <c r="H416" i="7"/>
  <c r="U415" i="7"/>
  <c r="T415" i="7"/>
  <c r="Q415" i="7"/>
  <c r="P415" i="7"/>
  <c r="O415" i="7"/>
  <c r="N415" i="7"/>
  <c r="M415" i="7"/>
  <c r="J415" i="7"/>
  <c r="K415" i="7" s="1"/>
  <c r="L415" i="7" s="1"/>
  <c r="I415" i="7"/>
  <c r="H415" i="7"/>
  <c r="U414" i="7"/>
  <c r="T414" i="7"/>
  <c r="V414" i="7" s="1"/>
  <c r="Q414" i="7"/>
  <c r="P414" i="7"/>
  <c r="O414" i="7"/>
  <c r="N414" i="7"/>
  <c r="M414" i="7"/>
  <c r="J414" i="7"/>
  <c r="K414" i="7" s="1"/>
  <c r="L414" i="7" s="1"/>
  <c r="I414" i="7"/>
  <c r="H414" i="7"/>
  <c r="U413" i="7"/>
  <c r="T413" i="7"/>
  <c r="Q413" i="7"/>
  <c r="P413" i="7"/>
  <c r="O413" i="7"/>
  <c r="R413" i="7" s="1"/>
  <c r="N413" i="7"/>
  <c r="M413" i="7"/>
  <c r="J413" i="7"/>
  <c r="K413" i="7" s="1"/>
  <c r="L413" i="7" s="1"/>
  <c r="I413" i="7"/>
  <c r="H413" i="7"/>
  <c r="U412" i="7"/>
  <c r="T412" i="7"/>
  <c r="Q412" i="7"/>
  <c r="P412" i="7"/>
  <c r="O412" i="7"/>
  <c r="N412" i="7"/>
  <c r="M412" i="7"/>
  <c r="J412" i="7"/>
  <c r="K412" i="7" s="1"/>
  <c r="L412" i="7" s="1"/>
  <c r="I412" i="7"/>
  <c r="H412" i="7"/>
  <c r="U411" i="7"/>
  <c r="T411" i="7"/>
  <c r="Q411" i="7"/>
  <c r="P411" i="7"/>
  <c r="O411" i="7"/>
  <c r="N411" i="7"/>
  <c r="M411" i="7"/>
  <c r="J411" i="7"/>
  <c r="K411" i="7" s="1"/>
  <c r="L411" i="7" s="1"/>
  <c r="I411" i="7"/>
  <c r="H411" i="7"/>
  <c r="U410" i="7"/>
  <c r="T410" i="7"/>
  <c r="Q410" i="7"/>
  <c r="P410" i="7"/>
  <c r="O410" i="7"/>
  <c r="N410" i="7"/>
  <c r="M410" i="7"/>
  <c r="J410" i="7"/>
  <c r="K410" i="7" s="1"/>
  <c r="L410" i="7" s="1"/>
  <c r="I410" i="7"/>
  <c r="H410" i="7"/>
  <c r="U409" i="7"/>
  <c r="T409" i="7"/>
  <c r="Q409" i="7"/>
  <c r="P409" i="7"/>
  <c r="O409" i="7"/>
  <c r="R409" i="7" s="1"/>
  <c r="N409" i="7"/>
  <c r="M409" i="7"/>
  <c r="J409" i="7"/>
  <c r="K409" i="7" s="1"/>
  <c r="L409" i="7" s="1"/>
  <c r="I409" i="7"/>
  <c r="H409" i="7"/>
  <c r="U408" i="7"/>
  <c r="T408" i="7"/>
  <c r="Q408" i="7"/>
  <c r="P408" i="7"/>
  <c r="O408" i="7"/>
  <c r="N408" i="7"/>
  <c r="M408" i="7"/>
  <c r="J408" i="7"/>
  <c r="K408" i="7" s="1"/>
  <c r="L408" i="7" s="1"/>
  <c r="I408" i="7"/>
  <c r="H408" i="7"/>
  <c r="U407" i="7"/>
  <c r="T407" i="7"/>
  <c r="Q407" i="7"/>
  <c r="P407" i="7"/>
  <c r="O407" i="7"/>
  <c r="N407" i="7"/>
  <c r="M407" i="7"/>
  <c r="J407" i="7"/>
  <c r="K407" i="7" s="1"/>
  <c r="L407" i="7" s="1"/>
  <c r="I407" i="7"/>
  <c r="H407" i="7"/>
  <c r="U406" i="7"/>
  <c r="T406" i="7"/>
  <c r="Q406" i="7"/>
  <c r="P406" i="7"/>
  <c r="O406" i="7"/>
  <c r="R406" i="7" s="1"/>
  <c r="N406" i="7"/>
  <c r="M406" i="7"/>
  <c r="J406" i="7"/>
  <c r="K406" i="7" s="1"/>
  <c r="L406" i="7" s="1"/>
  <c r="I406" i="7"/>
  <c r="H406" i="7"/>
  <c r="U405" i="7"/>
  <c r="T405" i="7"/>
  <c r="Q405" i="7"/>
  <c r="P405" i="7"/>
  <c r="O405" i="7"/>
  <c r="R405" i="7" s="1"/>
  <c r="N405" i="7"/>
  <c r="M405" i="7"/>
  <c r="J405" i="7"/>
  <c r="K405" i="7" s="1"/>
  <c r="L405" i="7" s="1"/>
  <c r="I405" i="7"/>
  <c r="H405" i="7"/>
  <c r="U404" i="7"/>
  <c r="T404" i="7"/>
  <c r="Q404" i="7"/>
  <c r="P404" i="7"/>
  <c r="O404" i="7"/>
  <c r="N404" i="7"/>
  <c r="M404" i="7"/>
  <c r="J404" i="7"/>
  <c r="K404" i="7" s="1"/>
  <c r="L404" i="7" s="1"/>
  <c r="I404" i="7"/>
  <c r="H404" i="7"/>
  <c r="U403" i="7"/>
  <c r="T403" i="7"/>
  <c r="Q403" i="7"/>
  <c r="P403" i="7"/>
  <c r="O403" i="7"/>
  <c r="N403" i="7"/>
  <c r="M403" i="7"/>
  <c r="J403" i="7"/>
  <c r="K403" i="7" s="1"/>
  <c r="L403" i="7" s="1"/>
  <c r="I403" i="7"/>
  <c r="H403" i="7"/>
  <c r="U402" i="7"/>
  <c r="T402" i="7"/>
  <c r="Q402" i="7"/>
  <c r="P402" i="7"/>
  <c r="O402" i="7"/>
  <c r="N402" i="7"/>
  <c r="M402" i="7"/>
  <c r="J402" i="7"/>
  <c r="K402" i="7" s="1"/>
  <c r="L402" i="7" s="1"/>
  <c r="I402" i="7"/>
  <c r="H402" i="7"/>
  <c r="U401" i="7"/>
  <c r="T401" i="7"/>
  <c r="Q401" i="7"/>
  <c r="P401" i="7"/>
  <c r="O401" i="7"/>
  <c r="N401" i="7"/>
  <c r="M401" i="7"/>
  <c r="J401" i="7"/>
  <c r="K401" i="7" s="1"/>
  <c r="L401" i="7" s="1"/>
  <c r="I401" i="7"/>
  <c r="H401" i="7"/>
  <c r="U400" i="7"/>
  <c r="T400" i="7"/>
  <c r="Q400" i="7"/>
  <c r="P400" i="7"/>
  <c r="O400" i="7"/>
  <c r="N400" i="7"/>
  <c r="M400" i="7"/>
  <c r="J400" i="7"/>
  <c r="K400" i="7" s="1"/>
  <c r="L400" i="7" s="1"/>
  <c r="I400" i="7"/>
  <c r="H400" i="7"/>
  <c r="U399" i="7"/>
  <c r="T399" i="7"/>
  <c r="Q399" i="7"/>
  <c r="P399" i="7"/>
  <c r="O399" i="7"/>
  <c r="N399" i="7"/>
  <c r="M399" i="7"/>
  <c r="J399" i="7"/>
  <c r="K399" i="7" s="1"/>
  <c r="L399" i="7" s="1"/>
  <c r="I399" i="7"/>
  <c r="H399" i="7"/>
  <c r="U398" i="7"/>
  <c r="T398" i="7"/>
  <c r="Q398" i="7"/>
  <c r="P398" i="7"/>
  <c r="O398" i="7"/>
  <c r="N398" i="7"/>
  <c r="M398" i="7"/>
  <c r="J398" i="7"/>
  <c r="K398" i="7" s="1"/>
  <c r="L398" i="7" s="1"/>
  <c r="I398" i="7"/>
  <c r="H398" i="7"/>
  <c r="U397" i="7"/>
  <c r="T397" i="7"/>
  <c r="Q397" i="7"/>
  <c r="P397" i="7"/>
  <c r="O397" i="7"/>
  <c r="R397" i="7" s="1"/>
  <c r="N397" i="7"/>
  <c r="M397" i="7"/>
  <c r="J397" i="7"/>
  <c r="K397" i="7" s="1"/>
  <c r="L397" i="7" s="1"/>
  <c r="I397" i="7"/>
  <c r="H397" i="7"/>
  <c r="U396" i="7"/>
  <c r="T396" i="7"/>
  <c r="Q396" i="7"/>
  <c r="P396" i="7"/>
  <c r="O396" i="7"/>
  <c r="N396" i="7"/>
  <c r="M396" i="7"/>
  <c r="J396" i="7"/>
  <c r="K396" i="7" s="1"/>
  <c r="L396" i="7" s="1"/>
  <c r="I396" i="7"/>
  <c r="H396" i="7"/>
  <c r="U395" i="7"/>
  <c r="T395" i="7"/>
  <c r="Q395" i="7"/>
  <c r="P395" i="7"/>
  <c r="O395" i="7"/>
  <c r="R395" i="7" s="1"/>
  <c r="N395" i="7"/>
  <c r="M395" i="7"/>
  <c r="J395" i="7"/>
  <c r="K395" i="7" s="1"/>
  <c r="L395" i="7" s="1"/>
  <c r="I395" i="7"/>
  <c r="H395" i="7"/>
  <c r="U394" i="7"/>
  <c r="T394" i="7"/>
  <c r="Q394" i="7"/>
  <c r="P394" i="7"/>
  <c r="O394" i="7"/>
  <c r="N394" i="7"/>
  <c r="M394" i="7"/>
  <c r="J394" i="7"/>
  <c r="K394" i="7" s="1"/>
  <c r="L394" i="7" s="1"/>
  <c r="I394" i="7"/>
  <c r="H394" i="7"/>
  <c r="U393" i="7"/>
  <c r="T393" i="7"/>
  <c r="Q393" i="7"/>
  <c r="P393" i="7"/>
  <c r="O393" i="7"/>
  <c r="N393" i="7"/>
  <c r="M393" i="7"/>
  <c r="J393" i="7"/>
  <c r="K393" i="7" s="1"/>
  <c r="L393" i="7" s="1"/>
  <c r="I393" i="7"/>
  <c r="H393" i="7"/>
  <c r="U392" i="7"/>
  <c r="T392" i="7"/>
  <c r="Q392" i="7"/>
  <c r="P392" i="7"/>
  <c r="O392" i="7"/>
  <c r="N392" i="7"/>
  <c r="M392" i="7"/>
  <c r="J392" i="7"/>
  <c r="K392" i="7" s="1"/>
  <c r="L392" i="7" s="1"/>
  <c r="I392" i="7"/>
  <c r="H392" i="7"/>
  <c r="U391" i="7"/>
  <c r="T391" i="7"/>
  <c r="Q391" i="7"/>
  <c r="P391" i="7"/>
  <c r="O391" i="7"/>
  <c r="N391" i="7"/>
  <c r="M391" i="7"/>
  <c r="J391" i="7"/>
  <c r="K391" i="7" s="1"/>
  <c r="L391" i="7" s="1"/>
  <c r="I391" i="7"/>
  <c r="H391" i="7"/>
  <c r="U390" i="7"/>
  <c r="T390" i="7"/>
  <c r="Q390" i="7"/>
  <c r="P390" i="7"/>
  <c r="O390" i="7"/>
  <c r="N390" i="7"/>
  <c r="M390" i="7"/>
  <c r="J390" i="7"/>
  <c r="K390" i="7" s="1"/>
  <c r="L390" i="7" s="1"/>
  <c r="I390" i="7"/>
  <c r="H390" i="7"/>
  <c r="U389" i="7"/>
  <c r="T389" i="7"/>
  <c r="Q389" i="7"/>
  <c r="P389" i="7"/>
  <c r="O389" i="7"/>
  <c r="R389" i="7" s="1"/>
  <c r="N389" i="7"/>
  <c r="M389" i="7"/>
  <c r="J389" i="7"/>
  <c r="K389" i="7" s="1"/>
  <c r="L389" i="7" s="1"/>
  <c r="I389" i="7"/>
  <c r="H389" i="7"/>
  <c r="U388" i="7"/>
  <c r="T388" i="7"/>
  <c r="Q388" i="7"/>
  <c r="P388" i="7"/>
  <c r="O388" i="7"/>
  <c r="N388" i="7"/>
  <c r="M388" i="7"/>
  <c r="J388" i="7"/>
  <c r="K388" i="7" s="1"/>
  <c r="L388" i="7" s="1"/>
  <c r="I388" i="7"/>
  <c r="H388" i="7"/>
  <c r="U387" i="7"/>
  <c r="T387" i="7"/>
  <c r="Q387" i="7"/>
  <c r="P387" i="7"/>
  <c r="O387" i="7"/>
  <c r="R387" i="7" s="1"/>
  <c r="N387" i="7"/>
  <c r="M387" i="7"/>
  <c r="J387" i="7"/>
  <c r="K387" i="7" s="1"/>
  <c r="L387" i="7" s="1"/>
  <c r="I387" i="7"/>
  <c r="H387" i="7"/>
  <c r="U386" i="7"/>
  <c r="T386" i="7"/>
  <c r="Q386" i="7"/>
  <c r="P386" i="7"/>
  <c r="O386" i="7"/>
  <c r="R386" i="7" s="1"/>
  <c r="N386" i="7"/>
  <c r="M386" i="7"/>
  <c r="J386" i="7"/>
  <c r="K386" i="7" s="1"/>
  <c r="L386" i="7" s="1"/>
  <c r="I386" i="7"/>
  <c r="H386" i="7"/>
  <c r="U385" i="7"/>
  <c r="T385" i="7"/>
  <c r="Q385" i="7"/>
  <c r="P385" i="7"/>
  <c r="O385" i="7"/>
  <c r="R385" i="7" s="1"/>
  <c r="N385" i="7"/>
  <c r="M385" i="7"/>
  <c r="J385" i="7"/>
  <c r="K385" i="7" s="1"/>
  <c r="L385" i="7" s="1"/>
  <c r="I385" i="7"/>
  <c r="H385" i="7"/>
  <c r="U384" i="7"/>
  <c r="T384" i="7"/>
  <c r="Q384" i="7"/>
  <c r="P384" i="7"/>
  <c r="O384" i="7"/>
  <c r="N384" i="7"/>
  <c r="M384" i="7"/>
  <c r="J384" i="7"/>
  <c r="K384" i="7" s="1"/>
  <c r="L384" i="7" s="1"/>
  <c r="I384" i="7"/>
  <c r="H384" i="7"/>
  <c r="U383" i="7"/>
  <c r="T383" i="7"/>
  <c r="V383" i="7" s="1"/>
  <c r="Q383" i="7"/>
  <c r="P383" i="7"/>
  <c r="O383" i="7"/>
  <c r="N383" i="7"/>
  <c r="M383" i="7"/>
  <c r="J383" i="7"/>
  <c r="K383" i="7" s="1"/>
  <c r="L383" i="7" s="1"/>
  <c r="I383" i="7"/>
  <c r="H383" i="7"/>
  <c r="U382" i="7"/>
  <c r="T382" i="7"/>
  <c r="Q382" i="7"/>
  <c r="P382" i="7"/>
  <c r="O382" i="7"/>
  <c r="N382" i="7"/>
  <c r="M382" i="7"/>
  <c r="J382" i="7"/>
  <c r="K382" i="7" s="1"/>
  <c r="L382" i="7" s="1"/>
  <c r="I382" i="7"/>
  <c r="H382" i="7"/>
  <c r="U381" i="7"/>
  <c r="T381" i="7"/>
  <c r="Q381" i="7"/>
  <c r="P381" i="7"/>
  <c r="O381" i="7"/>
  <c r="N381" i="7"/>
  <c r="M381" i="7"/>
  <c r="J381" i="7"/>
  <c r="K381" i="7" s="1"/>
  <c r="L381" i="7" s="1"/>
  <c r="I381" i="7"/>
  <c r="H381" i="7"/>
  <c r="U380" i="7"/>
  <c r="T380" i="7"/>
  <c r="Q380" i="7"/>
  <c r="P380" i="7"/>
  <c r="O380" i="7"/>
  <c r="N380" i="7"/>
  <c r="M380" i="7"/>
  <c r="J380" i="7"/>
  <c r="K380" i="7" s="1"/>
  <c r="L380" i="7" s="1"/>
  <c r="I380" i="7"/>
  <c r="H380" i="7"/>
  <c r="U379" i="7"/>
  <c r="T379" i="7"/>
  <c r="Q379" i="7"/>
  <c r="P379" i="7"/>
  <c r="O379" i="7"/>
  <c r="R379" i="7" s="1"/>
  <c r="N379" i="7"/>
  <c r="M379" i="7"/>
  <c r="J379" i="7"/>
  <c r="K379" i="7" s="1"/>
  <c r="L379" i="7" s="1"/>
  <c r="I379" i="7"/>
  <c r="H379" i="7"/>
  <c r="U378" i="7"/>
  <c r="T378" i="7"/>
  <c r="Q378" i="7"/>
  <c r="P378" i="7"/>
  <c r="O378" i="7"/>
  <c r="N378" i="7"/>
  <c r="M378" i="7"/>
  <c r="J378" i="7"/>
  <c r="K378" i="7" s="1"/>
  <c r="L378" i="7" s="1"/>
  <c r="I378" i="7"/>
  <c r="H378" i="7"/>
  <c r="U377" i="7"/>
  <c r="T377" i="7"/>
  <c r="V377" i="7" s="1"/>
  <c r="Q377" i="7"/>
  <c r="P377" i="7"/>
  <c r="O377" i="7"/>
  <c r="R377" i="7" s="1"/>
  <c r="N377" i="7"/>
  <c r="M377" i="7"/>
  <c r="J377" i="7"/>
  <c r="K377" i="7" s="1"/>
  <c r="L377" i="7" s="1"/>
  <c r="I377" i="7"/>
  <c r="H377" i="7"/>
  <c r="U376" i="7"/>
  <c r="T376" i="7"/>
  <c r="Q376" i="7"/>
  <c r="P376" i="7"/>
  <c r="O376" i="7"/>
  <c r="N376" i="7"/>
  <c r="M376" i="7"/>
  <c r="J376" i="7"/>
  <c r="K376" i="7" s="1"/>
  <c r="L376" i="7" s="1"/>
  <c r="I376" i="7"/>
  <c r="H376" i="7"/>
  <c r="U375" i="7"/>
  <c r="T375" i="7"/>
  <c r="Q375" i="7"/>
  <c r="P375" i="7"/>
  <c r="O375" i="7"/>
  <c r="N375" i="7"/>
  <c r="M375" i="7"/>
  <c r="J375" i="7"/>
  <c r="K375" i="7" s="1"/>
  <c r="L375" i="7" s="1"/>
  <c r="I375" i="7"/>
  <c r="H375" i="7"/>
  <c r="U374" i="7"/>
  <c r="T374" i="7"/>
  <c r="Q374" i="7"/>
  <c r="P374" i="7"/>
  <c r="O374" i="7"/>
  <c r="N374" i="7"/>
  <c r="M374" i="7"/>
  <c r="J374" i="7"/>
  <c r="K374" i="7" s="1"/>
  <c r="L374" i="7" s="1"/>
  <c r="I374" i="7"/>
  <c r="H374" i="7"/>
  <c r="U373" i="7"/>
  <c r="T373" i="7"/>
  <c r="Q373" i="7"/>
  <c r="P373" i="7"/>
  <c r="O373" i="7"/>
  <c r="N373" i="7"/>
  <c r="M373" i="7"/>
  <c r="J373" i="7"/>
  <c r="K373" i="7" s="1"/>
  <c r="L373" i="7" s="1"/>
  <c r="I373" i="7"/>
  <c r="H373" i="7"/>
  <c r="U372" i="7"/>
  <c r="T372" i="7"/>
  <c r="Q372" i="7"/>
  <c r="P372" i="7"/>
  <c r="O372" i="7"/>
  <c r="N372" i="7"/>
  <c r="M372" i="7"/>
  <c r="J372" i="7"/>
  <c r="K372" i="7" s="1"/>
  <c r="L372" i="7" s="1"/>
  <c r="I372" i="7"/>
  <c r="H372" i="7"/>
  <c r="U371" i="7"/>
  <c r="T371" i="7"/>
  <c r="Q371" i="7"/>
  <c r="P371" i="7"/>
  <c r="O371" i="7"/>
  <c r="N371" i="7"/>
  <c r="M371" i="7"/>
  <c r="J371" i="7"/>
  <c r="K371" i="7" s="1"/>
  <c r="L371" i="7" s="1"/>
  <c r="I371" i="7"/>
  <c r="H371" i="7"/>
  <c r="U370" i="7"/>
  <c r="T370" i="7"/>
  <c r="V370" i="7" s="1"/>
  <c r="Q370" i="7"/>
  <c r="P370" i="7"/>
  <c r="O370" i="7"/>
  <c r="R370" i="7" s="1"/>
  <c r="N370" i="7"/>
  <c r="M370" i="7"/>
  <c r="J370" i="7"/>
  <c r="K370" i="7" s="1"/>
  <c r="L370" i="7" s="1"/>
  <c r="I370" i="7"/>
  <c r="H370" i="7"/>
  <c r="U369" i="7"/>
  <c r="T369" i="7"/>
  <c r="Q369" i="7"/>
  <c r="P369" i="7"/>
  <c r="O369" i="7"/>
  <c r="R369" i="7" s="1"/>
  <c r="N369" i="7"/>
  <c r="M369" i="7"/>
  <c r="J369" i="7"/>
  <c r="K369" i="7" s="1"/>
  <c r="L369" i="7" s="1"/>
  <c r="I369" i="7"/>
  <c r="H369" i="7"/>
  <c r="U368" i="7"/>
  <c r="T368" i="7"/>
  <c r="Q368" i="7"/>
  <c r="P368" i="7"/>
  <c r="O368" i="7"/>
  <c r="N368" i="7"/>
  <c r="M368" i="7"/>
  <c r="J368" i="7"/>
  <c r="K368" i="7" s="1"/>
  <c r="L368" i="7" s="1"/>
  <c r="I368" i="7"/>
  <c r="H368" i="7"/>
  <c r="U367" i="7"/>
  <c r="T367" i="7"/>
  <c r="Q367" i="7"/>
  <c r="P367" i="7"/>
  <c r="O367" i="7"/>
  <c r="R367" i="7" s="1"/>
  <c r="N367" i="7"/>
  <c r="M367" i="7"/>
  <c r="J367" i="7"/>
  <c r="K367" i="7" s="1"/>
  <c r="L367" i="7" s="1"/>
  <c r="I367" i="7"/>
  <c r="H367" i="7"/>
  <c r="U366" i="7"/>
  <c r="T366" i="7"/>
  <c r="Q366" i="7"/>
  <c r="P366" i="7"/>
  <c r="O366" i="7"/>
  <c r="N366" i="7"/>
  <c r="M366" i="7"/>
  <c r="J366" i="7"/>
  <c r="K366" i="7" s="1"/>
  <c r="L366" i="7" s="1"/>
  <c r="I366" i="7"/>
  <c r="H366" i="7"/>
  <c r="U365" i="7"/>
  <c r="T365" i="7"/>
  <c r="Q365" i="7"/>
  <c r="P365" i="7"/>
  <c r="O365" i="7"/>
  <c r="N365" i="7"/>
  <c r="M365" i="7"/>
  <c r="J365" i="7"/>
  <c r="K365" i="7" s="1"/>
  <c r="L365" i="7" s="1"/>
  <c r="I365" i="7"/>
  <c r="H365" i="7"/>
  <c r="U364" i="7"/>
  <c r="T364" i="7"/>
  <c r="Q364" i="7"/>
  <c r="P364" i="7"/>
  <c r="O364" i="7"/>
  <c r="N364" i="7"/>
  <c r="M364" i="7"/>
  <c r="J364" i="7"/>
  <c r="K364" i="7" s="1"/>
  <c r="L364" i="7" s="1"/>
  <c r="I364" i="7"/>
  <c r="H364" i="7"/>
  <c r="U363" i="7"/>
  <c r="T363" i="7"/>
  <c r="Q363" i="7"/>
  <c r="P363" i="7"/>
  <c r="O363" i="7"/>
  <c r="N363" i="7"/>
  <c r="M363" i="7"/>
  <c r="J363" i="7"/>
  <c r="K363" i="7" s="1"/>
  <c r="L363" i="7" s="1"/>
  <c r="I363" i="7"/>
  <c r="H363" i="7"/>
  <c r="U362" i="7"/>
  <c r="T362" i="7"/>
  <c r="Q362" i="7"/>
  <c r="P362" i="7"/>
  <c r="O362" i="7"/>
  <c r="N362" i="7"/>
  <c r="M362" i="7"/>
  <c r="J362" i="7"/>
  <c r="K362" i="7" s="1"/>
  <c r="L362" i="7" s="1"/>
  <c r="I362" i="7"/>
  <c r="H362" i="7"/>
  <c r="U361" i="7"/>
  <c r="T361" i="7"/>
  <c r="Q361" i="7"/>
  <c r="P361" i="7"/>
  <c r="O361" i="7"/>
  <c r="R361" i="7" s="1"/>
  <c r="N361" i="7"/>
  <c r="M361" i="7"/>
  <c r="J361" i="7"/>
  <c r="K361" i="7" s="1"/>
  <c r="L361" i="7" s="1"/>
  <c r="I361" i="7"/>
  <c r="H361" i="7"/>
  <c r="U360" i="7"/>
  <c r="T360" i="7"/>
  <c r="Q360" i="7"/>
  <c r="P360" i="7"/>
  <c r="O360" i="7"/>
  <c r="R360" i="7" s="1"/>
  <c r="N360" i="7"/>
  <c r="M360" i="7"/>
  <c r="J360" i="7"/>
  <c r="K360" i="7" s="1"/>
  <c r="L360" i="7" s="1"/>
  <c r="I360" i="7"/>
  <c r="H360" i="7"/>
  <c r="U359" i="7"/>
  <c r="T359" i="7"/>
  <c r="Q359" i="7"/>
  <c r="P359" i="7"/>
  <c r="O359" i="7"/>
  <c r="N359" i="7"/>
  <c r="M359" i="7"/>
  <c r="J359" i="7"/>
  <c r="K359" i="7" s="1"/>
  <c r="L359" i="7" s="1"/>
  <c r="I359" i="7"/>
  <c r="H359" i="7"/>
  <c r="U358" i="7"/>
  <c r="T358" i="7"/>
  <c r="Q358" i="7"/>
  <c r="P358" i="7"/>
  <c r="O358" i="7"/>
  <c r="N358" i="7"/>
  <c r="M358" i="7"/>
  <c r="J358" i="7"/>
  <c r="K358" i="7" s="1"/>
  <c r="L358" i="7" s="1"/>
  <c r="I358" i="7"/>
  <c r="H358" i="7"/>
  <c r="U357" i="7"/>
  <c r="T357" i="7"/>
  <c r="Q357" i="7"/>
  <c r="P357" i="7"/>
  <c r="O357" i="7"/>
  <c r="R357" i="7" s="1"/>
  <c r="N357" i="7"/>
  <c r="M357" i="7"/>
  <c r="J357" i="7"/>
  <c r="K357" i="7" s="1"/>
  <c r="L357" i="7" s="1"/>
  <c r="I357" i="7"/>
  <c r="H357" i="7"/>
  <c r="U356" i="7"/>
  <c r="T356" i="7"/>
  <c r="Q356" i="7"/>
  <c r="P356" i="7"/>
  <c r="O356" i="7"/>
  <c r="R356" i="7" s="1"/>
  <c r="N356" i="7"/>
  <c r="M356" i="7"/>
  <c r="J356" i="7"/>
  <c r="K356" i="7" s="1"/>
  <c r="L356" i="7" s="1"/>
  <c r="I356" i="7"/>
  <c r="H356" i="7"/>
  <c r="U355" i="7"/>
  <c r="T355" i="7"/>
  <c r="Q355" i="7"/>
  <c r="P355" i="7"/>
  <c r="O355" i="7"/>
  <c r="N355" i="7"/>
  <c r="M355" i="7"/>
  <c r="J355" i="7"/>
  <c r="K355" i="7" s="1"/>
  <c r="L355" i="7" s="1"/>
  <c r="I355" i="7"/>
  <c r="H355" i="7"/>
  <c r="U354" i="7"/>
  <c r="T354" i="7"/>
  <c r="Q354" i="7"/>
  <c r="P354" i="7"/>
  <c r="O354" i="7"/>
  <c r="N354" i="7"/>
  <c r="M354" i="7"/>
  <c r="J354" i="7"/>
  <c r="K354" i="7" s="1"/>
  <c r="L354" i="7" s="1"/>
  <c r="I354" i="7"/>
  <c r="H354" i="7"/>
  <c r="U353" i="7"/>
  <c r="T353" i="7"/>
  <c r="Q353" i="7"/>
  <c r="P353" i="7"/>
  <c r="O353" i="7"/>
  <c r="N353" i="7"/>
  <c r="M353" i="7"/>
  <c r="J353" i="7"/>
  <c r="K353" i="7" s="1"/>
  <c r="L353" i="7" s="1"/>
  <c r="I353" i="7"/>
  <c r="H353" i="7"/>
  <c r="U352" i="7"/>
  <c r="T352" i="7"/>
  <c r="Q352" i="7"/>
  <c r="P352" i="7"/>
  <c r="O352" i="7"/>
  <c r="N352" i="7"/>
  <c r="M352" i="7"/>
  <c r="J352" i="7"/>
  <c r="K352" i="7" s="1"/>
  <c r="L352" i="7" s="1"/>
  <c r="I352" i="7"/>
  <c r="H352" i="7"/>
  <c r="U351" i="7"/>
  <c r="T351" i="7"/>
  <c r="Q351" i="7"/>
  <c r="P351" i="7"/>
  <c r="O351" i="7"/>
  <c r="R351" i="7" s="1"/>
  <c r="N351" i="7"/>
  <c r="M351" i="7"/>
  <c r="J351" i="7"/>
  <c r="K351" i="7" s="1"/>
  <c r="L351" i="7" s="1"/>
  <c r="I351" i="7"/>
  <c r="H351" i="7"/>
  <c r="U350" i="7"/>
  <c r="T350" i="7"/>
  <c r="Q350" i="7"/>
  <c r="P350" i="7"/>
  <c r="O350" i="7"/>
  <c r="N350" i="7"/>
  <c r="M350" i="7"/>
  <c r="J350" i="7"/>
  <c r="K350" i="7" s="1"/>
  <c r="L350" i="7" s="1"/>
  <c r="I350" i="7"/>
  <c r="H350" i="7"/>
  <c r="U349" i="7"/>
  <c r="T349" i="7"/>
  <c r="Q349" i="7"/>
  <c r="P349" i="7"/>
  <c r="O349" i="7"/>
  <c r="N349" i="7"/>
  <c r="M349" i="7"/>
  <c r="J349" i="7"/>
  <c r="K349" i="7" s="1"/>
  <c r="L349" i="7" s="1"/>
  <c r="I349" i="7"/>
  <c r="H349" i="7"/>
  <c r="U348" i="7"/>
  <c r="T348" i="7"/>
  <c r="Q348" i="7"/>
  <c r="P348" i="7"/>
  <c r="O348" i="7"/>
  <c r="N348" i="7"/>
  <c r="M348" i="7"/>
  <c r="J348" i="7"/>
  <c r="K348" i="7" s="1"/>
  <c r="L348" i="7" s="1"/>
  <c r="I348" i="7"/>
  <c r="H348" i="7"/>
  <c r="U347" i="7"/>
  <c r="T347" i="7"/>
  <c r="Q347" i="7"/>
  <c r="P347" i="7"/>
  <c r="O347" i="7"/>
  <c r="R347" i="7" s="1"/>
  <c r="N347" i="7"/>
  <c r="M347" i="7"/>
  <c r="J347" i="7"/>
  <c r="K347" i="7" s="1"/>
  <c r="L347" i="7" s="1"/>
  <c r="I347" i="7"/>
  <c r="H347" i="7"/>
  <c r="U346" i="7"/>
  <c r="T346" i="7"/>
  <c r="V346" i="7" s="1"/>
  <c r="Q346" i="7"/>
  <c r="P346" i="7"/>
  <c r="O346" i="7"/>
  <c r="R346" i="7" s="1"/>
  <c r="N346" i="7"/>
  <c r="M346" i="7"/>
  <c r="J346" i="7"/>
  <c r="K346" i="7" s="1"/>
  <c r="L346" i="7" s="1"/>
  <c r="I346" i="7"/>
  <c r="H346" i="7"/>
  <c r="U345" i="7"/>
  <c r="T345" i="7"/>
  <c r="Q345" i="7"/>
  <c r="P345" i="7"/>
  <c r="O345" i="7"/>
  <c r="N345" i="7"/>
  <c r="M345" i="7"/>
  <c r="J345" i="7"/>
  <c r="K345" i="7" s="1"/>
  <c r="L345" i="7" s="1"/>
  <c r="I345" i="7"/>
  <c r="H345" i="7"/>
  <c r="U344" i="7"/>
  <c r="T344" i="7"/>
  <c r="Q344" i="7"/>
  <c r="P344" i="7"/>
  <c r="O344" i="7"/>
  <c r="N344" i="7"/>
  <c r="M344" i="7"/>
  <c r="J344" i="7"/>
  <c r="K344" i="7" s="1"/>
  <c r="L344" i="7" s="1"/>
  <c r="I344" i="7"/>
  <c r="H344" i="7"/>
  <c r="U343" i="7"/>
  <c r="T343" i="7"/>
  <c r="Q343" i="7"/>
  <c r="P343" i="7"/>
  <c r="O343" i="7"/>
  <c r="N343" i="7"/>
  <c r="M343" i="7"/>
  <c r="J343" i="7"/>
  <c r="K343" i="7" s="1"/>
  <c r="L343" i="7" s="1"/>
  <c r="I343" i="7"/>
  <c r="H343" i="7"/>
  <c r="U342" i="7"/>
  <c r="T342" i="7"/>
  <c r="Q342" i="7"/>
  <c r="P342" i="7"/>
  <c r="O342" i="7"/>
  <c r="R342" i="7" s="1"/>
  <c r="N342" i="7"/>
  <c r="M342" i="7"/>
  <c r="J342" i="7"/>
  <c r="K342" i="7" s="1"/>
  <c r="L342" i="7" s="1"/>
  <c r="I342" i="7"/>
  <c r="H342" i="7"/>
  <c r="U341" i="7"/>
  <c r="T341" i="7"/>
  <c r="Q341" i="7"/>
  <c r="P341" i="7"/>
  <c r="O341" i="7"/>
  <c r="N341" i="7"/>
  <c r="M341" i="7"/>
  <c r="J341" i="7"/>
  <c r="K341" i="7" s="1"/>
  <c r="L341" i="7" s="1"/>
  <c r="I341" i="7"/>
  <c r="H341" i="7"/>
  <c r="U340" i="7"/>
  <c r="T340" i="7"/>
  <c r="Q340" i="7"/>
  <c r="P340" i="7"/>
  <c r="O340" i="7"/>
  <c r="N340" i="7"/>
  <c r="M340" i="7"/>
  <c r="J340" i="7"/>
  <c r="K340" i="7" s="1"/>
  <c r="L340" i="7" s="1"/>
  <c r="I340" i="7"/>
  <c r="H340" i="7"/>
  <c r="U339" i="7"/>
  <c r="T339" i="7"/>
  <c r="Q339" i="7"/>
  <c r="P339" i="7"/>
  <c r="O339" i="7"/>
  <c r="N339" i="7"/>
  <c r="M339" i="7"/>
  <c r="J339" i="7"/>
  <c r="K339" i="7" s="1"/>
  <c r="L339" i="7" s="1"/>
  <c r="I339" i="7"/>
  <c r="H339" i="7"/>
  <c r="U338" i="7"/>
  <c r="T338" i="7"/>
  <c r="Q338" i="7"/>
  <c r="P338" i="7"/>
  <c r="O338" i="7"/>
  <c r="R338" i="7" s="1"/>
  <c r="N338" i="7"/>
  <c r="M338" i="7"/>
  <c r="J338" i="7"/>
  <c r="K338" i="7" s="1"/>
  <c r="L338" i="7" s="1"/>
  <c r="I338" i="7"/>
  <c r="H338" i="7"/>
  <c r="U337" i="7"/>
  <c r="T337" i="7"/>
  <c r="Q337" i="7"/>
  <c r="P337" i="7"/>
  <c r="O337" i="7"/>
  <c r="R337" i="7" s="1"/>
  <c r="N337" i="7"/>
  <c r="M337" i="7"/>
  <c r="J337" i="7"/>
  <c r="K337" i="7" s="1"/>
  <c r="L337" i="7" s="1"/>
  <c r="I337" i="7"/>
  <c r="H337" i="7"/>
  <c r="U336" i="7"/>
  <c r="T336" i="7"/>
  <c r="Q336" i="7"/>
  <c r="P336" i="7"/>
  <c r="O336" i="7"/>
  <c r="N336" i="7"/>
  <c r="M336" i="7"/>
  <c r="J336" i="7"/>
  <c r="K336" i="7" s="1"/>
  <c r="L336" i="7" s="1"/>
  <c r="I336" i="7"/>
  <c r="H336" i="7"/>
  <c r="U335" i="7"/>
  <c r="T335" i="7"/>
  <c r="Q335" i="7"/>
  <c r="P335" i="7"/>
  <c r="O335" i="7"/>
  <c r="N335" i="7"/>
  <c r="M335" i="7"/>
  <c r="J335" i="7"/>
  <c r="K335" i="7" s="1"/>
  <c r="L335" i="7" s="1"/>
  <c r="I335" i="7"/>
  <c r="H335" i="7"/>
  <c r="U334" i="7"/>
  <c r="T334" i="7"/>
  <c r="Q334" i="7"/>
  <c r="P334" i="7"/>
  <c r="O334" i="7"/>
  <c r="R334" i="7" s="1"/>
  <c r="N334" i="7"/>
  <c r="M334" i="7"/>
  <c r="J334" i="7"/>
  <c r="K334" i="7" s="1"/>
  <c r="L334" i="7" s="1"/>
  <c r="I334" i="7"/>
  <c r="H334" i="7"/>
  <c r="U333" i="7"/>
  <c r="T333" i="7"/>
  <c r="Q333" i="7"/>
  <c r="P333" i="7"/>
  <c r="O333" i="7"/>
  <c r="R333" i="7" s="1"/>
  <c r="N333" i="7"/>
  <c r="M333" i="7"/>
  <c r="J333" i="7"/>
  <c r="K333" i="7" s="1"/>
  <c r="L333" i="7" s="1"/>
  <c r="I333" i="7"/>
  <c r="H333" i="7"/>
  <c r="U332" i="7"/>
  <c r="T332" i="7"/>
  <c r="Q332" i="7"/>
  <c r="P332" i="7"/>
  <c r="O332" i="7"/>
  <c r="N332" i="7"/>
  <c r="M332" i="7"/>
  <c r="J332" i="7"/>
  <c r="K332" i="7" s="1"/>
  <c r="L332" i="7" s="1"/>
  <c r="I332" i="7"/>
  <c r="H332" i="7"/>
  <c r="U331" i="7"/>
  <c r="T331" i="7"/>
  <c r="Q331" i="7"/>
  <c r="P331" i="7"/>
  <c r="O331" i="7"/>
  <c r="N331" i="7"/>
  <c r="M331" i="7"/>
  <c r="J331" i="7"/>
  <c r="K331" i="7" s="1"/>
  <c r="L331" i="7" s="1"/>
  <c r="I331" i="7"/>
  <c r="H331" i="7"/>
  <c r="U330" i="7"/>
  <c r="T330" i="7"/>
  <c r="Q330" i="7"/>
  <c r="P330" i="7"/>
  <c r="O330" i="7"/>
  <c r="R330" i="7" s="1"/>
  <c r="N330" i="7"/>
  <c r="M330" i="7"/>
  <c r="J330" i="7"/>
  <c r="K330" i="7" s="1"/>
  <c r="L330" i="7" s="1"/>
  <c r="I330" i="7"/>
  <c r="H330" i="7"/>
  <c r="U329" i="7"/>
  <c r="T329" i="7"/>
  <c r="Q329" i="7"/>
  <c r="P329" i="7"/>
  <c r="O329" i="7"/>
  <c r="R329" i="7" s="1"/>
  <c r="N329" i="7"/>
  <c r="M329" i="7"/>
  <c r="J329" i="7"/>
  <c r="K329" i="7" s="1"/>
  <c r="L329" i="7" s="1"/>
  <c r="I329" i="7"/>
  <c r="H329" i="7"/>
  <c r="U328" i="7"/>
  <c r="T328" i="7"/>
  <c r="Q328" i="7"/>
  <c r="P328" i="7"/>
  <c r="O328" i="7"/>
  <c r="N328" i="7"/>
  <c r="M328" i="7"/>
  <c r="J328" i="7"/>
  <c r="K328" i="7" s="1"/>
  <c r="L328" i="7" s="1"/>
  <c r="I328" i="7"/>
  <c r="H328" i="7"/>
  <c r="U327" i="7"/>
  <c r="T327" i="7"/>
  <c r="Q327" i="7"/>
  <c r="P327" i="7"/>
  <c r="O327" i="7"/>
  <c r="N327" i="7"/>
  <c r="M327" i="7"/>
  <c r="J327" i="7"/>
  <c r="K327" i="7" s="1"/>
  <c r="L327" i="7" s="1"/>
  <c r="I327" i="7"/>
  <c r="H327" i="7"/>
  <c r="U326" i="7"/>
  <c r="T326" i="7"/>
  <c r="Q326" i="7"/>
  <c r="P326" i="7"/>
  <c r="O326" i="7"/>
  <c r="R326" i="7" s="1"/>
  <c r="N326" i="7"/>
  <c r="M326" i="7"/>
  <c r="J326" i="7"/>
  <c r="K326" i="7" s="1"/>
  <c r="L326" i="7" s="1"/>
  <c r="I326" i="7"/>
  <c r="H326" i="7"/>
  <c r="U325" i="7"/>
  <c r="T325" i="7"/>
  <c r="Q325" i="7"/>
  <c r="P325" i="7"/>
  <c r="O325" i="7"/>
  <c r="R325" i="7" s="1"/>
  <c r="N325" i="7"/>
  <c r="M325" i="7"/>
  <c r="J325" i="7"/>
  <c r="K325" i="7" s="1"/>
  <c r="L325" i="7" s="1"/>
  <c r="I325" i="7"/>
  <c r="H325" i="7"/>
  <c r="U324" i="7"/>
  <c r="T324" i="7"/>
  <c r="Q324" i="7"/>
  <c r="P324" i="7"/>
  <c r="O324" i="7"/>
  <c r="N324" i="7"/>
  <c r="M324" i="7"/>
  <c r="J324" i="7"/>
  <c r="K324" i="7" s="1"/>
  <c r="L324" i="7" s="1"/>
  <c r="I324" i="7"/>
  <c r="H324" i="7"/>
  <c r="U323" i="7"/>
  <c r="T323" i="7"/>
  <c r="Q323" i="7"/>
  <c r="P323" i="7"/>
  <c r="O323" i="7"/>
  <c r="N323" i="7"/>
  <c r="M323" i="7"/>
  <c r="J323" i="7"/>
  <c r="K323" i="7" s="1"/>
  <c r="L323" i="7" s="1"/>
  <c r="I323" i="7"/>
  <c r="H323" i="7"/>
  <c r="U322" i="7"/>
  <c r="T322" i="7"/>
  <c r="Q322" i="7"/>
  <c r="P322" i="7"/>
  <c r="O322" i="7"/>
  <c r="R322" i="7" s="1"/>
  <c r="N322" i="7"/>
  <c r="M322" i="7"/>
  <c r="J322" i="7"/>
  <c r="K322" i="7" s="1"/>
  <c r="L322" i="7" s="1"/>
  <c r="I322" i="7"/>
  <c r="H322" i="7"/>
  <c r="U321" i="7"/>
  <c r="T321" i="7"/>
  <c r="Q321" i="7"/>
  <c r="P321" i="7"/>
  <c r="O321" i="7"/>
  <c r="R321" i="7" s="1"/>
  <c r="N321" i="7"/>
  <c r="M321" i="7"/>
  <c r="J321" i="7"/>
  <c r="K321" i="7" s="1"/>
  <c r="L321" i="7" s="1"/>
  <c r="I321" i="7"/>
  <c r="H321" i="7"/>
  <c r="U320" i="7"/>
  <c r="T320" i="7"/>
  <c r="Q320" i="7"/>
  <c r="P320" i="7"/>
  <c r="O320" i="7"/>
  <c r="N320" i="7"/>
  <c r="M320" i="7"/>
  <c r="J320" i="7"/>
  <c r="K320" i="7" s="1"/>
  <c r="L320" i="7" s="1"/>
  <c r="I320" i="7"/>
  <c r="H320" i="7"/>
  <c r="U319" i="7"/>
  <c r="T319" i="7"/>
  <c r="Q319" i="7"/>
  <c r="P319" i="7"/>
  <c r="O319" i="7"/>
  <c r="N319" i="7"/>
  <c r="M319" i="7"/>
  <c r="J319" i="7"/>
  <c r="K319" i="7" s="1"/>
  <c r="L319" i="7" s="1"/>
  <c r="I319" i="7"/>
  <c r="H319" i="7"/>
  <c r="U318" i="7"/>
  <c r="T318" i="7"/>
  <c r="Q318" i="7"/>
  <c r="P318" i="7"/>
  <c r="O318" i="7"/>
  <c r="R318" i="7" s="1"/>
  <c r="N318" i="7"/>
  <c r="M318" i="7"/>
  <c r="J318" i="7"/>
  <c r="K318" i="7" s="1"/>
  <c r="L318" i="7" s="1"/>
  <c r="I318" i="7"/>
  <c r="H318" i="7"/>
  <c r="U317" i="7"/>
  <c r="T317" i="7"/>
  <c r="Q317" i="7"/>
  <c r="P317" i="7"/>
  <c r="O317" i="7"/>
  <c r="N317" i="7"/>
  <c r="M317" i="7"/>
  <c r="J317" i="7"/>
  <c r="K317" i="7" s="1"/>
  <c r="L317" i="7" s="1"/>
  <c r="I317" i="7"/>
  <c r="H317" i="7"/>
  <c r="U316" i="7"/>
  <c r="T316" i="7"/>
  <c r="Q316" i="7"/>
  <c r="P316" i="7"/>
  <c r="O316" i="7"/>
  <c r="N316" i="7"/>
  <c r="M316" i="7"/>
  <c r="J316" i="7"/>
  <c r="K316" i="7" s="1"/>
  <c r="L316" i="7" s="1"/>
  <c r="I316" i="7"/>
  <c r="H316" i="7"/>
  <c r="U315" i="7"/>
  <c r="T315" i="7"/>
  <c r="Q315" i="7"/>
  <c r="P315" i="7"/>
  <c r="O315" i="7"/>
  <c r="N315" i="7"/>
  <c r="M315" i="7"/>
  <c r="J315" i="7"/>
  <c r="K315" i="7" s="1"/>
  <c r="L315" i="7" s="1"/>
  <c r="I315" i="7"/>
  <c r="H315" i="7"/>
  <c r="U314" i="7"/>
  <c r="T314" i="7"/>
  <c r="Q314" i="7"/>
  <c r="P314" i="7"/>
  <c r="O314" i="7"/>
  <c r="R314" i="7" s="1"/>
  <c r="N314" i="7"/>
  <c r="M314" i="7"/>
  <c r="J314" i="7"/>
  <c r="K314" i="7" s="1"/>
  <c r="L314" i="7" s="1"/>
  <c r="I314" i="7"/>
  <c r="H314" i="7"/>
  <c r="U313" i="7"/>
  <c r="T313" i="7"/>
  <c r="Q313" i="7"/>
  <c r="P313" i="7"/>
  <c r="O313" i="7"/>
  <c r="R313" i="7" s="1"/>
  <c r="N313" i="7"/>
  <c r="M313" i="7"/>
  <c r="J313" i="7"/>
  <c r="K313" i="7" s="1"/>
  <c r="L313" i="7" s="1"/>
  <c r="I313" i="7"/>
  <c r="H313" i="7"/>
  <c r="U312" i="7"/>
  <c r="T312" i="7"/>
  <c r="Q312" i="7"/>
  <c r="P312" i="7"/>
  <c r="O312" i="7"/>
  <c r="N312" i="7"/>
  <c r="M312" i="7"/>
  <c r="J312" i="7"/>
  <c r="K312" i="7" s="1"/>
  <c r="L312" i="7" s="1"/>
  <c r="I312" i="7"/>
  <c r="H312" i="7"/>
  <c r="U311" i="7"/>
  <c r="T311" i="7"/>
  <c r="Q311" i="7"/>
  <c r="P311" i="7"/>
  <c r="O311" i="7"/>
  <c r="N311" i="7"/>
  <c r="M311" i="7"/>
  <c r="J311" i="7"/>
  <c r="K311" i="7" s="1"/>
  <c r="L311" i="7" s="1"/>
  <c r="I311" i="7"/>
  <c r="H311" i="7"/>
  <c r="U310" i="7"/>
  <c r="T310" i="7"/>
  <c r="Q310" i="7"/>
  <c r="P310" i="7"/>
  <c r="O310" i="7"/>
  <c r="R310" i="7" s="1"/>
  <c r="N310" i="7"/>
  <c r="M310" i="7"/>
  <c r="J310" i="7"/>
  <c r="K310" i="7" s="1"/>
  <c r="L310" i="7" s="1"/>
  <c r="I310" i="7"/>
  <c r="H310" i="7"/>
  <c r="U309" i="7"/>
  <c r="T309" i="7"/>
  <c r="Q309" i="7"/>
  <c r="P309" i="7"/>
  <c r="O309" i="7"/>
  <c r="R309" i="7" s="1"/>
  <c r="N309" i="7"/>
  <c r="M309" i="7"/>
  <c r="J309" i="7"/>
  <c r="K309" i="7" s="1"/>
  <c r="L309" i="7" s="1"/>
  <c r="I309" i="7"/>
  <c r="H309" i="7"/>
  <c r="U308" i="7"/>
  <c r="T308" i="7"/>
  <c r="Q308" i="7"/>
  <c r="P308" i="7"/>
  <c r="O308" i="7"/>
  <c r="N308" i="7"/>
  <c r="M308" i="7"/>
  <c r="J308" i="7"/>
  <c r="K308" i="7" s="1"/>
  <c r="L308" i="7" s="1"/>
  <c r="I308" i="7"/>
  <c r="H308" i="7"/>
  <c r="U307" i="7"/>
  <c r="T307" i="7"/>
  <c r="V307" i="7" s="1"/>
  <c r="Q307" i="7"/>
  <c r="P307" i="7"/>
  <c r="O307" i="7"/>
  <c r="N307" i="7"/>
  <c r="M307" i="7"/>
  <c r="J307" i="7"/>
  <c r="K307" i="7" s="1"/>
  <c r="L307" i="7" s="1"/>
  <c r="I307" i="7"/>
  <c r="H307" i="7"/>
  <c r="U306" i="7"/>
  <c r="T306" i="7"/>
  <c r="Q306" i="7"/>
  <c r="P306" i="7"/>
  <c r="O306" i="7"/>
  <c r="R306" i="7" s="1"/>
  <c r="N306" i="7"/>
  <c r="M306" i="7"/>
  <c r="J306" i="7"/>
  <c r="K306" i="7" s="1"/>
  <c r="L306" i="7" s="1"/>
  <c r="I306" i="7"/>
  <c r="H306" i="7"/>
  <c r="U305" i="7"/>
  <c r="T305" i="7"/>
  <c r="Q305" i="7"/>
  <c r="P305" i="7"/>
  <c r="O305" i="7"/>
  <c r="R305" i="7" s="1"/>
  <c r="N305" i="7"/>
  <c r="M305" i="7"/>
  <c r="J305" i="7"/>
  <c r="K305" i="7" s="1"/>
  <c r="L305" i="7" s="1"/>
  <c r="I305" i="7"/>
  <c r="H305" i="7"/>
  <c r="U304" i="7"/>
  <c r="T304" i="7"/>
  <c r="Q304" i="7"/>
  <c r="P304" i="7"/>
  <c r="O304" i="7"/>
  <c r="N304" i="7"/>
  <c r="M304" i="7"/>
  <c r="J304" i="7"/>
  <c r="K304" i="7" s="1"/>
  <c r="L304" i="7" s="1"/>
  <c r="I304" i="7"/>
  <c r="H304" i="7"/>
  <c r="U303" i="7"/>
  <c r="T303" i="7"/>
  <c r="Q303" i="7"/>
  <c r="P303" i="7"/>
  <c r="O303" i="7"/>
  <c r="N303" i="7"/>
  <c r="M303" i="7"/>
  <c r="J303" i="7"/>
  <c r="K303" i="7" s="1"/>
  <c r="L303" i="7" s="1"/>
  <c r="I303" i="7"/>
  <c r="H303" i="7"/>
  <c r="U302" i="7"/>
  <c r="T302" i="7"/>
  <c r="Q302" i="7"/>
  <c r="P302" i="7"/>
  <c r="O302" i="7"/>
  <c r="R302" i="7" s="1"/>
  <c r="N302" i="7"/>
  <c r="M302" i="7"/>
  <c r="J302" i="7"/>
  <c r="K302" i="7" s="1"/>
  <c r="L302" i="7" s="1"/>
  <c r="I302" i="7"/>
  <c r="H302" i="7"/>
  <c r="U301" i="7"/>
  <c r="T301" i="7"/>
  <c r="Q301" i="7"/>
  <c r="P301" i="7"/>
  <c r="O301" i="7"/>
  <c r="R301" i="7" s="1"/>
  <c r="N301" i="7"/>
  <c r="M301" i="7"/>
  <c r="J301" i="7"/>
  <c r="K301" i="7" s="1"/>
  <c r="L301" i="7" s="1"/>
  <c r="I301" i="7"/>
  <c r="H301" i="7"/>
  <c r="U300" i="7"/>
  <c r="T300" i="7"/>
  <c r="Q300" i="7"/>
  <c r="P300" i="7"/>
  <c r="O300" i="7"/>
  <c r="N300" i="7"/>
  <c r="M300" i="7"/>
  <c r="J300" i="7"/>
  <c r="K300" i="7" s="1"/>
  <c r="L300" i="7" s="1"/>
  <c r="I300" i="7"/>
  <c r="H300" i="7"/>
  <c r="U299" i="7"/>
  <c r="T299" i="7"/>
  <c r="Q299" i="7"/>
  <c r="P299" i="7"/>
  <c r="O299" i="7"/>
  <c r="N299" i="7"/>
  <c r="M299" i="7"/>
  <c r="J299" i="7"/>
  <c r="K299" i="7" s="1"/>
  <c r="L299" i="7" s="1"/>
  <c r="I299" i="7"/>
  <c r="H299" i="7"/>
  <c r="U298" i="7"/>
  <c r="T298" i="7"/>
  <c r="Q298" i="7"/>
  <c r="P298" i="7"/>
  <c r="O298" i="7"/>
  <c r="R298" i="7" s="1"/>
  <c r="N298" i="7"/>
  <c r="M298" i="7"/>
  <c r="J298" i="7"/>
  <c r="K298" i="7" s="1"/>
  <c r="L298" i="7" s="1"/>
  <c r="I298" i="7"/>
  <c r="H298" i="7"/>
  <c r="U297" i="7"/>
  <c r="T297" i="7"/>
  <c r="Q297" i="7"/>
  <c r="P297" i="7"/>
  <c r="O297" i="7"/>
  <c r="R297" i="7" s="1"/>
  <c r="N297" i="7"/>
  <c r="M297" i="7"/>
  <c r="J297" i="7"/>
  <c r="K297" i="7" s="1"/>
  <c r="L297" i="7" s="1"/>
  <c r="I297" i="7"/>
  <c r="H297" i="7"/>
  <c r="U296" i="7"/>
  <c r="T296" i="7"/>
  <c r="Q296" i="7"/>
  <c r="P296" i="7"/>
  <c r="O296" i="7"/>
  <c r="N296" i="7"/>
  <c r="M296" i="7"/>
  <c r="J296" i="7"/>
  <c r="K296" i="7" s="1"/>
  <c r="L296" i="7" s="1"/>
  <c r="I296" i="7"/>
  <c r="H296" i="7"/>
  <c r="U295" i="7"/>
  <c r="T295" i="7"/>
  <c r="Q295" i="7"/>
  <c r="P295" i="7"/>
  <c r="O295" i="7"/>
  <c r="N295" i="7"/>
  <c r="M295" i="7"/>
  <c r="J295" i="7"/>
  <c r="K295" i="7" s="1"/>
  <c r="L295" i="7" s="1"/>
  <c r="I295" i="7"/>
  <c r="H295" i="7"/>
  <c r="U294" i="7"/>
  <c r="T294" i="7"/>
  <c r="Q294" i="7"/>
  <c r="P294" i="7"/>
  <c r="O294" i="7"/>
  <c r="R294" i="7" s="1"/>
  <c r="N294" i="7"/>
  <c r="M294" i="7"/>
  <c r="J294" i="7"/>
  <c r="K294" i="7" s="1"/>
  <c r="L294" i="7" s="1"/>
  <c r="I294" i="7"/>
  <c r="H294" i="7"/>
  <c r="U293" i="7"/>
  <c r="T293" i="7"/>
  <c r="Q293" i="7"/>
  <c r="P293" i="7"/>
  <c r="O293" i="7"/>
  <c r="R293" i="7" s="1"/>
  <c r="N293" i="7"/>
  <c r="M293" i="7"/>
  <c r="J293" i="7"/>
  <c r="K293" i="7" s="1"/>
  <c r="L293" i="7" s="1"/>
  <c r="I293" i="7"/>
  <c r="H293" i="7"/>
  <c r="U292" i="7"/>
  <c r="T292" i="7"/>
  <c r="Q292" i="7"/>
  <c r="P292" i="7"/>
  <c r="O292" i="7"/>
  <c r="N292" i="7"/>
  <c r="M292" i="7"/>
  <c r="J292" i="7"/>
  <c r="K292" i="7" s="1"/>
  <c r="L292" i="7" s="1"/>
  <c r="I292" i="7"/>
  <c r="H292" i="7"/>
  <c r="U291" i="7"/>
  <c r="T291" i="7"/>
  <c r="Q291" i="7"/>
  <c r="P291" i="7"/>
  <c r="O291" i="7"/>
  <c r="N291" i="7"/>
  <c r="M291" i="7"/>
  <c r="J291" i="7"/>
  <c r="K291" i="7" s="1"/>
  <c r="L291" i="7" s="1"/>
  <c r="I291" i="7"/>
  <c r="H291" i="7"/>
  <c r="U290" i="7"/>
  <c r="T290" i="7"/>
  <c r="Q290" i="7"/>
  <c r="P290" i="7"/>
  <c r="O290" i="7"/>
  <c r="R290" i="7" s="1"/>
  <c r="N290" i="7"/>
  <c r="M290" i="7"/>
  <c r="J290" i="7"/>
  <c r="K290" i="7" s="1"/>
  <c r="L290" i="7" s="1"/>
  <c r="I290" i="7"/>
  <c r="H290" i="7"/>
  <c r="U289" i="7"/>
  <c r="T289" i="7"/>
  <c r="Q289" i="7"/>
  <c r="P289" i="7"/>
  <c r="O289" i="7"/>
  <c r="R289" i="7" s="1"/>
  <c r="N289" i="7"/>
  <c r="M289" i="7"/>
  <c r="J289" i="7"/>
  <c r="K289" i="7" s="1"/>
  <c r="L289" i="7" s="1"/>
  <c r="I289" i="7"/>
  <c r="H289" i="7"/>
  <c r="U288" i="7"/>
  <c r="T288" i="7"/>
  <c r="Q288" i="7"/>
  <c r="P288" i="7"/>
  <c r="O288" i="7"/>
  <c r="N288" i="7"/>
  <c r="M288" i="7"/>
  <c r="J288" i="7"/>
  <c r="K288" i="7" s="1"/>
  <c r="L288" i="7" s="1"/>
  <c r="I288" i="7"/>
  <c r="H288" i="7"/>
  <c r="U287" i="7"/>
  <c r="T287" i="7"/>
  <c r="Q287" i="7"/>
  <c r="P287" i="7"/>
  <c r="O287" i="7"/>
  <c r="N287" i="7"/>
  <c r="M287" i="7"/>
  <c r="J287" i="7"/>
  <c r="K287" i="7" s="1"/>
  <c r="L287" i="7" s="1"/>
  <c r="I287" i="7"/>
  <c r="H287" i="7"/>
  <c r="U286" i="7"/>
  <c r="T286" i="7"/>
  <c r="Q286" i="7"/>
  <c r="P286" i="7"/>
  <c r="O286" i="7"/>
  <c r="R286" i="7" s="1"/>
  <c r="N286" i="7"/>
  <c r="M286" i="7"/>
  <c r="J286" i="7"/>
  <c r="K286" i="7" s="1"/>
  <c r="L286" i="7" s="1"/>
  <c r="I286" i="7"/>
  <c r="H286" i="7"/>
  <c r="U285" i="7"/>
  <c r="T285" i="7"/>
  <c r="Q285" i="7"/>
  <c r="P285" i="7"/>
  <c r="O285" i="7"/>
  <c r="R285" i="7" s="1"/>
  <c r="N285" i="7"/>
  <c r="M285" i="7"/>
  <c r="J285" i="7"/>
  <c r="K285" i="7" s="1"/>
  <c r="L285" i="7" s="1"/>
  <c r="I285" i="7"/>
  <c r="H285" i="7"/>
  <c r="U284" i="7"/>
  <c r="T284" i="7"/>
  <c r="Q284" i="7"/>
  <c r="P284" i="7"/>
  <c r="O284" i="7"/>
  <c r="N284" i="7"/>
  <c r="M284" i="7"/>
  <c r="J284" i="7"/>
  <c r="K284" i="7" s="1"/>
  <c r="L284" i="7" s="1"/>
  <c r="I284" i="7"/>
  <c r="H284" i="7"/>
  <c r="U283" i="7"/>
  <c r="T283" i="7"/>
  <c r="Q283" i="7"/>
  <c r="P283" i="7"/>
  <c r="O283" i="7"/>
  <c r="N283" i="7"/>
  <c r="M283" i="7"/>
  <c r="J283" i="7"/>
  <c r="K283" i="7" s="1"/>
  <c r="L283" i="7" s="1"/>
  <c r="I283" i="7"/>
  <c r="H283" i="7"/>
  <c r="U282" i="7"/>
  <c r="T282" i="7"/>
  <c r="Q282" i="7"/>
  <c r="P282" i="7"/>
  <c r="O282" i="7"/>
  <c r="R282" i="7" s="1"/>
  <c r="N282" i="7"/>
  <c r="M282" i="7"/>
  <c r="J282" i="7"/>
  <c r="K282" i="7" s="1"/>
  <c r="L282" i="7" s="1"/>
  <c r="I282" i="7"/>
  <c r="H282" i="7"/>
  <c r="U281" i="7"/>
  <c r="T281" i="7"/>
  <c r="Q281" i="7"/>
  <c r="P281" i="7"/>
  <c r="O281" i="7"/>
  <c r="R281" i="7" s="1"/>
  <c r="N281" i="7"/>
  <c r="M281" i="7"/>
  <c r="J281" i="7"/>
  <c r="K281" i="7" s="1"/>
  <c r="L281" i="7" s="1"/>
  <c r="I281" i="7"/>
  <c r="H281" i="7"/>
  <c r="U280" i="7"/>
  <c r="T280" i="7"/>
  <c r="Q280" i="7"/>
  <c r="P280" i="7"/>
  <c r="O280" i="7"/>
  <c r="N280" i="7"/>
  <c r="M280" i="7"/>
  <c r="J280" i="7"/>
  <c r="K280" i="7" s="1"/>
  <c r="L280" i="7" s="1"/>
  <c r="I280" i="7"/>
  <c r="H280" i="7"/>
  <c r="U279" i="7"/>
  <c r="T279" i="7"/>
  <c r="Q279" i="7"/>
  <c r="P279" i="7"/>
  <c r="O279" i="7"/>
  <c r="N279" i="7"/>
  <c r="M279" i="7"/>
  <c r="J279" i="7"/>
  <c r="K279" i="7" s="1"/>
  <c r="L279" i="7" s="1"/>
  <c r="I279" i="7"/>
  <c r="H279" i="7"/>
  <c r="U278" i="7"/>
  <c r="T278" i="7"/>
  <c r="Q278" i="7"/>
  <c r="P278" i="7"/>
  <c r="O278" i="7"/>
  <c r="R278" i="7" s="1"/>
  <c r="N278" i="7"/>
  <c r="M278" i="7"/>
  <c r="J278" i="7"/>
  <c r="K278" i="7" s="1"/>
  <c r="L278" i="7" s="1"/>
  <c r="I278" i="7"/>
  <c r="H278" i="7"/>
  <c r="U277" i="7"/>
  <c r="T277" i="7"/>
  <c r="Q277" i="7"/>
  <c r="P277" i="7"/>
  <c r="O277" i="7"/>
  <c r="R277" i="7" s="1"/>
  <c r="N277" i="7"/>
  <c r="M277" i="7"/>
  <c r="J277" i="7"/>
  <c r="K277" i="7" s="1"/>
  <c r="L277" i="7" s="1"/>
  <c r="I277" i="7"/>
  <c r="H277" i="7"/>
  <c r="U276" i="7"/>
  <c r="T276" i="7"/>
  <c r="Q276" i="7"/>
  <c r="P276" i="7"/>
  <c r="O276" i="7"/>
  <c r="N276" i="7"/>
  <c r="M276" i="7"/>
  <c r="J276" i="7"/>
  <c r="K276" i="7" s="1"/>
  <c r="L276" i="7" s="1"/>
  <c r="I276" i="7"/>
  <c r="H276" i="7"/>
  <c r="U275" i="7"/>
  <c r="T275" i="7"/>
  <c r="Q275" i="7"/>
  <c r="P275" i="7"/>
  <c r="O275" i="7"/>
  <c r="N275" i="7"/>
  <c r="M275" i="7"/>
  <c r="J275" i="7"/>
  <c r="K275" i="7" s="1"/>
  <c r="L275" i="7" s="1"/>
  <c r="I275" i="7"/>
  <c r="H275" i="7"/>
  <c r="U274" i="7"/>
  <c r="T274" i="7"/>
  <c r="Q274" i="7"/>
  <c r="P274" i="7"/>
  <c r="O274" i="7"/>
  <c r="R274" i="7" s="1"/>
  <c r="N274" i="7"/>
  <c r="M274" i="7"/>
  <c r="J274" i="7"/>
  <c r="K274" i="7" s="1"/>
  <c r="L274" i="7" s="1"/>
  <c r="I274" i="7"/>
  <c r="H274" i="7"/>
  <c r="U273" i="7"/>
  <c r="T273" i="7"/>
  <c r="Q273" i="7"/>
  <c r="P273" i="7"/>
  <c r="O273" i="7"/>
  <c r="N273" i="7"/>
  <c r="M273" i="7"/>
  <c r="J273" i="7"/>
  <c r="K273" i="7" s="1"/>
  <c r="L273" i="7" s="1"/>
  <c r="I273" i="7"/>
  <c r="H273" i="7"/>
  <c r="U272" i="7"/>
  <c r="T272" i="7"/>
  <c r="Q272" i="7"/>
  <c r="P272" i="7"/>
  <c r="O272" i="7"/>
  <c r="N272" i="7"/>
  <c r="M272" i="7"/>
  <c r="J272" i="7"/>
  <c r="K272" i="7" s="1"/>
  <c r="L272" i="7" s="1"/>
  <c r="I272" i="7"/>
  <c r="H272" i="7"/>
  <c r="U271" i="7"/>
  <c r="T271" i="7"/>
  <c r="Q271" i="7"/>
  <c r="P271" i="7"/>
  <c r="O271" i="7"/>
  <c r="N271" i="7"/>
  <c r="M271" i="7"/>
  <c r="J271" i="7"/>
  <c r="K271" i="7" s="1"/>
  <c r="L271" i="7" s="1"/>
  <c r="I271" i="7"/>
  <c r="H271" i="7"/>
  <c r="U270" i="7"/>
  <c r="T270" i="7"/>
  <c r="Q270" i="7"/>
  <c r="P270" i="7"/>
  <c r="O270" i="7"/>
  <c r="R270" i="7" s="1"/>
  <c r="N270" i="7"/>
  <c r="M270" i="7"/>
  <c r="J270" i="7"/>
  <c r="K270" i="7" s="1"/>
  <c r="L270" i="7" s="1"/>
  <c r="I270" i="7"/>
  <c r="H270" i="7"/>
  <c r="U269" i="7"/>
  <c r="T269" i="7"/>
  <c r="Q269" i="7"/>
  <c r="P269" i="7"/>
  <c r="O269" i="7"/>
  <c r="R269" i="7" s="1"/>
  <c r="N269" i="7"/>
  <c r="M269" i="7"/>
  <c r="J269" i="7"/>
  <c r="K269" i="7" s="1"/>
  <c r="L269" i="7" s="1"/>
  <c r="I269" i="7"/>
  <c r="H269" i="7"/>
  <c r="U268" i="7"/>
  <c r="T268" i="7"/>
  <c r="Q268" i="7"/>
  <c r="P268" i="7"/>
  <c r="O268" i="7"/>
  <c r="N268" i="7"/>
  <c r="M268" i="7"/>
  <c r="J268" i="7"/>
  <c r="K268" i="7" s="1"/>
  <c r="L268" i="7" s="1"/>
  <c r="I268" i="7"/>
  <c r="H268" i="7"/>
  <c r="U267" i="7"/>
  <c r="T267" i="7"/>
  <c r="Q267" i="7"/>
  <c r="P267" i="7"/>
  <c r="O267" i="7"/>
  <c r="R267" i="7" s="1"/>
  <c r="N267" i="7"/>
  <c r="M267" i="7"/>
  <c r="J267" i="7"/>
  <c r="K267" i="7" s="1"/>
  <c r="L267" i="7" s="1"/>
  <c r="I267" i="7"/>
  <c r="H267" i="7"/>
  <c r="U266" i="7"/>
  <c r="T266" i="7"/>
  <c r="Q266" i="7"/>
  <c r="P266" i="7"/>
  <c r="O266" i="7"/>
  <c r="R266" i="7" s="1"/>
  <c r="N266" i="7"/>
  <c r="M266" i="7"/>
  <c r="J266" i="7"/>
  <c r="K266" i="7" s="1"/>
  <c r="L266" i="7" s="1"/>
  <c r="I266" i="7"/>
  <c r="H266" i="7"/>
  <c r="U265" i="7"/>
  <c r="T265" i="7"/>
  <c r="Q265" i="7"/>
  <c r="P265" i="7"/>
  <c r="O265" i="7"/>
  <c r="R265" i="7" s="1"/>
  <c r="N265" i="7"/>
  <c r="M265" i="7"/>
  <c r="J265" i="7"/>
  <c r="K265" i="7" s="1"/>
  <c r="L265" i="7" s="1"/>
  <c r="I265" i="7"/>
  <c r="H265" i="7"/>
  <c r="U264" i="7"/>
  <c r="T264" i="7"/>
  <c r="Q264" i="7"/>
  <c r="P264" i="7"/>
  <c r="O264" i="7"/>
  <c r="N264" i="7"/>
  <c r="M264" i="7"/>
  <c r="J264" i="7"/>
  <c r="K264" i="7" s="1"/>
  <c r="L264" i="7" s="1"/>
  <c r="I264" i="7"/>
  <c r="H264" i="7"/>
  <c r="U263" i="7"/>
  <c r="T263" i="7"/>
  <c r="Q263" i="7"/>
  <c r="P263" i="7"/>
  <c r="O263" i="7"/>
  <c r="N263" i="7"/>
  <c r="M263" i="7"/>
  <c r="J263" i="7"/>
  <c r="K263" i="7" s="1"/>
  <c r="L263" i="7" s="1"/>
  <c r="I263" i="7"/>
  <c r="H263" i="7"/>
  <c r="U262" i="7"/>
  <c r="T262" i="7"/>
  <c r="Q262" i="7"/>
  <c r="P262" i="7"/>
  <c r="O262" i="7"/>
  <c r="R262" i="7" s="1"/>
  <c r="N262" i="7"/>
  <c r="M262" i="7"/>
  <c r="J262" i="7"/>
  <c r="K262" i="7" s="1"/>
  <c r="L262" i="7" s="1"/>
  <c r="I262" i="7"/>
  <c r="H262" i="7"/>
  <c r="U261" i="7"/>
  <c r="T261" i="7"/>
  <c r="Q261" i="7"/>
  <c r="P261" i="7"/>
  <c r="O261" i="7"/>
  <c r="R261" i="7" s="1"/>
  <c r="N261" i="7"/>
  <c r="M261" i="7"/>
  <c r="J261" i="7"/>
  <c r="K261" i="7" s="1"/>
  <c r="L261" i="7" s="1"/>
  <c r="I261" i="7"/>
  <c r="H261" i="7"/>
  <c r="U260" i="7"/>
  <c r="T260" i="7"/>
  <c r="Q260" i="7"/>
  <c r="P260" i="7"/>
  <c r="O260" i="7"/>
  <c r="N260" i="7"/>
  <c r="M260" i="7"/>
  <c r="J260" i="7"/>
  <c r="K260" i="7" s="1"/>
  <c r="L260" i="7" s="1"/>
  <c r="I260" i="7"/>
  <c r="H260" i="7"/>
  <c r="U259" i="7"/>
  <c r="T259" i="7"/>
  <c r="Q259" i="7"/>
  <c r="P259" i="7"/>
  <c r="O259" i="7"/>
  <c r="R259" i="7" s="1"/>
  <c r="N259" i="7"/>
  <c r="M259" i="7"/>
  <c r="J259" i="7"/>
  <c r="K259" i="7" s="1"/>
  <c r="L259" i="7" s="1"/>
  <c r="I259" i="7"/>
  <c r="H259" i="7"/>
  <c r="U258" i="7"/>
  <c r="T258" i="7"/>
  <c r="Q258" i="7"/>
  <c r="P258" i="7"/>
  <c r="O258" i="7"/>
  <c r="R258" i="7" s="1"/>
  <c r="N258" i="7"/>
  <c r="M258" i="7"/>
  <c r="J258" i="7"/>
  <c r="K258" i="7" s="1"/>
  <c r="L258" i="7" s="1"/>
  <c r="I258" i="7"/>
  <c r="H258" i="7"/>
  <c r="U257" i="7"/>
  <c r="T257" i="7"/>
  <c r="Q257" i="7"/>
  <c r="P257" i="7"/>
  <c r="O257" i="7"/>
  <c r="R257" i="7" s="1"/>
  <c r="N257" i="7"/>
  <c r="M257" i="7"/>
  <c r="J257" i="7"/>
  <c r="K257" i="7" s="1"/>
  <c r="L257" i="7" s="1"/>
  <c r="I257" i="7"/>
  <c r="H257" i="7"/>
  <c r="U256" i="7"/>
  <c r="T256" i="7"/>
  <c r="Q256" i="7"/>
  <c r="P256" i="7"/>
  <c r="O256" i="7"/>
  <c r="N256" i="7"/>
  <c r="M256" i="7"/>
  <c r="J256" i="7"/>
  <c r="K256" i="7" s="1"/>
  <c r="L256" i="7" s="1"/>
  <c r="I256" i="7"/>
  <c r="H256" i="7"/>
  <c r="U255" i="7"/>
  <c r="T255" i="7"/>
  <c r="Q255" i="7"/>
  <c r="P255" i="7"/>
  <c r="O255" i="7"/>
  <c r="R255" i="7" s="1"/>
  <c r="N255" i="7"/>
  <c r="M255" i="7"/>
  <c r="J255" i="7"/>
  <c r="K255" i="7" s="1"/>
  <c r="L255" i="7" s="1"/>
  <c r="I255" i="7"/>
  <c r="H255" i="7"/>
  <c r="U254" i="7"/>
  <c r="T254" i="7"/>
  <c r="Q254" i="7"/>
  <c r="P254" i="7"/>
  <c r="O254" i="7"/>
  <c r="R254" i="7" s="1"/>
  <c r="N254" i="7"/>
  <c r="M254" i="7"/>
  <c r="J254" i="7"/>
  <c r="K254" i="7" s="1"/>
  <c r="L254" i="7" s="1"/>
  <c r="I254" i="7"/>
  <c r="H254" i="7"/>
  <c r="U253" i="7"/>
  <c r="T253" i="7"/>
  <c r="Q253" i="7"/>
  <c r="P253" i="7"/>
  <c r="O253" i="7"/>
  <c r="R253" i="7" s="1"/>
  <c r="N253" i="7"/>
  <c r="M253" i="7"/>
  <c r="J253" i="7"/>
  <c r="K253" i="7" s="1"/>
  <c r="L253" i="7" s="1"/>
  <c r="I253" i="7"/>
  <c r="H253" i="7"/>
  <c r="U252" i="7"/>
  <c r="T252" i="7"/>
  <c r="Q252" i="7"/>
  <c r="P252" i="7"/>
  <c r="O252" i="7"/>
  <c r="R252" i="7" s="1"/>
  <c r="N252" i="7"/>
  <c r="M252" i="7"/>
  <c r="J252" i="7"/>
  <c r="K252" i="7" s="1"/>
  <c r="L252" i="7" s="1"/>
  <c r="I252" i="7"/>
  <c r="H252" i="7"/>
  <c r="U251" i="7"/>
  <c r="T251" i="7"/>
  <c r="Q251" i="7"/>
  <c r="P251" i="7"/>
  <c r="O251" i="7"/>
  <c r="N251" i="7"/>
  <c r="M251" i="7"/>
  <c r="J251" i="7"/>
  <c r="K251" i="7" s="1"/>
  <c r="L251" i="7" s="1"/>
  <c r="I251" i="7"/>
  <c r="H251" i="7"/>
  <c r="U250" i="7"/>
  <c r="T250" i="7"/>
  <c r="Q250" i="7"/>
  <c r="P250" i="7"/>
  <c r="O250" i="7"/>
  <c r="R250" i="7" s="1"/>
  <c r="N250" i="7"/>
  <c r="M250" i="7"/>
  <c r="J250" i="7"/>
  <c r="K250" i="7" s="1"/>
  <c r="L250" i="7" s="1"/>
  <c r="I250" i="7"/>
  <c r="H250" i="7"/>
  <c r="U249" i="7"/>
  <c r="T249" i="7"/>
  <c r="Q249" i="7"/>
  <c r="P249" i="7"/>
  <c r="O249" i="7"/>
  <c r="R249" i="7" s="1"/>
  <c r="N249" i="7"/>
  <c r="M249" i="7"/>
  <c r="J249" i="7"/>
  <c r="K249" i="7" s="1"/>
  <c r="L249" i="7" s="1"/>
  <c r="I249" i="7"/>
  <c r="H249" i="7"/>
  <c r="U248" i="7"/>
  <c r="T248" i="7"/>
  <c r="Q248" i="7"/>
  <c r="P248" i="7"/>
  <c r="O248" i="7"/>
  <c r="R248" i="7" s="1"/>
  <c r="N248" i="7"/>
  <c r="M248" i="7"/>
  <c r="J248" i="7"/>
  <c r="K248" i="7" s="1"/>
  <c r="L248" i="7" s="1"/>
  <c r="I248" i="7"/>
  <c r="H248" i="7"/>
  <c r="U247" i="7"/>
  <c r="T247" i="7"/>
  <c r="Q247" i="7"/>
  <c r="P247" i="7"/>
  <c r="O247" i="7"/>
  <c r="N247" i="7"/>
  <c r="M247" i="7"/>
  <c r="J247" i="7"/>
  <c r="K247" i="7" s="1"/>
  <c r="L247" i="7" s="1"/>
  <c r="I247" i="7"/>
  <c r="H247" i="7"/>
  <c r="U246" i="7"/>
  <c r="T246" i="7"/>
  <c r="Q246" i="7"/>
  <c r="P246" i="7"/>
  <c r="O246" i="7"/>
  <c r="N246" i="7"/>
  <c r="M246" i="7"/>
  <c r="J246" i="7"/>
  <c r="K246" i="7" s="1"/>
  <c r="L246" i="7" s="1"/>
  <c r="I246" i="7"/>
  <c r="H246" i="7"/>
  <c r="U245" i="7"/>
  <c r="T245" i="7"/>
  <c r="Q245" i="7"/>
  <c r="P245" i="7"/>
  <c r="O245" i="7"/>
  <c r="R245" i="7" s="1"/>
  <c r="N245" i="7"/>
  <c r="M245" i="7"/>
  <c r="J245" i="7"/>
  <c r="K245" i="7" s="1"/>
  <c r="L245" i="7" s="1"/>
  <c r="I245" i="7"/>
  <c r="H245" i="7"/>
  <c r="U244" i="7"/>
  <c r="T244" i="7"/>
  <c r="Q244" i="7"/>
  <c r="P244" i="7"/>
  <c r="O244" i="7"/>
  <c r="N244" i="7"/>
  <c r="M244" i="7"/>
  <c r="J244" i="7"/>
  <c r="K244" i="7" s="1"/>
  <c r="L244" i="7" s="1"/>
  <c r="I244" i="7"/>
  <c r="H244" i="7"/>
  <c r="U243" i="7"/>
  <c r="T243" i="7"/>
  <c r="Q243" i="7"/>
  <c r="P243" i="7"/>
  <c r="O243" i="7"/>
  <c r="N243" i="7"/>
  <c r="M243" i="7"/>
  <c r="J243" i="7"/>
  <c r="K243" i="7" s="1"/>
  <c r="L243" i="7" s="1"/>
  <c r="I243" i="7"/>
  <c r="H243" i="7"/>
  <c r="U242" i="7"/>
  <c r="T242" i="7"/>
  <c r="Q242" i="7"/>
  <c r="P242" i="7"/>
  <c r="O242" i="7"/>
  <c r="R242" i="7" s="1"/>
  <c r="N242" i="7"/>
  <c r="M242" i="7"/>
  <c r="J242" i="7"/>
  <c r="K242" i="7" s="1"/>
  <c r="L242" i="7" s="1"/>
  <c r="I242" i="7"/>
  <c r="H242" i="7"/>
  <c r="U241" i="7"/>
  <c r="T241" i="7"/>
  <c r="Q241" i="7"/>
  <c r="P241" i="7"/>
  <c r="O241" i="7"/>
  <c r="R241" i="7" s="1"/>
  <c r="N241" i="7"/>
  <c r="M241" i="7"/>
  <c r="J241" i="7"/>
  <c r="K241" i="7" s="1"/>
  <c r="L241" i="7" s="1"/>
  <c r="I241" i="7"/>
  <c r="H241" i="7"/>
  <c r="U240" i="7"/>
  <c r="T240" i="7"/>
  <c r="Q240" i="7"/>
  <c r="P240" i="7"/>
  <c r="O240" i="7"/>
  <c r="R240" i="7" s="1"/>
  <c r="N240" i="7"/>
  <c r="M240" i="7"/>
  <c r="J240" i="7"/>
  <c r="K240" i="7" s="1"/>
  <c r="L240" i="7" s="1"/>
  <c r="I240" i="7"/>
  <c r="H240" i="7"/>
  <c r="U239" i="7"/>
  <c r="T239" i="7"/>
  <c r="Q239" i="7"/>
  <c r="P239" i="7"/>
  <c r="O239" i="7"/>
  <c r="N239" i="7"/>
  <c r="M239" i="7"/>
  <c r="J239" i="7"/>
  <c r="K239" i="7" s="1"/>
  <c r="L239" i="7" s="1"/>
  <c r="I239" i="7"/>
  <c r="H239" i="7"/>
  <c r="U238" i="7"/>
  <c r="T238" i="7"/>
  <c r="Q238" i="7"/>
  <c r="P238" i="7"/>
  <c r="O238" i="7"/>
  <c r="N238" i="7"/>
  <c r="M238" i="7"/>
  <c r="J238" i="7"/>
  <c r="K238" i="7" s="1"/>
  <c r="L238" i="7" s="1"/>
  <c r="I238" i="7"/>
  <c r="H238" i="7"/>
  <c r="U237" i="7"/>
  <c r="T237" i="7"/>
  <c r="Q237" i="7"/>
  <c r="P237" i="7"/>
  <c r="O237" i="7"/>
  <c r="R237" i="7" s="1"/>
  <c r="N237" i="7"/>
  <c r="M237" i="7"/>
  <c r="J237" i="7"/>
  <c r="K237" i="7" s="1"/>
  <c r="L237" i="7" s="1"/>
  <c r="I237" i="7"/>
  <c r="H237" i="7"/>
  <c r="U236" i="7"/>
  <c r="T236" i="7"/>
  <c r="Q236" i="7"/>
  <c r="P236" i="7"/>
  <c r="O236" i="7"/>
  <c r="R236" i="7" s="1"/>
  <c r="N236" i="7"/>
  <c r="M236" i="7"/>
  <c r="J236" i="7"/>
  <c r="K236" i="7" s="1"/>
  <c r="L236" i="7" s="1"/>
  <c r="I236" i="7"/>
  <c r="H236" i="7"/>
  <c r="U235" i="7"/>
  <c r="T235" i="7"/>
  <c r="Q235" i="7"/>
  <c r="P235" i="7"/>
  <c r="O235" i="7"/>
  <c r="N235" i="7"/>
  <c r="M235" i="7"/>
  <c r="J235" i="7"/>
  <c r="K235" i="7" s="1"/>
  <c r="L235" i="7" s="1"/>
  <c r="I235" i="7"/>
  <c r="H235" i="7"/>
  <c r="U234" i="7"/>
  <c r="T234" i="7"/>
  <c r="Q234" i="7"/>
  <c r="P234" i="7"/>
  <c r="O234" i="7"/>
  <c r="R234" i="7" s="1"/>
  <c r="N234" i="7"/>
  <c r="M234" i="7"/>
  <c r="J234" i="7"/>
  <c r="K234" i="7" s="1"/>
  <c r="L234" i="7" s="1"/>
  <c r="I234" i="7"/>
  <c r="H234" i="7"/>
  <c r="U233" i="7"/>
  <c r="T233" i="7"/>
  <c r="Q233" i="7"/>
  <c r="P233" i="7"/>
  <c r="O233" i="7"/>
  <c r="R233" i="7" s="1"/>
  <c r="N233" i="7"/>
  <c r="M233" i="7"/>
  <c r="J233" i="7"/>
  <c r="K233" i="7" s="1"/>
  <c r="L233" i="7" s="1"/>
  <c r="I233" i="7"/>
  <c r="H233" i="7"/>
  <c r="U232" i="7"/>
  <c r="T232" i="7"/>
  <c r="Q232" i="7"/>
  <c r="P232" i="7"/>
  <c r="O232" i="7"/>
  <c r="R232" i="7" s="1"/>
  <c r="N232" i="7"/>
  <c r="M232" i="7"/>
  <c r="J232" i="7"/>
  <c r="K232" i="7" s="1"/>
  <c r="L232" i="7" s="1"/>
  <c r="I232" i="7"/>
  <c r="H232" i="7"/>
  <c r="U231" i="7"/>
  <c r="T231" i="7"/>
  <c r="Q231" i="7"/>
  <c r="P231" i="7"/>
  <c r="O231" i="7"/>
  <c r="N231" i="7"/>
  <c r="M231" i="7"/>
  <c r="J231" i="7"/>
  <c r="K231" i="7" s="1"/>
  <c r="L231" i="7" s="1"/>
  <c r="I231" i="7"/>
  <c r="H231" i="7"/>
  <c r="U230" i="7"/>
  <c r="T230" i="7"/>
  <c r="Q230" i="7"/>
  <c r="P230" i="7"/>
  <c r="O230" i="7"/>
  <c r="N230" i="7"/>
  <c r="M230" i="7"/>
  <c r="J230" i="7"/>
  <c r="K230" i="7" s="1"/>
  <c r="L230" i="7" s="1"/>
  <c r="I230" i="7"/>
  <c r="H230" i="7"/>
  <c r="U229" i="7"/>
  <c r="T229" i="7"/>
  <c r="Q229" i="7"/>
  <c r="P229" i="7"/>
  <c r="O229" i="7"/>
  <c r="R229" i="7" s="1"/>
  <c r="N229" i="7"/>
  <c r="M229" i="7"/>
  <c r="J229" i="7"/>
  <c r="K229" i="7" s="1"/>
  <c r="L229" i="7" s="1"/>
  <c r="I229" i="7"/>
  <c r="H229" i="7"/>
  <c r="U228" i="7"/>
  <c r="T228" i="7"/>
  <c r="Q228" i="7"/>
  <c r="P228" i="7"/>
  <c r="O228" i="7"/>
  <c r="R228" i="7" s="1"/>
  <c r="N228" i="7"/>
  <c r="M228" i="7"/>
  <c r="J228" i="7"/>
  <c r="K228" i="7" s="1"/>
  <c r="L228" i="7" s="1"/>
  <c r="I228" i="7"/>
  <c r="H228" i="7"/>
  <c r="U227" i="7"/>
  <c r="T227" i="7"/>
  <c r="Q227" i="7"/>
  <c r="P227" i="7"/>
  <c r="O227" i="7"/>
  <c r="N227" i="7"/>
  <c r="M227" i="7"/>
  <c r="J227" i="7"/>
  <c r="K227" i="7" s="1"/>
  <c r="L227" i="7" s="1"/>
  <c r="I227" i="7"/>
  <c r="H227" i="7"/>
  <c r="U226" i="7"/>
  <c r="T226" i="7"/>
  <c r="Q226" i="7"/>
  <c r="P226" i="7"/>
  <c r="O226" i="7"/>
  <c r="R226" i="7" s="1"/>
  <c r="N226" i="7"/>
  <c r="M226" i="7"/>
  <c r="J226" i="7"/>
  <c r="K226" i="7" s="1"/>
  <c r="L226" i="7" s="1"/>
  <c r="I226" i="7"/>
  <c r="H226" i="7"/>
  <c r="U225" i="7"/>
  <c r="T225" i="7"/>
  <c r="Q225" i="7"/>
  <c r="P225" i="7"/>
  <c r="O225" i="7"/>
  <c r="R225" i="7" s="1"/>
  <c r="N225" i="7"/>
  <c r="M225" i="7"/>
  <c r="J225" i="7"/>
  <c r="K225" i="7" s="1"/>
  <c r="L225" i="7" s="1"/>
  <c r="I225" i="7"/>
  <c r="H225" i="7"/>
  <c r="U224" i="7"/>
  <c r="T224" i="7"/>
  <c r="Q224" i="7"/>
  <c r="P224" i="7"/>
  <c r="O224" i="7"/>
  <c r="R224" i="7" s="1"/>
  <c r="N224" i="7"/>
  <c r="M224" i="7"/>
  <c r="J224" i="7"/>
  <c r="K224" i="7" s="1"/>
  <c r="L224" i="7" s="1"/>
  <c r="I224" i="7"/>
  <c r="H224" i="7"/>
  <c r="U223" i="7"/>
  <c r="T223" i="7"/>
  <c r="Q223" i="7"/>
  <c r="P223" i="7"/>
  <c r="O223" i="7"/>
  <c r="N223" i="7"/>
  <c r="M223" i="7"/>
  <c r="J223" i="7"/>
  <c r="K223" i="7" s="1"/>
  <c r="L223" i="7" s="1"/>
  <c r="I223" i="7"/>
  <c r="H223" i="7"/>
  <c r="U222" i="7"/>
  <c r="T222" i="7"/>
  <c r="Q222" i="7"/>
  <c r="P222" i="7"/>
  <c r="O222" i="7"/>
  <c r="R222" i="7" s="1"/>
  <c r="N222" i="7"/>
  <c r="M222" i="7"/>
  <c r="J222" i="7"/>
  <c r="K222" i="7" s="1"/>
  <c r="L222" i="7" s="1"/>
  <c r="I222" i="7"/>
  <c r="H222" i="7"/>
  <c r="U221" i="7"/>
  <c r="T221" i="7"/>
  <c r="Q221" i="7"/>
  <c r="P221" i="7"/>
  <c r="O221" i="7"/>
  <c r="R221" i="7" s="1"/>
  <c r="N221" i="7"/>
  <c r="M221" i="7"/>
  <c r="J221" i="7"/>
  <c r="K221" i="7" s="1"/>
  <c r="L221" i="7" s="1"/>
  <c r="I221" i="7"/>
  <c r="H221" i="7"/>
  <c r="U220" i="7"/>
  <c r="T220" i="7"/>
  <c r="Q220" i="7"/>
  <c r="P220" i="7"/>
  <c r="O220" i="7"/>
  <c r="R220" i="7" s="1"/>
  <c r="N220" i="7"/>
  <c r="M220" i="7"/>
  <c r="J220" i="7"/>
  <c r="K220" i="7" s="1"/>
  <c r="L220" i="7" s="1"/>
  <c r="I220" i="7"/>
  <c r="H220" i="7"/>
  <c r="U219" i="7"/>
  <c r="T219" i="7"/>
  <c r="Q219" i="7"/>
  <c r="P219" i="7"/>
  <c r="O219" i="7"/>
  <c r="N219" i="7"/>
  <c r="M219" i="7"/>
  <c r="J219" i="7"/>
  <c r="K219" i="7" s="1"/>
  <c r="L219" i="7" s="1"/>
  <c r="I219" i="7"/>
  <c r="H219" i="7"/>
  <c r="U218" i="7"/>
  <c r="T218" i="7"/>
  <c r="Q218" i="7"/>
  <c r="P218" i="7"/>
  <c r="O218" i="7"/>
  <c r="N218" i="7"/>
  <c r="M218" i="7"/>
  <c r="J218" i="7"/>
  <c r="K218" i="7" s="1"/>
  <c r="L218" i="7" s="1"/>
  <c r="I218" i="7"/>
  <c r="H218" i="7"/>
  <c r="U217" i="7"/>
  <c r="T217" i="7"/>
  <c r="Q217" i="7"/>
  <c r="P217" i="7"/>
  <c r="O217" i="7"/>
  <c r="R217" i="7" s="1"/>
  <c r="N217" i="7"/>
  <c r="M217" i="7"/>
  <c r="J217" i="7"/>
  <c r="K217" i="7" s="1"/>
  <c r="L217" i="7" s="1"/>
  <c r="I217" i="7"/>
  <c r="H217" i="7"/>
  <c r="U216" i="7"/>
  <c r="T216" i="7"/>
  <c r="Q216" i="7"/>
  <c r="P216" i="7"/>
  <c r="O216" i="7"/>
  <c r="R216" i="7" s="1"/>
  <c r="N216" i="7"/>
  <c r="M216" i="7"/>
  <c r="J216" i="7"/>
  <c r="K216" i="7" s="1"/>
  <c r="L216" i="7" s="1"/>
  <c r="I216" i="7"/>
  <c r="H216" i="7"/>
  <c r="U215" i="7"/>
  <c r="T215" i="7"/>
  <c r="Q215" i="7"/>
  <c r="P215" i="7"/>
  <c r="O215" i="7"/>
  <c r="N215" i="7"/>
  <c r="M215" i="7"/>
  <c r="J215" i="7"/>
  <c r="K215" i="7" s="1"/>
  <c r="L215" i="7" s="1"/>
  <c r="I215" i="7"/>
  <c r="H215" i="7"/>
  <c r="U214" i="7"/>
  <c r="T214" i="7"/>
  <c r="Q214" i="7"/>
  <c r="P214" i="7"/>
  <c r="O214" i="7"/>
  <c r="R214" i="7" s="1"/>
  <c r="N214" i="7"/>
  <c r="M214" i="7"/>
  <c r="J214" i="7"/>
  <c r="K214" i="7" s="1"/>
  <c r="L214" i="7" s="1"/>
  <c r="I214" i="7"/>
  <c r="H214" i="7"/>
  <c r="U213" i="7"/>
  <c r="T213" i="7"/>
  <c r="Q213" i="7"/>
  <c r="P213" i="7"/>
  <c r="O213" i="7"/>
  <c r="R213" i="7" s="1"/>
  <c r="N213" i="7"/>
  <c r="M213" i="7"/>
  <c r="J213" i="7"/>
  <c r="K213" i="7" s="1"/>
  <c r="L213" i="7" s="1"/>
  <c r="I213" i="7"/>
  <c r="H213" i="7"/>
  <c r="U212" i="7"/>
  <c r="T212" i="7"/>
  <c r="Q212" i="7"/>
  <c r="P212" i="7"/>
  <c r="O212" i="7"/>
  <c r="N212" i="7"/>
  <c r="M212" i="7"/>
  <c r="J212" i="7"/>
  <c r="K212" i="7" s="1"/>
  <c r="L212" i="7" s="1"/>
  <c r="I212" i="7"/>
  <c r="H212" i="7"/>
  <c r="U211" i="7"/>
  <c r="T211" i="7"/>
  <c r="Q211" i="7"/>
  <c r="P211" i="7"/>
  <c r="O211" i="7"/>
  <c r="N211" i="7"/>
  <c r="M211" i="7"/>
  <c r="J211" i="7"/>
  <c r="K211" i="7" s="1"/>
  <c r="L211" i="7" s="1"/>
  <c r="I211" i="7"/>
  <c r="H211" i="7"/>
  <c r="U210" i="7"/>
  <c r="T210" i="7"/>
  <c r="Q210" i="7"/>
  <c r="P210" i="7"/>
  <c r="O210" i="7"/>
  <c r="N210" i="7"/>
  <c r="M210" i="7"/>
  <c r="J210" i="7"/>
  <c r="K210" i="7" s="1"/>
  <c r="L210" i="7" s="1"/>
  <c r="I210" i="7"/>
  <c r="H210" i="7"/>
  <c r="U209" i="7"/>
  <c r="T209" i="7"/>
  <c r="Q209" i="7"/>
  <c r="P209" i="7"/>
  <c r="O209" i="7"/>
  <c r="R209" i="7" s="1"/>
  <c r="N209" i="7"/>
  <c r="M209" i="7"/>
  <c r="J209" i="7"/>
  <c r="K209" i="7" s="1"/>
  <c r="L209" i="7" s="1"/>
  <c r="I209" i="7"/>
  <c r="H209" i="7"/>
  <c r="U208" i="7"/>
  <c r="T208" i="7"/>
  <c r="Q208" i="7"/>
  <c r="P208" i="7"/>
  <c r="O208" i="7"/>
  <c r="R208" i="7" s="1"/>
  <c r="N208" i="7"/>
  <c r="M208" i="7"/>
  <c r="J208" i="7"/>
  <c r="K208" i="7" s="1"/>
  <c r="L208" i="7" s="1"/>
  <c r="I208" i="7"/>
  <c r="H208" i="7"/>
  <c r="U207" i="7"/>
  <c r="T207" i="7"/>
  <c r="Q207" i="7"/>
  <c r="P207" i="7"/>
  <c r="O207" i="7"/>
  <c r="N207" i="7"/>
  <c r="M207" i="7"/>
  <c r="J207" i="7"/>
  <c r="K207" i="7" s="1"/>
  <c r="L207" i="7" s="1"/>
  <c r="I207" i="7"/>
  <c r="H207" i="7"/>
  <c r="U206" i="7"/>
  <c r="T206" i="7"/>
  <c r="Q206" i="7"/>
  <c r="P206" i="7"/>
  <c r="O206" i="7"/>
  <c r="N206" i="7"/>
  <c r="M206" i="7"/>
  <c r="J206" i="7"/>
  <c r="K206" i="7" s="1"/>
  <c r="L206" i="7" s="1"/>
  <c r="I206" i="7"/>
  <c r="H206" i="7"/>
  <c r="U205" i="7"/>
  <c r="T205" i="7"/>
  <c r="Q205" i="7"/>
  <c r="P205" i="7"/>
  <c r="O205" i="7"/>
  <c r="R205" i="7" s="1"/>
  <c r="N205" i="7"/>
  <c r="M205" i="7"/>
  <c r="J205" i="7"/>
  <c r="K205" i="7" s="1"/>
  <c r="L205" i="7" s="1"/>
  <c r="I205" i="7"/>
  <c r="H205" i="7"/>
  <c r="U204" i="7"/>
  <c r="T204" i="7"/>
  <c r="Q204" i="7"/>
  <c r="P204" i="7"/>
  <c r="O204" i="7"/>
  <c r="R204" i="7" s="1"/>
  <c r="N204" i="7"/>
  <c r="M204" i="7"/>
  <c r="J204" i="7"/>
  <c r="K204" i="7" s="1"/>
  <c r="L204" i="7" s="1"/>
  <c r="I204" i="7"/>
  <c r="H204" i="7"/>
  <c r="U203" i="7"/>
  <c r="T203" i="7"/>
  <c r="Q203" i="7"/>
  <c r="P203" i="7"/>
  <c r="O203" i="7"/>
  <c r="N203" i="7"/>
  <c r="M203" i="7"/>
  <c r="J203" i="7"/>
  <c r="K203" i="7" s="1"/>
  <c r="L203" i="7" s="1"/>
  <c r="I203" i="7"/>
  <c r="H203" i="7"/>
  <c r="U202" i="7"/>
  <c r="T202" i="7"/>
  <c r="Q202" i="7"/>
  <c r="P202" i="7"/>
  <c r="O202" i="7"/>
  <c r="R202" i="7" s="1"/>
  <c r="N202" i="7"/>
  <c r="M202" i="7"/>
  <c r="J202" i="7"/>
  <c r="K202" i="7" s="1"/>
  <c r="L202" i="7" s="1"/>
  <c r="I202" i="7"/>
  <c r="H202" i="7"/>
  <c r="U201" i="7"/>
  <c r="T201" i="7"/>
  <c r="Q201" i="7"/>
  <c r="P201" i="7"/>
  <c r="O201" i="7"/>
  <c r="R201" i="7" s="1"/>
  <c r="N201" i="7"/>
  <c r="M201" i="7"/>
  <c r="J201" i="7"/>
  <c r="K201" i="7" s="1"/>
  <c r="L201" i="7" s="1"/>
  <c r="I201" i="7"/>
  <c r="H201" i="7"/>
  <c r="U200" i="7"/>
  <c r="T200" i="7"/>
  <c r="Q200" i="7"/>
  <c r="P200" i="7"/>
  <c r="O200" i="7"/>
  <c r="R200" i="7" s="1"/>
  <c r="N200" i="7"/>
  <c r="M200" i="7"/>
  <c r="J200" i="7"/>
  <c r="K200" i="7" s="1"/>
  <c r="L200" i="7" s="1"/>
  <c r="I200" i="7"/>
  <c r="H200" i="7"/>
  <c r="U199" i="7"/>
  <c r="T199" i="7"/>
  <c r="Q199" i="7"/>
  <c r="P199" i="7"/>
  <c r="O199" i="7"/>
  <c r="N199" i="7"/>
  <c r="M199" i="7"/>
  <c r="J199" i="7"/>
  <c r="K199" i="7" s="1"/>
  <c r="L199" i="7" s="1"/>
  <c r="I199" i="7"/>
  <c r="H199" i="7"/>
  <c r="U198" i="7"/>
  <c r="T198" i="7"/>
  <c r="Q198" i="7"/>
  <c r="P198" i="7"/>
  <c r="O198" i="7"/>
  <c r="N198" i="7"/>
  <c r="M198" i="7"/>
  <c r="J198" i="7"/>
  <c r="K198" i="7" s="1"/>
  <c r="L198" i="7" s="1"/>
  <c r="I198" i="7"/>
  <c r="H198" i="7"/>
  <c r="U197" i="7"/>
  <c r="T197" i="7"/>
  <c r="Q197" i="7"/>
  <c r="P197" i="7"/>
  <c r="O197" i="7"/>
  <c r="R197" i="7" s="1"/>
  <c r="N197" i="7"/>
  <c r="M197" i="7"/>
  <c r="J197" i="7"/>
  <c r="K197" i="7" s="1"/>
  <c r="L197" i="7" s="1"/>
  <c r="I197" i="7"/>
  <c r="H197" i="7"/>
  <c r="U196" i="7"/>
  <c r="T196" i="7"/>
  <c r="Q196" i="7"/>
  <c r="P196" i="7"/>
  <c r="O196" i="7"/>
  <c r="R196" i="7" s="1"/>
  <c r="N196" i="7"/>
  <c r="M196" i="7"/>
  <c r="J196" i="7"/>
  <c r="K196" i="7" s="1"/>
  <c r="L196" i="7" s="1"/>
  <c r="I196" i="7"/>
  <c r="H196" i="7"/>
  <c r="U195" i="7"/>
  <c r="T195" i="7"/>
  <c r="Q195" i="7"/>
  <c r="P195" i="7"/>
  <c r="O195" i="7"/>
  <c r="N195" i="7"/>
  <c r="M195" i="7"/>
  <c r="J195" i="7"/>
  <c r="K195" i="7" s="1"/>
  <c r="L195" i="7" s="1"/>
  <c r="I195" i="7"/>
  <c r="H195" i="7"/>
  <c r="U194" i="7"/>
  <c r="T194" i="7"/>
  <c r="Q194" i="7"/>
  <c r="P194" i="7"/>
  <c r="O194" i="7"/>
  <c r="N194" i="7"/>
  <c r="M194" i="7"/>
  <c r="J194" i="7"/>
  <c r="K194" i="7" s="1"/>
  <c r="L194" i="7" s="1"/>
  <c r="I194" i="7"/>
  <c r="H194" i="7"/>
  <c r="U193" i="7"/>
  <c r="T193" i="7"/>
  <c r="Q193" i="7"/>
  <c r="P193" i="7"/>
  <c r="O193" i="7"/>
  <c r="R193" i="7" s="1"/>
  <c r="N193" i="7"/>
  <c r="M193" i="7"/>
  <c r="J193" i="7"/>
  <c r="K193" i="7" s="1"/>
  <c r="L193" i="7" s="1"/>
  <c r="I193" i="7"/>
  <c r="H193" i="7"/>
  <c r="U192" i="7"/>
  <c r="T192" i="7"/>
  <c r="Q192" i="7"/>
  <c r="P192" i="7"/>
  <c r="O192" i="7"/>
  <c r="R192" i="7" s="1"/>
  <c r="N192" i="7"/>
  <c r="M192" i="7"/>
  <c r="J192" i="7"/>
  <c r="K192" i="7" s="1"/>
  <c r="L192" i="7" s="1"/>
  <c r="I192" i="7"/>
  <c r="H192" i="7"/>
  <c r="U191" i="7"/>
  <c r="T191" i="7"/>
  <c r="Q191" i="7"/>
  <c r="P191" i="7"/>
  <c r="O191" i="7"/>
  <c r="N191" i="7"/>
  <c r="M191" i="7"/>
  <c r="J191" i="7"/>
  <c r="K191" i="7" s="1"/>
  <c r="L191" i="7" s="1"/>
  <c r="I191" i="7"/>
  <c r="H191" i="7"/>
  <c r="U190" i="7"/>
  <c r="T190" i="7"/>
  <c r="Q190" i="7"/>
  <c r="P190" i="7"/>
  <c r="O190" i="7"/>
  <c r="R190" i="7" s="1"/>
  <c r="N190" i="7"/>
  <c r="M190" i="7"/>
  <c r="J190" i="7"/>
  <c r="K190" i="7" s="1"/>
  <c r="L190" i="7" s="1"/>
  <c r="I190" i="7"/>
  <c r="H190" i="7"/>
  <c r="U189" i="7"/>
  <c r="T189" i="7"/>
  <c r="Q189" i="7"/>
  <c r="P189" i="7"/>
  <c r="O189" i="7"/>
  <c r="R189" i="7" s="1"/>
  <c r="N189" i="7"/>
  <c r="M189" i="7"/>
  <c r="J189" i="7"/>
  <c r="K189" i="7" s="1"/>
  <c r="L189" i="7" s="1"/>
  <c r="I189" i="7"/>
  <c r="H189" i="7"/>
  <c r="U188" i="7"/>
  <c r="T188" i="7"/>
  <c r="Q188" i="7"/>
  <c r="P188" i="7"/>
  <c r="O188" i="7"/>
  <c r="R188" i="7" s="1"/>
  <c r="N188" i="7"/>
  <c r="M188" i="7"/>
  <c r="J188" i="7"/>
  <c r="K188" i="7" s="1"/>
  <c r="L188" i="7" s="1"/>
  <c r="I188" i="7"/>
  <c r="H188" i="7"/>
  <c r="U187" i="7"/>
  <c r="T187" i="7"/>
  <c r="Q187" i="7"/>
  <c r="P187" i="7"/>
  <c r="O187" i="7"/>
  <c r="N187" i="7"/>
  <c r="M187" i="7"/>
  <c r="J187" i="7"/>
  <c r="K187" i="7" s="1"/>
  <c r="L187" i="7" s="1"/>
  <c r="I187" i="7"/>
  <c r="H187" i="7"/>
  <c r="U186" i="7"/>
  <c r="T186" i="7"/>
  <c r="Q186" i="7"/>
  <c r="P186" i="7"/>
  <c r="O186" i="7"/>
  <c r="N186" i="7"/>
  <c r="M186" i="7"/>
  <c r="J186" i="7"/>
  <c r="K186" i="7" s="1"/>
  <c r="L186" i="7" s="1"/>
  <c r="I186" i="7"/>
  <c r="H186" i="7"/>
  <c r="U185" i="7"/>
  <c r="T185" i="7"/>
  <c r="Q185" i="7"/>
  <c r="P185" i="7"/>
  <c r="O185" i="7"/>
  <c r="R185" i="7" s="1"/>
  <c r="N185" i="7"/>
  <c r="M185" i="7"/>
  <c r="J185" i="7"/>
  <c r="K185" i="7" s="1"/>
  <c r="L185" i="7" s="1"/>
  <c r="I185" i="7"/>
  <c r="H185" i="7"/>
  <c r="U184" i="7"/>
  <c r="T184" i="7"/>
  <c r="Q184" i="7"/>
  <c r="P184" i="7"/>
  <c r="O184" i="7"/>
  <c r="R184" i="7" s="1"/>
  <c r="N184" i="7"/>
  <c r="M184" i="7"/>
  <c r="J184" i="7"/>
  <c r="K184" i="7" s="1"/>
  <c r="L184" i="7" s="1"/>
  <c r="I184" i="7"/>
  <c r="H184" i="7"/>
  <c r="U183" i="7"/>
  <c r="T183" i="7"/>
  <c r="Q183" i="7"/>
  <c r="P183" i="7"/>
  <c r="O183" i="7"/>
  <c r="N183" i="7"/>
  <c r="M183" i="7"/>
  <c r="J183" i="7"/>
  <c r="K183" i="7" s="1"/>
  <c r="L183" i="7" s="1"/>
  <c r="I183" i="7"/>
  <c r="H183" i="7"/>
  <c r="U182" i="7"/>
  <c r="T182" i="7"/>
  <c r="Q182" i="7"/>
  <c r="P182" i="7"/>
  <c r="O182" i="7"/>
  <c r="N182" i="7"/>
  <c r="M182" i="7"/>
  <c r="J182" i="7"/>
  <c r="K182" i="7" s="1"/>
  <c r="L182" i="7" s="1"/>
  <c r="I182" i="7"/>
  <c r="H182" i="7"/>
  <c r="U181" i="7"/>
  <c r="T181" i="7"/>
  <c r="Q181" i="7"/>
  <c r="P181" i="7"/>
  <c r="O181" i="7"/>
  <c r="R181" i="7" s="1"/>
  <c r="N181" i="7"/>
  <c r="M181" i="7"/>
  <c r="J181" i="7"/>
  <c r="K181" i="7" s="1"/>
  <c r="L181" i="7" s="1"/>
  <c r="I181" i="7"/>
  <c r="H181" i="7"/>
  <c r="U180" i="7"/>
  <c r="T180" i="7"/>
  <c r="Q180" i="7"/>
  <c r="P180" i="7"/>
  <c r="O180" i="7"/>
  <c r="N180" i="7"/>
  <c r="M180" i="7"/>
  <c r="J180" i="7"/>
  <c r="K180" i="7" s="1"/>
  <c r="L180" i="7" s="1"/>
  <c r="I180" i="7"/>
  <c r="H180" i="7"/>
  <c r="U179" i="7"/>
  <c r="T179" i="7"/>
  <c r="Q179" i="7"/>
  <c r="P179" i="7"/>
  <c r="O179" i="7"/>
  <c r="N179" i="7"/>
  <c r="M179" i="7"/>
  <c r="J179" i="7"/>
  <c r="K179" i="7" s="1"/>
  <c r="L179" i="7" s="1"/>
  <c r="I179" i="7"/>
  <c r="H179" i="7"/>
  <c r="U178" i="7"/>
  <c r="T178" i="7"/>
  <c r="Q178" i="7"/>
  <c r="P178" i="7"/>
  <c r="O178" i="7"/>
  <c r="N178" i="7"/>
  <c r="M178" i="7"/>
  <c r="J178" i="7"/>
  <c r="K178" i="7" s="1"/>
  <c r="L178" i="7" s="1"/>
  <c r="I178" i="7"/>
  <c r="H178" i="7"/>
  <c r="U177" i="7"/>
  <c r="T177" i="7"/>
  <c r="Q177" i="7"/>
  <c r="P177" i="7"/>
  <c r="O177" i="7"/>
  <c r="R177" i="7" s="1"/>
  <c r="N177" i="7"/>
  <c r="M177" i="7"/>
  <c r="J177" i="7"/>
  <c r="K177" i="7" s="1"/>
  <c r="L177" i="7" s="1"/>
  <c r="I177" i="7"/>
  <c r="H177" i="7"/>
  <c r="U176" i="7"/>
  <c r="T176" i="7"/>
  <c r="Q176" i="7"/>
  <c r="P176" i="7"/>
  <c r="O176" i="7"/>
  <c r="R176" i="7" s="1"/>
  <c r="N176" i="7"/>
  <c r="M176" i="7"/>
  <c r="J176" i="7"/>
  <c r="K176" i="7" s="1"/>
  <c r="L176" i="7" s="1"/>
  <c r="I176" i="7"/>
  <c r="H176" i="7"/>
  <c r="U175" i="7"/>
  <c r="T175" i="7"/>
  <c r="Q175" i="7"/>
  <c r="P175" i="7"/>
  <c r="O175" i="7"/>
  <c r="N175" i="7"/>
  <c r="M175" i="7"/>
  <c r="J175" i="7"/>
  <c r="K175" i="7" s="1"/>
  <c r="L175" i="7" s="1"/>
  <c r="I175" i="7"/>
  <c r="H175" i="7"/>
  <c r="U174" i="7"/>
  <c r="T174" i="7"/>
  <c r="Q174" i="7"/>
  <c r="P174" i="7"/>
  <c r="O174" i="7"/>
  <c r="N174" i="7"/>
  <c r="M174" i="7"/>
  <c r="J174" i="7"/>
  <c r="K174" i="7" s="1"/>
  <c r="L174" i="7" s="1"/>
  <c r="I174" i="7"/>
  <c r="H174" i="7"/>
  <c r="U173" i="7"/>
  <c r="T173" i="7"/>
  <c r="Q173" i="7"/>
  <c r="P173" i="7"/>
  <c r="O173" i="7"/>
  <c r="R173" i="7" s="1"/>
  <c r="N173" i="7"/>
  <c r="M173" i="7"/>
  <c r="J173" i="7"/>
  <c r="K173" i="7" s="1"/>
  <c r="L173" i="7" s="1"/>
  <c r="I173" i="7"/>
  <c r="H173" i="7"/>
  <c r="U172" i="7"/>
  <c r="T172" i="7"/>
  <c r="Q172" i="7"/>
  <c r="P172" i="7"/>
  <c r="O172" i="7"/>
  <c r="R172" i="7" s="1"/>
  <c r="N172" i="7"/>
  <c r="M172" i="7"/>
  <c r="J172" i="7"/>
  <c r="K172" i="7" s="1"/>
  <c r="L172" i="7" s="1"/>
  <c r="I172" i="7"/>
  <c r="H172" i="7"/>
  <c r="U171" i="7"/>
  <c r="T171" i="7"/>
  <c r="Q171" i="7"/>
  <c r="P171" i="7"/>
  <c r="O171" i="7"/>
  <c r="R171" i="7" s="1"/>
  <c r="N171" i="7"/>
  <c r="M171" i="7"/>
  <c r="J171" i="7"/>
  <c r="K171" i="7" s="1"/>
  <c r="L171" i="7" s="1"/>
  <c r="I171" i="7"/>
  <c r="H171" i="7"/>
  <c r="U170" i="7"/>
  <c r="T170" i="7"/>
  <c r="Q170" i="7"/>
  <c r="P170" i="7"/>
  <c r="O170" i="7"/>
  <c r="N170" i="7"/>
  <c r="M170" i="7"/>
  <c r="J170" i="7"/>
  <c r="K170" i="7" s="1"/>
  <c r="L170" i="7" s="1"/>
  <c r="I170" i="7"/>
  <c r="H170" i="7"/>
  <c r="U169" i="7"/>
  <c r="T169" i="7"/>
  <c r="Q169" i="7"/>
  <c r="P169" i="7"/>
  <c r="O169" i="7"/>
  <c r="N169" i="7"/>
  <c r="M169" i="7"/>
  <c r="J169" i="7"/>
  <c r="K169" i="7" s="1"/>
  <c r="L169" i="7" s="1"/>
  <c r="I169" i="7"/>
  <c r="H169" i="7"/>
  <c r="U168" i="7"/>
  <c r="T168" i="7"/>
  <c r="Q168" i="7"/>
  <c r="P168" i="7"/>
  <c r="O168" i="7"/>
  <c r="R168" i="7" s="1"/>
  <c r="N168" i="7"/>
  <c r="M168" i="7"/>
  <c r="J168" i="7"/>
  <c r="K168" i="7" s="1"/>
  <c r="L168" i="7" s="1"/>
  <c r="I168" i="7"/>
  <c r="H168" i="7"/>
  <c r="U167" i="7"/>
  <c r="T167" i="7"/>
  <c r="Q167" i="7"/>
  <c r="P167" i="7"/>
  <c r="O167" i="7"/>
  <c r="R167" i="7" s="1"/>
  <c r="N167" i="7"/>
  <c r="M167" i="7"/>
  <c r="J167" i="7"/>
  <c r="K167" i="7" s="1"/>
  <c r="L167" i="7" s="1"/>
  <c r="I167" i="7"/>
  <c r="H167" i="7"/>
  <c r="U166" i="7"/>
  <c r="T166" i="7"/>
  <c r="Q166" i="7"/>
  <c r="P166" i="7"/>
  <c r="O166" i="7"/>
  <c r="R166" i="7" s="1"/>
  <c r="N166" i="7"/>
  <c r="M166" i="7"/>
  <c r="J166" i="7"/>
  <c r="K166" i="7" s="1"/>
  <c r="L166" i="7" s="1"/>
  <c r="I166" i="7"/>
  <c r="H166" i="7"/>
  <c r="U165" i="7"/>
  <c r="T165" i="7"/>
  <c r="Q165" i="7"/>
  <c r="P165" i="7"/>
  <c r="O165" i="7"/>
  <c r="N165" i="7"/>
  <c r="M165" i="7"/>
  <c r="J165" i="7"/>
  <c r="K165" i="7" s="1"/>
  <c r="L165" i="7" s="1"/>
  <c r="I165" i="7"/>
  <c r="H165" i="7"/>
  <c r="U164" i="7"/>
  <c r="T164" i="7"/>
  <c r="Q164" i="7"/>
  <c r="P164" i="7"/>
  <c r="O164" i="7"/>
  <c r="N164" i="7"/>
  <c r="M164" i="7"/>
  <c r="L164" i="7"/>
  <c r="J164" i="7"/>
  <c r="K164" i="7" s="1"/>
  <c r="I164" i="7"/>
  <c r="H164" i="7"/>
  <c r="U163" i="7"/>
  <c r="T163" i="7"/>
  <c r="Q163" i="7"/>
  <c r="P163" i="7"/>
  <c r="O163" i="7"/>
  <c r="R163" i="7" s="1"/>
  <c r="N163" i="7"/>
  <c r="M163" i="7"/>
  <c r="J163" i="7"/>
  <c r="K163" i="7" s="1"/>
  <c r="L163" i="7" s="1"/>
  <c r="I163" i="7"/>
  <c r="H163" i="7"/>
  <c r="U162" i="7"/>
  <c r="T162" i="7"/>
  <c r="Q162" i="7"/>
  <c r="P162" i="7"/>
  <c r="O162" i="7"/>
  <c r="R162" i="7" s="1"/>
  <c r="N162" i="7"/>
  <c r="M162" i="7"/>
  <c r="J162" i="7"/>
  <c r="K162" i="7" s="1"/>
  <c r="L162" i="7" s="1"/>
  <c r="I162" i="7"/>
  <c r="H162" i="7"/>
  <c r="U161" i="7"/>
  <c r="V161" i="7" s="1"/>
  <c r="T161" i="7"/>
  <c r="Q161" i="7"/>
  <c r="P161" i="7"/>
  <c r="O161" i="7"/>
  <c r="N161" i="7"/>
  <c r="M161" i="7"/>
  <c r="J161" i="7"/>
  <c r="K161" i="7" s="1"/>
  <c r="L161" i="7" s="1"/>
  <c r="I161" i="7"/>
  <c r="H161" i="7"/>
  <c r="U160" i="7"/>
  <c r="T160" i="7"/>
  <c r="Q160" i="7"/>
  <c r="P160" i="7"/>
  <c r="O160" i="7"/>
  <c r="N160" i="7"/>
  <c r="M160" i="7"/>
  <c r="J160" i="7"/>
  <c r="K160" i="7" s="1"/>
  <c r="L160" i="7" s="1"/>
  <c r="I160" i="7"/>
  <c r="H160" i="7"/>
  <c r="U159" i="7"/>
  <c r="T159" i="7"/>
  <c r="Q159" i="7"/>
  <c r="P159" i="7"/>
  <c r="O159" i="7"/>
  <c r="N159" i="7"/>
  <c r="M159" i="7"/>
  <c r="J159" i="7"/>
  <c r="K159" i="7" s="1"/>
  <c r="L159" i="7" s="1"/>
  <c r="I159" i="7"/>
  <c r="H159" i="7"/>
  <c r="U158" i="7"/>
  <c r="T158" i="7"/>
  <c r="Q158" i="7"/>
  <c r="P158" i="7"/>
  <c r="O158" i="7"/>
  <c r="R158" i="7" s="1"/>
  <c r="N158" i="7"/>
  <c r="M158" i="7"/>
  <c r="J158" i="7"/>
  <c r="K158" i="7" s="1"/>
  <c r="L158" i="7" s="1"/>
  <c r="I158" i="7"/>
  <c r="H158" i="7"/>
  <c r="U157" i="7"/>
  <c r="T157" i="7"/>
  <c r="Q157" i="7"/>
  <c r="P157" i="7"/>
  <c r="O157" i="7"/>
  <c r="R157" i="7" s="1"/>
  <c r="N157" i="7"/>
  <c r="M157" i="7"/>
  <c r="J157" i="7"/>
  <c r="K157" i="7" s="1"/>
  <c r="L157" i="7" s="1"/>
  <c r="I157" i="7"/>
  <c r="H157" i="7"/>
  <c r="U156" i="7"/>
  <c r="T156" i="7"/>
  <c r="Q156" i="7"/>
  <c r="P156" i="7"/>
  <c r="O156" i="7"/>
  <c r="N156" i="7"/>
  <c r="M156" i="7"/>
  <c r="J156" i="7"/>
  <c r="K156" i="7" s="1"/>
  <c r="L156" i="7" s="1"/>
  <c r="I156" i="7"/>
  <c r="H156" i="7"/>
  <c r="U155" i="7"/>
  <c r="T155" i="7"/>
  <c r="Q155" i="7"/>
  <c r="P155" i="7"/>
  <c r="O155" i="7"/>
  <c r="N155" i="7"/>
  <c r="M155" i="7"/>
  <c r="J155" i="7"/>
  <c r="K155" i="7" s="1"/>
  <c r="L155" i="7" s="1"/>
  <c r="I155" i="7"/>
  <c r="H155" i="7"/>
  <c r="U154" i="7"/>
  <c r="T154" i="7"/>
  <c r="Q154" i="7"/>
  <c r="P154" i="7"/>
  <c r="O154" i="7"/>
  <c r="N154" i="7"/>
  <c r="M154" i="7"/>
  <c r="J154" i="7"/>
  <c r="K154" i="7" s="1"/>
  <c r="L154" i="7" s="1"/>
  <c r="I154" i="7"/>
  <c r="H154" i="7"/>
  <c r="U153" i="7"/>
  <c r="T153" i="7"/>
  <c r="Q153" i="7"/>
  <c r="P153" i="7"/>
  <c r="O153" i="7"/>
  <c r="R153" i="7" s="1"/>
  <c r="N153" i="7"/>
  <c r="M153" i="7"/>
  <c r="J153" i="7"/>
  <c r="K153" i="7" s="1"/>
  <c r="L153" i="7" s="1"/>
  <c r="I153" i="7"/>
  <c r="H153" i="7"/>
  <c r="U152" i="7"/>
  <c r="T152" i="7"/>
  <c r="Q152" i="7"/>
  <c r="P152" i="7"/>
  <c r="O152" i="7"/>
  <c r="N152" i="7"/>
  <c r="M152" i="7"/>
  <c r="J152" i="7"/>
  <c r="K152" i="7" s="1"/>
  <c r="L152" i="7" s="1"/>
  <c r="I152" i="7"/>
  <c r="H152" i="7"/>
  <c r="U151" i="7"/>
  <c r="T151" i="7"/>
  <c r="Q151" i="7"/>
  <c r="P151" i="7"/>
  <c r="O151" i="7"/>
  <c r="N151" i="7"/>
  <c r="M151" i="7"/>
  <c r="J151" i="7"/>
  <c r="K151" i="7" s="1"/>
  <c r="L151" i="7" s="1"/>
  <c r="I151" i="7"/>
  <c r="H151" i="7"/>
  <c r="U150" i="7"/>
  <c r="T150" i="7"/>
  <c r="Q150" i="7"/>
  <c r="P150" i="7"/>
  <c r="O150" i="7"/>
  <c r="N150" i="7"/>
  <c r="M150" i="7"/>
  <c r="J150" i="7"/>
  <c r="K150" i="7" s="1"/>
  <c r="L150" i="7" s="1"/>
  <c r="I150" i="7"/>
  <c r="H150" i="7"/>
  <c r="U149" i="7"/>
  <c r="T149" i="7"/>
  <c r="Q149" i="7"/>
  <c r="P149" i="7"/>
  <c r="O149" i="7"/>
  <c r="R149" i="7" s="1"/>
  <c r="N149" i="7"/>
  <c r="M149" i="7"/>
  <c r="J149" i="7"/>
  <c r="K149" i="7" s="1"/>
  <c r="L149" i="7" s="1"/>
  <c r="I149" i="7"/>
  <c r="H149" i="7"/>
  <c r="U148" i="7"/>
  <c r="T148" i="7"/>
  <c r="Q148" i="7"/>
  <c r="P148" i="7"/>
  <c r="O148" i="7"/>
  <c r="N148" i="7"/>
  <c r="M148" i="7"/>
  <c r="J148" i="7"/>
  <c r="K148" i="7" s="1"/>
  <c r="L148" i="7" s="1"/>
  <c r="I148" i="7"/>
  <c r="H148" i="7"/>
  <c r="U147" i="7"/>
  <c r="T147" i="7"/>
  <c r="Q147" i="7"/>
  <c r="P147" i="7"/>
  <c r="O147" i="7"/>
  <c r="N147" i="7"/>
  <c r="M147" i="7"/>
  <c r="J147" i="7"/>
  <c r="K147" i="7" s="1"/>
  <c r="L147" i="7" s="1"/>
  <c r="I147" i="7"/>
  <c r="H147" i="7"/>
  <c r="U146" i="7"/>
  <c r="T146" i="7"/>
  <c r="Q146" i="7"/>
  <c r="P146" i="7"/>
  <c r="O146" i="7"/>
  <c r="N146" i="7"/>
  <c r="M146" i="7"/>
  <c r="J146" i="7"/>
  <c r="K146" i="7" s="1"/>
  <c r="L146" i="7" s="1"/>
  <c r="I146" i="7"/>
  <c r="H146" i="7"/>
  <c r="U145" i="7"/>
  <c r="T145" i="7"/>
  <c r="Q145" i="7"/>
  <c r="P145" i="7"/>
  <c r="O145" i="7"/>
  <c r="R145" i="7" s="1"/>
  <c r="N145" i="7"/>
  <c r="M145" i="7"/>
  <c r="J145" i="7"/>
  <c r="K145" i="7" s="1"/>
  <c r="L145" i="7" s="1"/>
  <c r="I145" i="7"/>
  <c r="H145" i="7"/>
  <c r="U144" i="7"/>
  <c r="T144" i="7"/>
  <c r="Q144" i="7"/>
  <c r="P144" i="7"/>
  <c r="O144" i="7"/>
  <c r="N144" i="7"/>
  <c r="M144" i="7"/>
  <c r="J144" i="7"/>
  <c r="K144" i="7" s="1"/>
  <c r="L144" i="7" s="1"/>
  <c r="I144" i="7"/>
  <c r="H144" i="7"/>
  <c r="U143" i="7"/>
  <c r="T143" i="7"/>
  <c r="Q143" i="7"/>
  <c r="P143" i="7"/>
  <c r="O143" i="7"/>
  <c r="N143" i="7"/>
  <c r="M143" i="7"/>
  <c r="J143" i="7"/>
  <c r="K143" i="7" s="1"/>
  <c r="L143" i="7" s="1"/>
  <c r="I143" i="7"/>
  <c r="H143" i="7"/>
  <c r="U142" i="7"/>
  <c r="T142" i="7"/>
  <c r="Q142" i="7"/>
  <c r="P142" i="7"/>
  <c r="O142" i="7"/>
  <c r="R142" i="7" s="1"/>
  <c r="N142" i="7"/>
  <c r="M142" i="7"/>
  <c r="J142" i="7"/>
  <c r="K142" i="7" s="1"/>
  <c r="L142" i="7" s="1"/>
  <c r="I142" i="7"/>
  <c r="H142" i="7"/>
  <c r="U141" i="7"/>
  <c r="T141" i="7"/>
  <c r="Q141" i="7"/>
  <c r="P141" i="7"/>
  <c r="O141" i="7"/>
  <c r="R141" i="7" s="1"/>
  <c r="N141" i="7"/>
  <c r="M141" i="7"/>
  <c r="J141" i="7"/>
  <c r="K141" i="7" s="1"/>
  <c r="L141" i="7" s="1"/>
  <c r="I141" i="7"/>
  <c r="H141" i="7"/>
  <c r="U140" i="7"/>
  <c r="T140" i="7"/>
  <c r="Q140" i="7"/>
  <c r="P140" i="7"/>
  <c r="O140" i="7"/>
  <c r="N140" i="7"/>
  <c r="M140" i="7"/>
  <c r="J140" i="7"/>
  <c r="K140" i="7" s="1"/>
  <c r="L140" i="7" s="1"/>
  <c r="I140" i="7"/>
  <c r="H140" i="7"/>
  <c r="U139" i="7"/>
  <c r="T139" i="7"/>
  <c r="Q139" i="7"/>
  <c r="P139" i="7"/>
  <c r="O139" i="7"/>
  <c r="N139" i="7"/>
  <c r="M139" i="7"/>
  <c r="J139" i="7"/>
  <c r="K139" i="7" s="1"/>
  <c r="L139" i="7" s="1"/>
  <c r="I139" i="7"/>
  <c r="H139" i="7"/>
  <c r="U138" i="7"/>
  <c r="T138" i="7"/>
  <c r="Q138" i="7"/>
  <c r="P138" i="7"/>
  <c r="O138" i="7"/>
  <c r="R138" i="7" s="1"/>
  <c r="N138" i="7"/>
  <c r="M138" i="7"/>
  <c r="J138" i="7"/>
  <c r="K138" i="7" s="1"/>
  <c r="L138" i="7" s="1"/>
  <c r="I138" i="7"/>
  <c r="H138" i="7"/>
  <c r="U137" i="7"/>
  <c r="T137" i="7"/>
  <c r="Q137" i="7"/>
  <c r="P137" i="7"/>
  <c r="O137" i="7"/>
  <c r="R137" i="7" s="1"/>
  <c r="N137" i="7"/>
  <c r="M137" i="7"/>
  <c r="J137" i="7"/>
  <c r="K137" i="7" s="1"/>
  <c r="L137" i="7" s="1"/>
  <c r="I137" i="7"/>
  <c r="H137" i="7"/>
  <c r="U136" i="7"/>
  <c r="T136" i="7"/>
  <c r="Q136" i="7"/>
  <c r="P136" i="7"/>
  <c r="O136" i="7"/>
  <c r="N136" i="7"/>
  <c r="M136" i="7"/>
  <c r="J136" i="7"/>
  <c r="K136" i="7" s="1"/>
  <c r="L136" i="7" s="1"/>
  <c r="I136" i="7"/>
  <c r="H136" i="7"/>
  <c r="U135" i="7"/>
  <c r="T135" i="7"/>
  <c r="Q135" i="7"/>
  <c r="P135" i="7"/>
  <c r="O135" i="7"/>
  <c r="N135" i="7"/>
  <c r="M135" i="7"/>
  <c r="J135" i="7"/>
  <c r="K135" i="7" s="1"/>
  <c r="L135" i="7" s="1"/>
  <c r="I135" i="7"/>
  <c r="H135" i="7"/>
  <c r="U134" i="7"/>
  <c r="T134" i="7"/>
  <c r="Q134" i="7"/>
  <c r="P134" i="7"/>
  <c r="O134" i="7"/>
  <c r="N134" i="7"/>
  <c r="M134" i="7"/>
  <c r="J134" i="7"/>
  <c r="K134" i="7" s="1"/>
  <c r="L134" i="7" s="1"/>
  <c r="I134" i="7"/>
  <c r="H134" i="7"/>
  <c r="U133" i="7"/>
  <c r="T133" i="7"/>
  <c r="Q133" i="7"/>
  <c r="P133" i="7"/>
  <c r="O133" i="7"/>
  <c r="R133" i="7" s="1"/>
  <c r="N133" i="7"/>
  <c r="M133" i="7"/>
  <c r="J133" i="7"/>
  <c r="K133" i="7" s="1"/>
  <c r="L133" i="7" s="1"/>
  <c r="I133" i="7"/>
  <c r="H133" i="7"/>
  <c r="U132" i="7"/>
  <c r="T132" i="7"/>
  <c r="Q132" i="7"/>
  <c r="P132" i="7"/>
  <c r="O132" i="7"/>
  <c r="N132" i="7"/>
  <c r="M132" i="7"/>
  <c r="J132" i="7"/>
  <c r="K132" i="7" s="1"/>
  <c r="L132" i="7" s="1"/>
  <c r="I132" i="7"/>
  <c r="H132" i="7"/>
  <c r="U131" i="7"/>
  <c r="T131" i="7"/>
  <c r="Q131" i="7"/>
  <c r="P131" i="7"/>
  <c r="O131" i="7"/>
  <c r="N131" i="7"/>
  <c r="M131" i="7"/>
  <c r="J131" i="7"/>
  <c r="K131" i="7" s="1"/>
  <c r="L131" i="7" s="1"/>
  <c r="I131" i="7"/>
  <c r="H131" i="7"/>
  <c r="U130" i="7"/>
  <c r="T130" i="7"/>
  <c r="Q130" i="7"/>
  <c r="P130" i="7"/>
  <c r="O130" i="7"/>
  <c r="N130" i="7"/>
  <c r="M130" i="7"/>
  <c r="J130" i="7"/>
  <c r="K130" i="7" s="1"/>
  <c r="L130" i="7" s="1"/>
  <c r="I130" i="7"/>
  <c r="H130" i="7"/>
  <c r="U129" i="7"/>
  <c r="T129" i="7"/>
  <c r="Q129" i="7"/>
  <c r="P129" i="7"/>
  <c r="O129" i="7"/>
  <c r="R129" i="7" s="1"/>
  <c r="N129" i="7"/>
  <c r="M129" i="7"/>
  <c r="J129" i="7"/>
  <c r="K129" i="7" s="1"/>
  <c r="L129" i="7" s="1"/>
  <c r="I129" i="7"/>
  <c r="H129" i="7"/>
  <c r="U128" i="7"/>
  <c r="T128" i="7"/>
  <c r="Q128" i="7"/>
  <c r="P128" i="7"/>
  <c r="O128" i="7"/>
  <c r="N128" i="7"/>
  <c r="M128" i="7"/>
  <c r="J128" i="7"/>
  <c r="K128" i="7" s="1"/>
  <c r="L128" i="7" s="1"/>
  <c r="I128" i="7"/>
  <c r="H128" i="7"/>
  <c r="U127" i="7"/>
  <c r="T127" i="7"/>
  <c r="Q127" i="7"/>
  <c r="P127" i="7"/>
  <c r="O127" i="7"/>
  <c r="N127" i="7"/>
  <c r="M127" i="7"/>
  <c r="J127" i="7"/>
  <c r="K127" i="7" s="1"/>
  <c r="L127" i="7" s="1"/>
  <c r="I127" i="7"/>
  <c r="H127" i="7"/>
  <c r="U126" i="7"/>
  <c r="T126" i="7"/>
  <c r="Q126" i="7"/>
  <c r="P126" i="7"/>
  <c r="O126" i="7"/>
  <c r="R126" i="7" s="1"/>
  <c r="N126" i="7"/>
  <c r="M126" i="7"/>
  <c r="J126" i="7"/>
  <c r="K126" i="7" s="1"/>
  <c r="L126" i="7" s="1"/>
  <c r="I126" i="7"/>
  <c r="H126" i="7"/>
  <c r="U125" i="7"/>
  <c r="T125" i="7"/>
  <c r="Q125" i="7"/>
  <c r="P125" i="7"/>
  <c r="O125" i="7"/>
  <c r="R125" i="7" s="1"/>
  <c r="N125" i="7"/>
  <c r="M125" i="7"/>
  <c r="J125" i="7"/>
  <c r="K125" i="7" s="1"/>
  <c r="L125" i="7" s="1"/>
  <c r="I125" i="7"/>
  <c r="H125" i="7"/>
  <c r="U124" i="7"/>
  <c r="T124" i="7"/>
  <c r="Q124" i="7"/>
  <c r="P124" i="7"/>
  <c r="O124" i="7"/>
  <c r="N124" i="7"/>
  <c r="M124" i="7"/>
  <c r="J124" i="7"/>
  <c r="K124" i="7" s="1"/>
  <c r="L124" i="7" s="1"/>
  <c r="I124" i="7"/>
  <c r="H124" i="7"/>
  <c r="U123" i="7"/>
  <c r="T123" i="7"/>
  <c r="Q123" i="7"/>
  <c r="P123" i="7"/>
  <c r="O123" i="7"/>
  <c r="N123" i="7"/>
  <c r="M123" i="7"/>
  <c r="J123" i="7"/>
  <c r="K123" i="7" s="1"/>
  <c r="L123" i="7" s="1"/>
  <c r="I123" i="7"/>
  <c r="H123" i="7"/>
  <c r="U122" i="7"/>
  <c r="T122" i="7"/>
  <c r="Q122" i="7"/>
  <c r="P122" i="7"/>
  <c r="O122" i="7"/>
  <c r="N122" i="7"/>
  <c r="M122" i="7"/>
  <c r="J122" i="7"/>
  <c r="K122" i="7" s="1"/>
  <c r="L122" i="7" s="1"/>
  <c r="I122" i="7"/>
  <c r="H122" i="7"/>
  <c r="U121" i="7"/>
  <c r="T121" i="7"/>
  <c r="Q121" i="7"/>
  <c r="P121" i="7"/>
  <c r="O121" i="7"/>
  <c r="R121" i="7" s="1"/>
  <c r="N121" i="7"/>
  <c r="M121" i="7"/>
  <c r="J121" i="7"/>
  <c r="K121" i="7" s="1"/>
  <c r="L121" i="7" s="1"/>
  <c r="I121" i="7"/>
  <c r="H121" i="7"/>
  <c r="U120" i="7"/>
  <c r="T120" i="7"/>
  <c r="Q120" i="7"/>
  <c r="P120" i="7"/>
  <c r="O120" i="7"/>
  <c r="N120" i="7"/>
  <c r="M120" i="7"/>
  <c r="J120" i="7"/>
  <c r="K120" i="7" s="1"/>
  <c r="L120" i="7" s="1"/>
  <c r="I120" i="7"/>
  <c r="H120" i="7"/>
  <c r="U119" i="7"/>
  <c r="T119" i="7"/>
  <c r="Q119" i="7"/>
  <c r="P119" i="7"/>
  <c r="O119" i="7"/>
  <c r="N119" i="7"/>
  <c r="M119" i="7"/>
  <c r="J119" i="7"/>
  <c r="K119" i="7" s="1"/>
  <c r="L119" i="7" s="1"/>
  <c r="I119" i="7"/>
  <c r="H119" i="7"/>
  <c r="U118" i="7"/>
  <c r="T118" i="7"/>
  <c r="Q118" i="7"/>
  <c r="P118" i="7"/>
  <c r="O118" i="7"/>
  <c r="N118" i="7"/>
  <c r="M118" i="7"/>
  <c r="J118" i="7"/>
  <c r="K118" i="7" s="1"/>
  <c r="L118" i="7" s="1"/>
  <c r="I118" i="7"/>
  <c r="H118" i="7"/>
  <c r="U117" i="7"/>
  <c r="T117" i="7"/>
  <c r="Q117" i="7"/>
  <c r="P117" i="7"/>
  <c r="O117" i="7"/>
  <c r="R117" i="7" s="1"/>
  <c r="N117" i="7"/>
  <c r="M117" i="7"/>
  <c r="J117" i="7"/>
  <c r="K117" i="7" s="1"/>
  <c r="L117" i="7" s="1"/>
  <c r="I117" i="7"/>
  <c r="H117" i="7"/>
  <c r="U116" i="7"/>
  <c r="T116" i="7"/>
  <c r="Q116" i="7"/>
  <c r="P116" i="7"/>
  <c r="O116" i="7"/>
  <c r="N116" i="7"/>
  <c r="M116" i="7"/>
  <c r="J116" i="7"/>
  <c r="K116" i="7" s="1"/>
  <c r="L116" i="7" s="1"/>
  <c r="I116" i="7"/>
  <c r="H116" i="7"/>
  <c r="U115" i="7"/>
  <c r="T115" i="7"/>
  <c r="Q115" i="7"/>
  <c r="P115" i="7"/>
  <c r="O115" i="7"/>
  <c r="N115" i="7"/>
  <c r="M115" i="7"/>
  <c r="J115" i="7"/>
  <c r="K115" i="7" s="1"/>
  <c r="L115" i="7" s="1"/>
  <c r="I115" i="7"/>
  <c r="H115" i="7"/>
  <c r="U114" i="7"/>
  <c r="T114" i="7"/>
  <c r="Q114" i="7"/>
  <c r="P114" i="7"/>
  <c r="O114" i="7"/>
  <c r="R114" i="7" s="1"/>
  <c r="N114" i="7"/>
  <c r="M114" i="7"/>
  <c r="J114" i="7"/>
  <c r="K114" i="7" s="1"/>
  <c r="L114" i="7" s="1"/>
  <c r="I114" i="7"/>
  <c r="H114" i="7"/>
  <c r="U113" i="7"/>
  <c r="T113" i="7"/>
  <c r="Q113" i="7"/>
  <c r="P113" i="7"/>
  <c r="O113" i="7"/>
  <c r="R113" i="7" s="1"/>
  <c r="N113" i="7"/>
  <c r="M113" i="7"/>
  <c r="J113" i="7"/>
  <c r="K113" i="7" s="1"/>
  <c r="L113" i="7" s="1"/>
  <c r="I113" i="7"/>
  <c r="H113" i="7"/>
  <c r="U112" i="7"/>
  <c r="T112" i="7"/>
  <c r="Q112" i="7"/>
  <c r="P112" i="7"/>
  <c r="O112" i="7"/>
  <c r="N112" i="7"/>
  <c r="M112" i="7"/>
  <c r="J112" i="7"/>
  <c r="K112" i="7" s="1"/>
  <c r="L112" i="7" s="1"/>
  <c r="I112" i="7"/>
  <c r="H112" i="7"/>
  <c r="U111" i="7"/>
  <c r="T111" i="7"/>
  <c r="Q111" i="7"/>
  <c r="P111" i="7"/>
  <c r="O111" i="7"/>
  <c r="N111" i="7"/>
  <c r="M111" i="7"/>
  <c r="J111" i="7"/>
  <c r="K111" i="7" s="1"/>
  <c r="L111" i="7" s="1"/>
  <c r="I111" i="7"/>
  <c r="H111" i="7"/>
  <c r="U110" i="7"/>
  <c r="T110" i="7"/>
  <c r="Q110" i="7"/>
  <c r="P110" i="7"/>
  <c r="O110" i="7"/>
  <c r="N110" i="7"/>
  <c r="M110" i="7"/>
  <c r="J110" i="7"/>
  <c r="K110" i="7" s="1"/>
  <c r="L110" i="7" s="1"/>
  <c r="I110" i="7"/>
  <c r="H110" i="7"/>
  <c r="U109" i="7"/>
  <c r="T109" i="7"/>
  <c r="Q109" i="7"/>
  <c r="P109" i="7"/>
  <c r="O109" i="7"/>
  <c r="R109" i="7" s="1"/>
  <c r="N109" i="7"/>
  <c r="M109" i="7"/>
  <c r="J109" i="7"/>
  <c r="K109" i="7" s="1"/>
  <c r="L109" i="7" s="1"/>
  <c r="I109" i="7"/>
  <c r="H109" i="7"/>
  <c r="U108" i="7"/>
  <c r="T108" i="7"/>
  <c r="Q108" i="7"/>
  <c r="P108" i="7"/>
  <c r="O108" i="7"/>
  <c r="N108" i="7"/>
  <c r="M108" i="7"/>
  <c r="J108" i="7"/>
  <c r="K108" i="7" s="1"/>
  <c r="L108" i="7" s="1"/>
  <c r="I108" i="7"/>
  <c r="H108" i="7"/>
  <c r="U107" i="7"/>
  <c r="T107" i="7"/>
  <c r="Q107" i="7"/>
  <c r="P107" i="7"/>
  <c r="O107" i="7"/>
  <c r="N107" i="7"/>
  <c r="M107" i="7"/>
  <c r="J107" i="7"/>
  <c r="K107" i="7" s="1"/>
  <c r="L107" i="7" s="1"/>
  <c r="I107" i="7"/>
  <c r="H107" i="7"/>
  <c r="U106" i="7"/>
  <c r="T106" i="7"/>
  <c r="Q106" i="7"/>
  <c r="P106" i="7"/>
  <c r="O106" i="7"/>
  <c r="N106" i="7"/>
  <c r="M106" i="7"/>
  <c r="J106" i="7"/>
  <c r="K106" i="7" s="1"/>
  <c r="L106" i="7" s="1"/>
  <c r="I106" i="7"/>
  <c r="H106" i="7"/>
  <c r="U105" i="7"/>
  <c r="T105" i="7"/>
  <c r="Q105" i="7"/>
  <c r="P105" i="7"/>
  <c r="O105" i="7"/>
  <c r="R105" i="7" s="1"/>
  <c r="N105" i="7"/>
  <c r="M105" i="7"/>
  <c r="J105" i="7"/>
  <c r="K105" i="7" s="1"/>
  <c r="L105" i="7" s="1"/>
  <c r="I105" i="7"/>
  <c r="H105" i="7"/>
  <c r="U104" i="7"/>
  <c r="T104" i="7"/>
  <c r="Q104" i="7"/>
  <c r="P104" i="7"/>
  <c r="O104" i="7"/>
  <c r="N104" i="7"/>
  <c r="M104" i="7"/>
  <c r="J104" i="7"/>
  <c r="K104" i="7" s="1"/>
  <c r="L104" i="7" s="1"/>
  <c r="I104" i="7"/>
  <c r="H104" i="7"/>
  <c r="U103" i="7"/>
  <c r="T103" i="7"/>
  <c r="Q103" i="7"/>
  <c r="P103" i="7"/>
  <c r="O103" i="7"/>
  <c r="N103" i="7"/>
  <c r="M103" i="7"/>
  <c r="J103" i="7"/>
  <c r="K103" i="7" s="1"/>
  <c r="L103" i="7" s="1"/>
  <c r="I103" i="7"/>
  <c r="H103" i="7"/>
  <c r="U102" i="7"/>
  <c r="T102" i="7"/>
  <c r="Q102" i="7"/>
  <c r="P102" i="7"/>
  <c r="O102" i="7"/>
  <c r="R102" i="7" s="1"/>
  <c r="N102" i="7"/>
  <c r="M102" i="7"/>
  <c r="J102" i="7"/>
  <c r="K102" i="7" s="1"/>
  <c r="L102" i="7" s="1"/>
  <c r="I102" i="7"/>
  <c r="H102" i="7"/>
  <c r="U101" i="7"/>
  <c r="T101" i="7"/>
  <c r="Q101" i="7"/>
  <c r="P101" i="7"/>
  <c r="O101" i="7"/>
  <c r="R101" i="7" s="1"/>
  <c r="N101" i="7"/>
  <c r="M101" i="7"/>
  <c r="J101" i="7"/>
  <c r="K101" i="7" s="1"/>
  <c r="L101" i="7" s="1"/>
  <c r="I101" i="7"/>
  <c r="H101" i="7"/>
  <c r="U100" i="7"/>
  <c r="T100" i="7"/>
  <c r="Q100" i="7"/>
  <c r="P100" i="7"/>
  <c r="O100" i="7"/>
  <c r="N100" i="7"/>
  <c r="M100" i="7"/>
  <c r="J100" i="7"/>
  <c r="K100" i="7" s="1"/>
  <c r="L100" i="7" s="1"/>
  <c r="I100" i="7"/>
  <c r="H100" i="7"/>
  <c r="U99" i="7"/>
  <c r="T99" i="7"/>
  <c r="Q99" i="7"/>
  <c r="P99" i="7"/>
  <c r="O99" i="7"/>
  <c r="N99" i="7"/>
  <c r="M99" i="7"/>
  <c r="J99" i="7"/>
  <c r="K99" i="7" s="1"/>
  <c r="L99" i="7" s="1"/>
  <c r="I99" i="7"/>
  <c r="H99" i="7"/>
  <c r="U98" i="7"/>
  <c r="T98" i="7"/>
  <c r="Q98" i="7"/>
  <c r="P98" i="7"/>
  <c r="O98" i="7"/>
  <c r="N98" i="7"/>
  <c r="M98" i="7"/>
  <c r="J98" i="7"/>
  <c r="K98" i="7" s="1"/>
  <c r="L98" i="7" s="1"/>
  <c r="I98" i="7"/>
  <c r="H98" i="7"/>
  <c r="U97" i="7"/>
  <c r="T97" i="7"/>
  <c r="Q97" i="7"/>
  <c r="P97" i="7"/>
  <c r="O97" i="7"/>
  <c r="R97" i="7" s="1"/>
  <c r="N97" i="7"/>
  <c r="M97" i="7"/>
  <c r="J97" i="7"/>
  <c r="K97" i="7" s="1"/>
  <c r="L97" i="7" s="1"/>
  <c r="I97" i="7"/>
  <c r="H97" i="7"/>
  <c r="U96" i="7"/>
  <c r="T96" i="7"/>
  <c r="Q96" i="7"/>
  <c r="P96" i="7"/>
  <c r="O96" i="7"/>
  <c r="N96" i="7"/>
  <c r="M96" i="7"/>
  <c r="J96" i="7"/>
  <c r="K96" i="7" s="1"/>
  <c r="L96" i="7" s="1"/>
  <c r="I96" i="7"/>
  <c r="H96" i="7"/>
  <c r="U95" i="7"/>
  <c r="T95" i="7"/>
  <c r="Q95" i="7"/>
  <c r="P95" i="7"/>
  <c r="O95" i="7"/>
  <c r="N95" i="7"/>
  <c r="M95" i="7"/>
  <c r="J95" i="7"/>
  <c r="K95" i="7" s="1"/>
  <c r="L95" i="7" s="1"/>
  <c r="I95" i="7"/>
  <c r="H95" i="7"/>
  <c r="U94" i="7"/>
  <c r="T94" i="7"/>
  <c r="Q94" i="7"/>
  <c r="P94" i="7"/>
  <c r="O94" i="7"/>
  <c r="N94" i="7"/>
  <c r="M94" i="7"/>
  <c r="J94" i="7"/>
  <c r="K94" i="7" s="1"/>
  <c r="L94" i="7" s="1"/>
  <c r="I94" i="7"/>
  <c r="H94" i="7"/>
  <c r="U93" i="7"/>
  <c r="T93" i="7"/>
  <c r="Q93" i="7"/>
  <c r="P93" i="7"/>
  <c r="O93" i="7"/>
  <c r="R93" i="7" s="1"/>
  <c r="N93" i="7"/>
  <c r="M93" i="7"/>
  <c r="J93" i="7"/>
  <c r="K93" i="7" s="1"/>
  <c r="L93" i="7" s="1"/>
  <c r="I93" i="7"/>
  <c r="H93" i="7"/>
  <c r="U92" i="7"/>
  <c r="T92" i="7"/>
  <c r="Q92" i="7"/>
  <c r="P92" i="7"/>
  <c r="O92" i="7"/>
  <c r="N92" i="7"/>
  <c r="M92" i="7"/>
  <c r="J92" i="7"/>
  <c r="K92" i="7" s="1"/>
  <c r="L92" i="7" s="1"/>
  <c r="I92" i="7"/>
  <c r="H92" i="7"/>
  <c r="U91" i="7"/>
  <c r="T91" i="7"/>
  <c r="Q91" i="7"/>
  <c r="P91" i="7"/>
  <c r="O91" i="7"/>
  <c r="N91" i="7"/>
  <c r="M91" i="7"/>
  <c r="J91" i="7"/>
  <c r="K91" i="7" s="1"/>
  <c r="L91" i="7" s="1"/>
  <c r="I91" i="7"/>
  <c r="H91" i="7"/>
  <c r="U90" i="7"/>
  <c r="T90" i="7"/>
  <c r="Q90" i="7"/>
  <c r="P90" i="7"/>
  <c r="O90" i="7"/>
  <c r="R90" i="7" s="1"/>
  <c r="N90" i="7"/>
  <c r="M90" i="7"/>
  <c r="J90" i="7"/>
  <c r="K90" i="7" s="1"/>
  <c r="L90" i="7" s="1"/>
  <c r="I90" i="7"/>
  <c r="H90" i="7"/>
  <c r="U89" i="7"/>
  <c r="T89" i="7"/>
  <c r="Q89" i="7"/>
  <c r="P89" i="7"/>
  <c r="O89" i="7"/>
  <c r="R89" i="7" s="1"/>
  <c r="N89" i="7"/>
  <c r="M89" i="7"/>
  <c r="J89" i="7"/>
  <c r="K89" i="7" s="1"/>
  <c r="L89" i="7" s="1"/>
  <c r="I89" i="7"/>
  <c r="H89" i="7"/>
  <c r="U88" i="7"/>
  <c r="T88" i="7"/>
  <c r="Q88" i="7"/>
  <c r="P88" i="7"/>
  <c r="O88" i="7"/>
  <c r="N88" i="7"/>
  <c r="M88" i="7"/>
  <c r="J88" i="7"/>
  <c r="K88" i="7" s="1"/>
  <c r="L88" i="7" s="1"/>
  <c r="I88" i="7"/>
  <c r="H88" i="7"/>
  <c r="U87" i="7"/>
  <c r="T87" i="7"/>
  <c r="Q87" i="7"/>
  <c r="P87" i="7"/>
  <c r="O87" i="7"/>
  <c r="N87" i="7"/>
  <c r="M87" i="7"/>
  <c r="J87" i="7"/>
  <c r="K87" i="7" s="1"/>
  <c r="L87" i="7" s="1"/>
  <c r="I87" i="7"/>
  <c r="H87" i="7"/>
  <c r="U86" i="7"/>
  <c r="T86" i="7"/>
  <c r="Q86" i="7"/>
  <c r="P86" i="7"/>
  <c r="O86" i="7"/>
  <c r="N86" i="7"/>
  <c r="M86" i="7"/>
  <c r="J86" i="7"/>
  <c r="K86" i="7" s="1"/>
  <c r="L86" i="7" s="1"/>
  <c r="I86" i="7"/>
  <c r="H86" i="7"/>
  <c r="U85" i="7"/>
  <c r="T85" i="7"/>
  <c r="Q85" i="7"/>
  <c r="P85" i="7"/>
  <c r="O85" i="7"/>
  <c r="R85" i="7" s="1"/>
  <c r="N85" i="7"/>
  <c r="M85" i="7"/>
  <c r="J85" i="7"/>
  <c r="K85" i="7" s="1"/>
  <c r="L85" i="7" s="1"/>
  <c r="I85" i="7"/>
  <c r="H85" i="7"/>
  <c r="U84" i="7"/>
  <c r="T84" i="7"/>
  <c r="Q84" i="7"/>
  <c r="P84" i="7"/>
  <c r="O84" i="7"/>
  <c r="N84" i="7"/>
  <c r="M84" i="7"/>
  <c r="J84" i="7"/>
  <c r="K84" i="7" s="1"/>
  <c r="L84" i="7" s="1"/>
  <c r="I84" i="7"/>
  <c r="H84" i="7"/>
  <c r="U83" i="7"/>
  <c r="T83" i="7"/>
  <c r="Q83" i="7"/>
  <c r="P83" i="7"/>
  <c r="O83" i="7"/>
  <c r="N83" i="7"/>
  <c r="M83" i="7"/>
  <c r="J83" i="7"/>
  <c r="K83" i="7" s="1"/>
  <c r="L83" i="7" s="1"/>
  <c r="I83" i="7"/>
  <c r="H83" i="7"/>
  <c r="U82" i="7"/>
  <c r="T82" i="7"/>
  <c r="Q82" i="7"/>
  <c r="P82" i="7"/>
  <c r="O82" i="7"/>
  <c r="N82" i="7"/>
  <c r="M82" i="7"/>
  <c r="J82" i="7"/>
  <c r="K82" i="7" s="1"/>
  <c r="L82" i="7" s="1"/>
  <c r="I82" i="7"/>
  <c r="H82" i="7"/>
  <c r="U81" i="7"/>
  <c r="T81" i="7"/>
  <c r="Q81" i="7"/>
  <c r="P81" i="7"/>
  <c r="O81" i="7"/>
  <c r="R81" i="7" s="1"/>
  <c r="N81" i="7"/>
  <c r="M81" i="7"/>
  <c r="J81" i="7"/>
  <c r="K81" i="7" s="1"/>
  <c r="L81" i="7" s="1"/>
  <c r="I81" i="7"/>
  <c r="H81" i="7"/>
  <c r="U80" i="7"/>
  <c r="T80" i="7"/>
  <c r="Q80" i="7"/>
  <c r="P80" i="7"/>
  <c r="O80" i="7"/>
  <c r="N80" i="7"/>
  <c r="M80" i="7"/>
  <c r="J80" i="7"/>
  <c r="K80" i="7" s="1"/>
  <c r="L80" i="7" s="1"/>
  <c r="I80" i="7"/>
  <c r="H80" i="7"/>
  <c r="U79" i="7"/>
  <c r="T79" i="7"/>
  <c r="Q79" i="7"/>
  <c r="P79" i="7"/>
  <c r="O79" i="7"/>
  <c r="N79" i="7"/>
  <c r="M79" i="7"/>
  <c r="J79" i="7"/>
  <c r="K79" i="7" s="1"/>
  <c r="L79" i="7" s="1"/>
  <c r="I79" i="7"/>
  <c r="H79" i="7"/>
  <c r="U78" i="7"/>
  <c r="T78" i="7"/>
  <c r="Q78" i="7"/>
  <c r="P78" i="7"/>
  <c r="O78" i="7"/>
  <c r="R78" i="7" s="1"/>
  <c r="N78" i="7"/>
  <c r="M78" i="7"/>
  <c r="J78" i="7"/>
  <c r="K78" i="7" s="1"/>
  <c r="L78" i="7" s="1"/>
  <c r="I78" i="7"/>
  <c r="H78" i="7"/>
  <c r="U77" i="7"/>
  <c r="T77" i="7"/>
  <c r="Q77" i="7"/>
  <c r="P77" i="7"/>
  <c r="O77" i="7"/>
  <c r="R77" i="7" s="1"/>
  <c r="N77" i="7"/>
  <c r="M77" i="7"/>
  <c r="J77" i="7"/>
  <c r="K77" i="7" s="1"/>
  <c r="L77" i="7" s="1"/>
  <c r="I77" i="7"/>
  <c r="H77" i="7"/>
  <c r="U76" i="7"/>
  <c r="T76" i="7"/>
  <c r="Q76" i="7"/>
  <c r="P76" i="7"/>
  <c r="O76" i="7"/>
  <c r="N76" i="7"/>
  <c r="M76" i="7"/>
  <c r="J76" i="7"/>
  <c r="K76" i="7" s="1"/>
  <c r="L76" i="7" s="1"/>
  <c r="I76" i="7"/>
  <c r="H76" i="7"/>
  <c r="U75" i="7"/>
  <c r="T75" i="7"/>
  <c r="Q75" i="7"/>
  <c r="P75" i="7"/>
  <c r="O75" i="7"/>
  <c r="N75" i="7"/>
  <c r="M75" i="7"/>
  <c r="J75" i="7"/>
  <c r="K75" i="7" s="1"/>
  <c r="L75" i="7" s="1"/>
  <c r="I75" i="7"/>
  <c r="H75" i="7"/>
  <c r="U74" i="7"/>
  <c r="T74" i="7"/>
  <c r="Q74" i="7"/>
  <c r="P74" i="7"/>
  <c r="O74" i="7"/>
  <c r="N74" i="7"/>
  <c r="M74" i="7"/>
  <c r="J74" i="7"/>
  <c r="K74" i="7" s="1"/>
  <c r="L74" i="7" s="1"/>
  <c r="I74" i="7"/>
  <c r="H74" i="7"/>
  <c r="U73" i="7"/>
  <c r="T73" i="7"/>
  <c r="Q73" i="7"/>
  <c r="P73" i="7"/>
  <c r="O73" i="7"/>
  <c r="R73" i="7" s="1"/>
  <c r="N73" i="7"/>
  <c r="M73" i="7"/>
  <c r="J73" i="7"/>
  <c r="K73" i="7" s="1"/>
  <c r="L73" i="7" s="1"/>
  <c r="I73" i="7"/>
  <c r="H73" i="7"/>
  <c r="U72" i="7"/>
  <c r="T72" i="7"/>
  <c r="Q72" i="7"/>
  <c r="P72" i="7"/>
  <c r="O72" i="7"/>
  <c r="N72" i="7"/>
  <c r="M72" i="7"/>
  <c r="J72" i="7"/>
  <c r="K72" i="7" s="1"/>
  <c r="L72" i="7" s="1"/>
  <c r="I72" i="7"/>
  <c r="H72" i="7"/>
  <c r="U71" i="7"/>
  <c r="T71" i="7"/>
  <c r="Q71" i="7"/>
  <c r="P71" i="7"/>
  <c r="O71" i="7"/>
  <c r="N71" i="7"/>
  <c r="M71" i="7"/>
  <c r="J71" i="7"/>
  <c r="K71" i="7" s="1"/>
  <c r="L71" i="7" s="1"/>
  <c r="I71" i="7"/>
  <c r="H71" i="7"/>
  <c r="U70" i="7"/>
  <c r="T70" i="7"/>
  <c r="Q70" i="7"/>
  <c r="P70" i="7"/>
  <c r="O70" i="7"/>
  <c r="N70" i="7"/>
  <c r="M70" i="7"/>
  <c r="J70" i="7"/>
  <c r="K70" i="7" s="1"/>
  <c r="L70" i="7" s="1"/>
  <c r="I70" i="7"/>
  <c r="H70" i="7"/>
  <c r="U69" i="7"/>
  <c r="T69" i="7"/>
  <c r="Q69" i="7"/>
  <c r="P69" i="7"/>
  <c r="O69" i="7"/>
  <c r="R69" i="7" s="1"/>
  <c r="N69" i="7"/>
  <c r="M69" i="7"/>
  <c r="J69" i="7"/>
  <c r="K69" i="7" s="1"/>
  <c r="L69" i="7" s="1"/>
  <c r="I69" i="7"/>
  <c r="H69" i="7"/>
  <c r="U68" i="7"/>
  <c r="T68" i="7"/>
  <c r="Q68" i="7"/>
  <c r="P68" i="7"/>
  <c r="O68" i="7"/>
  <c r="N68" i="7"/>
  <c r="M68" i="7"/>
  <c r="J68" i="7"/>
  <c r="K68" i="7" s="1"/>
  <c r="L68" i="7" s="1"/>
  <c r="I68" i="7"/>
  <c r="H68" i="7"/>
  <c r="U67" i="7"/>
  <c r="T67" i="7"/>
  <c r="Q67" i="7"/>
  <c r="P67" i="7"/>
  <c r="O67" i="7"/>
  <c r="R67" i="7" s="1"/>
  <c r="N67" i="7"/>
  <c r="M67" i="7"/>
  <c r="J67" i="7"/>
  <c r="K67" i="7" s="1"/>
  <c r="L67" i="7" s="1"/>
  <c r="I67" i="7"/>
  <c r="H67" i="7"/>
  <c r="U66" i="7"/>
  <c r="T66" i="7"/>
  <c r="Q66" i="7"/>
  <c r="P66" i="7"/>
  <c r="O66" i="7"/>
  <c r="N66" i="7"/>
  <c r="M66" i="7"/>
  <c r="J66" i="7"/>
  <c r="K66" i="7" s="1"/>
  <c r="L66" i="7" s="1"/>
  <c r="I66" i="7"/>
  <c r="H66" i="7"/>
  <c r="U65" i="7"/>
  <c r="T65" i="7"/>
  <c r="Q65" i="7"/>
  <c r="P65" i="7"/>
  <c r="O65" i="7"/>
  <c r="N65" i="7"/>
  <c r="M65" i="7"/>
  <c r="J65" i="7"/>
  <c r="K65" i="7" s="1"/>
  <c r="L65" i="7" s="1"/>
  <c r="I65" i="7"/>
  <c r="H65" i="7"/>
  <c r="U64" i="7"/>
  <c r="T64" i="7"/>
  <c r="Q64" i="7"/>
  <c r="P64" i="7"/>
  <c r="O64" i="7"/>
  <c r="N64" i="7"/>
  <c r="M64" i="7"/>
  <c r="J64" i="7"/>
  <c r="K64" i="7" s="1"/>
  <c r="L64" i="7" s="1"/>
  <c r="I64" i="7"/>
  <c r="H64" i="7"/>
  <c r="U63" i="7"/>
  <c r="T63" i="7"/>
  <c r="Q63" i="7"/>
  <c r="P63" i="7"/>
  <c r="O63" i="7"/>
  <c r="R63" i="7" s="1"/>
  <c r="N63" i="7"/>
  <c r="M63" i="7"/>
  <c r="J63" i="7"/>
  <c r="K63" i="7" s="1"/>
  <c r="L63" i="7" s="1"/>
  <c r="I63" i="7"/>
  <c r="H63" i="7"/>
  <c r="U62" i="7"/>
  <c r="T62" i="7"/>
  <c r="Q62" i="7"/>
  <c r="P62" i="7"/>
  <c r="O62" i="7"/>
  <c r="N62" i="7"/>
  <c r="M62" i="7"/>
  <c r="J62" i="7"/>
  <c r="K62" i="7" s="1"/>
  <c r="L62" i="7" s="1"/>
  <c r="I62" i="7"/>
  <c r="H62" i="7"/>
  <c r="U61" i="7"/>
  <c r="T61" i="7"/>
  <c r="Q61" i="7"/>
  <c r="P61" i="7"/>
  <c r="O61" i="7"/>
  <c r="N61" i="7"/>
  <c r="M61" i="7"/>
  <c r="J61" i="7"/>
  <c r="K61" i="7" s="1"/>
  <c r="L61" i="7" s="1"/>
  <c r="I61" i="7"/>
  <c r="H61" i="7"/>
  <c r="U60" i="7"/>
  <c r="T60" i="7"/>
  <c r="Q60" i="7"/>
  <c r="P60" i="7"/>
  <c r="O60" i="7"/>
  <c r="R60" i="7" s="1"/>
  <c r="N60" i="7"/>
  <c r="M60" i="7"/>
  <c r="J60" i="7"/>
  <c r="K60" i="7" s="1"/>
  <c r="L60" i="7" s="1"/>
  <c r="I60" i="7"/>
  <c r="H60" i="7"/>
  <c r="U59" i="7"/>
  <c r="T59" i="7"/>
  <c r="Q59" i="7"/>
  <c r="P59" i="7"/>
  <c r="O59" i="7"/>
  <c r="R59" i="7" s="1"/>
  <c r="N59" i="7"/>
  <c r="M59" i="7"/>
  <c r="J59" i="7"/>
  <c r="K59" i="7" s="1"/>
  <c r="L59" i="7" s="1"/>
  <c r="I59" i="7"/>
  <c r="H59" i="7"/>
  <c r="U58" i="7"/>
  <c r="T58" i="7"/>
  <c r="Q58" i="7"/>
  <c r="P58" i="7"/>
  <c r="O58" i="7"/>
  <c r="N58" i="7"/>
  <c r="M58" i="7"/>
  <c r="J58" i="7"/>
  <c r="K58" i="7" s="1"/>
  <c r="L58" i="7" s="1"/>
  <c r="I58" i="7"/>
  <c r="H58" i="7"/>
  <c r="U57" i="7"/>
  <c r="T57" i="7"/>
  <c r="Q57" i="7"/>
  <c r="P57" i="7"/>
  <c r="O57" i="7"/>
  <c r="N57" i="7"/>
  <c r="M57" i="7"/>
  <c r="J57" i="7"/>
  <c r="K57" i="7" s="1"/>
  <c r="L57" i="7" s="1"/>
  <c r="I57" i="7"/>
  <c r="H57" i="7"/>
  <c r="U56" i="7"/>
  <c r="T56" i="7"/>
  <c r="Q56" i="7"/>
  <c r="P56" i="7"/>
  <c r="O56" i="7"/>
  <c r="R56" i="7" s="1"/>
  <c r="N56" i="7"/>
  <c r="M56" i="7"/>
  <c r="J56" i="7"/>
  <c r="K56" i="7" s="1"/>
  <c r="L56" i="7" s="1"/>
  <c r="I56" i="7"/>
  <c r="H56" i="7"/>
  <c r="U55" i="7"/>
  <c r="T55" i="7"/>
  <c r="Q55" i="7"/>
  <c r="P55" i="7"/>
  <c r="O55" i="7"/>
  <c r="R55" i="7" s="1"/>
  <c r="N55" i="7"/>
  <c r="M55" i="7"/>
  <c r="J55" i="7"/>
  <c r="K55" i="7" s="1"/>
  <c r="L55" i="7" s="1"/>
  <c r="I55" i="7"/>
  <c r="H55" i="7"/>
  <c r="U54" i="7"/>
  <c r="T54" i="7"/>
  <c r="Q54" i="7"/>
  <c r="P54" i="7"/>
  <c r="O54" i="7"/>
  <c r="N54" i="7"/>
  <c r="M54" i="7"/>
  <c r="J54" i="7"/>
  <c r="K54" i="7" s="1"/>
  <c r="L54" i="7" s="1"/>
  <c r="I54" i="7"/>
  <c r="H54" i="7"/>
  <c r="U53" i="7"/>
  <c r="T53" i="7"/>
  <c r="Q53" i="7"/>
  <c r="P53" i="7"/>
  <c r="O53" i="7"/>
  <c r="N53" i="7"/>
  <c r="M53" i="7"/>
  <c r="J53" i="7"/>
  <c r="K53" i="7" s="1"/>
  <c r="L53" i="7" s="1"/>
  <c r="I53" i="7"/>
  <c r="H53" i="7"/>
  <c r="U52" i="7"/>
  <c r="T52" i="7"/>
  <c r="Q52" i="7"/>
  <c r="P52" i="7"/>
  <c r="O52" i="7"/>
  <c r="R52" i="7" s="1"/>
  <c r="N52" i="7"/>
  <c r="M52" i="7"/>
  <c r="J52" i="7"/>
  <c r="K52" i="7" s="1"/>
  <c r="L52" i="7" s="1"/>
  <c r="I52" i="7"/>
  <c r="H52" i="7"/>
  <c r="U51" i="7"/>
  <c r="T51" i="7"/>
  <c r="Q51" i="7"/>
  <c r="P51" i="7"/>
  <c r="O51" i="7"/>
  <c r="R51" i="7" s="1"/>
  <c r="N51" i="7"/>
  <c r="M51" i="7"/>
  <c r="J51" i="7"/>
  <c r="K51" i="7" s="1"/>
  <c r="L51" i="7" s="1"/>
  <c r="I51" i="7"/>
  <c r="H51" i="7"/>
  <c r="U50" i="7"/>
  <c r="T50" i="7"/>
  <c r="Q50" i="7"/>
  <c r="P50" i="7"/>
  <c r="O50" i="7"/>
  <c r="N50" i="7"/>
  <c r="M50" i="7"/>
  <c r="J50" i="7"/>
  <c r="K50" i="7" s="1"/>
  <c r="L50" i="7" s="1"/>
  <c r="I50" i="7"/>
  <c r="H50" i="7"/>
  <c r="U49" i="7"/>
  <c r="T49" i="7"/>
  <c r="Q49" i="7"/>
  <c r="P49" i="7"/>
  <c r="O49" i="7"/>
  <c r="N49" i="7"/>
  <c r="M49" i="7"/>
  <c r="J49" i="7"/>
  <c r="K49" i="7" s="1"/>
  <c r="L49" i="7" s="1"/>
  <c r="I49" i="7"/>
  <c r="H49" i="7"/>
  <c r="U48" i="7"/>
  <c r="T48" i="7"/>
  <c r="Q48" i="7"/>
  <c r="P48" i="7"/>
  <c r="O48" i="7"/>
  <c r="N48" i="7"/>
  <c r="M48" i="7"/>
  <c r="J48" i="7"/>
  <c r="K48" i="7" s="1"/>
  <c r="L48" i="7" s="1"/>
  <c r="I48" i="7"/>
  <c r="H48" i="7"/>
  <c r="U47" i="7"/>
  <c r="T47" i="7"/>
  <c r="Q47" i="7"/>
  <c r="P47" i="7"/>
  <c r="O47" i="7"/>
  <c r="R47" i="7" s="1"/>
  <c r="N47" i="7"/>
  <c r="M47" i="7"/>
  <c r="J47" i="7"/>
  <c r="K47" i="7" s="1"/>
  <c r="L47" i="7" s="1"/>
  <c r="I47" i="7"/>
  <c r="H47" i="7"/>
  <c r="U46" i="7"/>
  <c r="T46" i="7"/>
  <c r="Q46" i="7"/>
  <c r="P46" i="7"/>
  <c r="O46" i="7"/>
  <c r="N46" i="7"/>
  <c r="M46" i="7"/>
  <c r="J46" i="7"/>
  <c r="K46" i="7" s="1"/>
  <c r="L46" i="7" s="1"/>
  <c r="I46" i="7"/>
  <c r="H46" i="7"/>
  <c r="U45" i="7"/>
  <c r="T45" i="7"/>
  <c r="Q45" i="7"/>
  <c r="P45" i="7"/>
  <c r="O45" i="7"/>
  <c r="N45" i="7"/>
  <c r="M45" i="7"/>
  <c r="J45" i="7"/>
  <c r="K45" i="7" s="1"/>
  <c r="L45" i="7" s="1"/>
  <c r="I45" i="7"/>
  <c r="H45" i="7"/>
  <c r="U44" i="7"/>
  <c r="T44" i="7"/>
  <c r="Q44" i="7"/>
  <c r="P44" i="7"/>
  <c r="O44" i="7"/>
  <c r="N44" i="7"/>
  <c r="M44" i="7"/>
  <c r="J44" i="7"/>
  <c r="K44" i="7" s="1"/>
  <c r="L44" i="7" s="1"/>
  <c r="I44" i="7"/>
  <c r="H44" i="7"/>
  <c r="U43" i="7"/>
  <c r="T43" i="7"/>
  <c r="Q43" i="7"/>
  <c r="P43" i="7"/>
  <c r="O43" i="7"/>
  <c r="R43" i="7" s="1"/>
  <c r="N43" i="7"/>
  <c r="M43" i="7"/>
  <c r="J43" i="7"/>
  <c r="K43" i="7" s="1"/>
  <c r="L43" i="7" s="1"/>
  <c r="I43" i="7"/>
  <c r="H43" i="7"/>
  <c r="U42" i="7"/>
  <c r="T42" i="7"/>
  <c r="Q42" i="7"/>
  <c r="P42" i="7"/>
  <c r="O42" i="7"/>
  <c r="N42" i="7"/>
  <c r="M42" i="7"/>
  <c r="J42" i="7"/>
  <c r="K42" i="7" s="1"/>
  <c r="L42" i="7" s="1"/>
  <c r="I42" i="7"/>
  <c r="H42" i="7"/>
  <c r="U41" i="7"/>
  <c r="T41" i="7"/>
  <c r="Q41" i="7"/>
  <c r="P41" i="7"/>
  <c r="O41" i="7"/>
  <c r="N41" i="7"/>
  <c r="M41" i="7"/>
  <c r="J41" i="7"/>
  <c r="K41" i="7" s="1"/>
  <c r="L41" i="7" s="1"/>
  <c r="I41" i="7"/>
  <c r="H41" i="7"/>
  <c r="U40" i="7"/>
  <c r="T40" i="7"/>
  <c r="Q40" i="7"/>
  <c r="P40" i="7"/>
  <c r="O40" i="7"/>
  <c r="N40" i="7"/>
  <c r="M40" i="7"/>
  <c r="J40" i="7"/>
  <c r="K40" i="7" s="1"/>
  <c r="L40" i="7" s="1"/>
  <c r="I40" i="7"/>
  <c r="H40" i="7"/>
  <c r="U39" i="7"/>
  <c r="T39" i="7"/>
  <c r="Q39" i="7"/>
  <c r="P39" i="7"/>
  <c r="O39" i="7"/>
  <c r="R39" i="7" s="1"/>
  <c r="N39" i="7"/>
  <c r="M39" i="7"/>
  <c r="J39" i="7"/>
  <c r="K39" i="7" s="1"/>
  <c r="L39" i="7" s="1"/>
  <c r="I39" i="7"/>
  <c r="H39" i="7"/>
  <c r="U38" i="7"/>
  <c r="T38" i="7"/>
  <c r="Q38" i="7"/>
  <c r="P38" i="7"/>
  <c r="O38" i="7"/>
  <c r="N38" i="7"/>
  <c r="M38" i="7"/>
  <c r="J38" i="7"/>
  <c r="K38" i="7" s="1"/>
  <c r="L38" i="7" s="1"/>
  <c r="I38" i="7"/>
  <c r="H38" i="7"/>
  <c r="U37" i="7"/>
  <c r="T37" i="7"/>
  <c r="Q37" i="7"/>
  <c r="P37" i="7"/>
  <c r="O37" i="7"/>
  <c r="N37" i="7"/>
  <c r="M37" i="7"/>
  <c r="J37" i="7"/>
  <c r="K37" i="7" s="1"/>
  <c r="L37" i="7" s="1"/>
  <c r="I37" i="7"/>
  <c r="H37" i="7"/>
  <c r="U36" i="7"/>
  <c r="T36" i="7"/>
  <c r="Q36" i="7"/>
  <c r="P36" i="7"/>
  <c r="O36" i="7"/>
  <c r="R36" i="7" s="1"/>
  <c r="N36" i="7"/>
  <c r="M36" i="7"/>
  <c r="J36" i="7"/>
  <c r="K36" i="7" s="1"/>
  <c r="L36" i="7" s="1"/>
  <c r="I36" i="7"/>
  <c r="H36" i="7"/>
  <c r="U35" i="7"/>
  <c r="T35" i="7"/>
  <c r="Q35" i="7"/>
  <c r="P35" i="7"/>
  <c r="O35" i="7"/>
  <c r="R35" i="7" s="1"/>
  <c r="N35" i="7"/>
  <c r="M35" i="7"/>
  <c r="J35" i="7"/>
  <c r="K35" i="7" s="1"/>
  <c r="L35" i="7" s="1"/>
  <c r="I35" i="7"/>
  <c r="H35" i="7"/>
  <c r="U34" i="7"/>
  <c r="T34" i="7"/>
  <c r="Q34" i="7"/>
  <c r="P34" i="7"/>
  <c r="O34" i="7"/>
  <c r="N34" i="7"/>
  <c r="M34" i="7"/>
  <c r="J34" i="7"/>
  <c r="K34" i="7" s="1"/>
  <c r="L34" i="7" s="1"/>
  <c r="I34" i="7"/>
  <c r="H34" i="7"/>
  <c r="U33" i="7"/>
  <c r="T33" i="7"/>
  <c r="Q33" i="7"/>
  <c r="P33" i="7"/>
  <c r="O33" i="7"/>
  <c r="N33" i="7"/>
  <c r="M33" i="7"/>
  <c r="J33" i="7"/>
  <c r="K33" i="7" s="1"/>
  <c r="L33" i="7" s="1"/>
  <c r="I33" i="7"/>
  <c r="H33" i="7"/>
  <c r="U32" i="7"/>
  <c r="T32" i="7"/>
  <c r="Q32" i="7"/>
  <c r="P32" i="7"/>
  <c r="O32" i="7"/>
  <c r="R32" i="7" s="1"/>
  <c r="N32" i="7"/>
  <c r="M32" i="7"/>
  <c r="J32" i="7"/>
  <c r="K32" i="7" s="1"/>
  <c r="L32" i="7" s="1"/>
  <c r="I32" i="7"/>
  <c r="H32" i="7"/>
  <c r="U31" i="7"/>
  <c r="T31" i="7"/>
  <c r="Q31" i="7"/>
  <c r="P31" i="7"/>
  <c r="O31" i="7"/>
  <c r="N31" i="7"/>
  <c r="M31" i="7"/>
  <c r="J31" i="7"/>
  <c r="K31" i="7" s="1"/>
  <c r="L31" i="7" s="1"/>
  <c r="I31" i="7"/>
  <c r="H31" i="7"/>
  <c r="U30" i="7"/>
  <c r="T30" i="7"/>
  <c r="Q30" i="7"/>
  <c r="P30" i="7"/>
  <c r="O30" i="7"/>
  <c r="N30" i="7"/>
  <c r="M30" i="7"/>
  <c r="J30" i="7"/>
  <c r="K30" i="7" s="1"/>
  <c r="L30" i="7" s="1"/>
  <c r="I30" i="7"/>
  <c r="H30" i="7"/>
  <c r="U29" i="7"/>
  <c r="T29" i="7"/>
  <c r="Q29" i="7"/>
  <c r="P29" i="7"/>
  <c r="O29" i="7"/>
  <c r="N29" i="7"/>
  <c r="M29" i="7"/>
  <c r="J29" i="7"/>
  <c r="K29" i="7" s="1"/>
  <c r="L29" i="7" s="1"/>
  <c r="I29" i="7"/>
  <c r="H29" i="7"/>
  <c r="U28" i="7"/>
  <c r="T28" i="7"/>
  <c r="Q28" i="7"/>
  <c r="P28" i="7"/>
  <c r="O28" i="7"/>
  <c r="R28" i="7" s="1"/>
  <c r="N28" i="7"/>
  <c r="M28" i="7"/>
  <c r="J28" i="7"/>
  <c r="K28" i="7" s="1"/>
  <c r="L28" i="7" s="1"/>
  <c r="I28" i="7"/>
  <c r="H28" i="7"/>
  <c r="U27" i="7"/>
  <c r="T27" i="7"/>
  <c r="Q27" i="7"/>
  <c r="P27" i="7"/>
  <c r="O27" i="7"/>
  <c r="R27" i="7" s="1"/>
  <c r="N27" i="7"/>
  <c r="M27" i="7"/>
  <c r="J27" i="7"/>
  <c r="K27" i="7" s="1"/>
  <c r="L27" i="7" s="1"/>
  <c r="I27" i="7"/>
  <c r="H27" i="7"/>
  <c r="U26" i="7"/>
  <c r="T26" i="7"/>
  <c r="Q26" i="7"/>
  <c r="P26" i="7"/>
  <c r="O26" i="7"/>
  <c r="N26" i="7"/>
  <c r="M26" i="7"/>
  <c r="J26" i="7"/>
  <c r="K26" i="7" s="1"/>
  <c r="L26" i="7" s="1"/>
  <c r="I26" i="7"/>
  <c r="H26" i="7"/>
  <c r="U25" i="7"/>
  <c r="T25" i="7"/>
  <c r="Q25" i="7"/>
  <c r="P25" i="7"/>
  <c r="O25" i="7"/>
  <c r="N25" i="7"/>
  <c r="M25" i="7"/>
  <c r="J25" i="7"/>
  <c r="K25" i="7" s="1"/>
  <c r="L25" i="7" s="1"/>
  <c r="I25" i="7"/>
  <c r="H25" i="7"/>
  <c r="U24" i="7"/>
  <c r="T24" i="7"/>
  <c r="Q24" i="7"/>
  <c r="P24" i="7"/>
  <c r="O24" i="7"/>
  <c r="N24" i="7"/>
  <c r="M24" i="7"/>
  <c r="J24" i="7"/>
  <c r="K24" i="7" s="1"/>
  <c r="L24" i="7" s="1"/>
  <c r="I24" i="7"/>
  <c r="H24" i="7"/>
  <c r="U23" i="7"/>
  <c r="T23" i="7"/>
  <c r="Q23" i="7"/>
  <c r="P23" i="7"/>
  <c r="O23" i="7"/>
  <c r="R23" i="7" s="1"/>
  <c r="N23" i="7"/>
  <c r="M23" i="7"/>
  <c r="J23" i="7"/>
  <c r="K23" i="7" s="1"/>
  <c r="L23" i="7" s="1"/>
  <c r="I23" i="7"/>
  <c r="H23" i="7"/>
  <c r="U22" i="7"/>
  <c r="T22" i="7"/>
  <c r="Q22" i="7"/>
  <c r="P22" i="7"/>
  <c r="O22" i="7"/>
  <c r="N22" i="7"/>
  <c r="M22" i="7"/>
  <c r="J22" i="7"/>
  <c r="K22" i="7" s="1"/>
  <c r="L22" i="7" s="1"/>
  <c r="I22" i="7"/>
  <c r="H22" i="7"/>
  <c r="U21" i="7"/>
  <c r="T21" i="7"/>
  <c r="Q21" i="7"/>
  <c r="P21" i="7"/>
  <c r="O21" i="7"/>
  <c r="N21" i="7"/>
  <c r="M21" i="7"/>
  <c r="J21" i="7"/>
  <c r="K21" i="7" s="1"/>
  <c r="L21" i="7" s="1"/>
  <c r="I21" i="7"/>
  <c r="H21" i="7"/>
  <c r="U20" i="7"/>
  <c r="T20" i="7"/>
  <c r="Q20" i="7"/>
  <c r="P20" i="7"/>
  <c r="O20" i="7"/>
  <c r="N20" i="7"/>
  <c r="M20" i="7"/>
  <c r="J20" i="7"/>
  <c r="K20" i="7" s="1"/>
  <c r="L20" i="7" s="1"/>
  <c r="I20" i="7"/>
  <c r="H20" i="7"/>
  <c r="U19" i="7"/>
  <c r="T19" i="7"/>
  <c r="Q19" i="7"/>
  <c r="P19" i="7"/>
  <c r="O19" i="7"/>
  <c r="R19" i="7" s="1"/>
  <c r="N19" i="7"/>
  <c r="M19" i="7"/>
  <c r="J19" i="7"/>
  <c r="K19" i="7" s="1"/>
  <c r="L19" i="7" s="1"/>
  <c r="I19" i="7"/>
  <c r="H19" i="7"/>
  <c r="U18" i="7"/>
  <c r="T18" i="7"/>
  <c r="Q18" i="7"/>
  <c r="P18" i="7"/>
  <c r="O18" i="7"/>
  <c r="N18" i="7"/>
  <c r="M18" i="7"/>
  <c r="J18" i="7"/>
  <c r="K18" i="7" s="1"/>
  <c r="L18" i="7" s="1"/>
  <c r="I18" i="7"/>
  <c r="H18" i="7"/>
  <c r="U17" i="7"/>
  <c r="T17" i="7"/>
  <c r="Q17" i="7"/>
  <c r="P17" i="7"/>
  <c r="O17" i="7"/>
  <c r="N17" i="7"/>
  <c r="M17" i="7"/>
  <c r="J17" i="7"/>
  <c r="K17" i="7" s="1"/>
  <c r="L17" i="7" s="1"/>
  <c r="I17" i="7"/>
  <c r="H17" i="7"/>
  <c r="U16" i="7"/>
  <c r="T16" i="7"/>
  <c r="Q16" i="7"/>
  <c r="P16" i="7"/>
  <c r="O16" i="7"/>
  <c r="N16" i="7"/>
  <c r="M16" i="7"/>
  <c r="J16" i="7"/>
  <c r="K16" i="7" s="1"/>
  <c r="L16" i="7" s="1"/>
  <c r="I16" i="7"/>
  <c r="H16" i="7"/>
  <c r="U15" i="7"/>
  <c r="T15" i="7"/>
  <c r="Q15" i="7"/>
  <c r="P15" i="7"/>
  <c r="O15" i="7"/>
  <c r="R15" i="7" s="1"/>
  <c r="N15" i="7"/>
  <c r="M15" i="7"/>
  <c r="J15" i="7"/>
  <c r="K15" i="7" s="1"/>
  <c r="L15" i="7" s="1"/>
  <c r="I15" i="7"/>
  <c r="H15" i="7"/>
  <c r="U14" i="7"/>
  <c r="T14" i="7"/>
  <c r="Q14" i="7"/>
  <c r="P14" i="7"/>
  <c r="O14" i="7"/>
  <c r="N14" i="7"/>
  <c r="M14" i="7"/>
  <c r="J14" i="7"/>
  <c r="K14" i="7" s="1"/>
  <c r="L14" i="7" s="1"/>
  <c r="I14" i="7"/>
  <c r="H14" i="7"/>
  <c r="U13" i="7"/>
  <c r="T13" i="7"/>
  <c r="Q13" i="7"/>
  <c r="P13" i="7"/>
  <c r="O13" i="7"/>
  <c r="N13" i="7"/>
  <c r="M13" i="7"/>
  <c r="J13" i="7"/>
  <c r="K13" i="7" s="1"/>
  <c r="L13" i="7" s="1"/>
  <c r="I13" i="7"/>
  <c r="H13" i="7"/>
  <c r="U12" i="7"/>
  <c r="T12" i="7"/>
  <c r="Q12" i="7"/>
  <c r="P12" i="7"/>
  <c r="O12" i="7"/>
  <c r="N12" i="7"/>
  <c r="M12" i="7"/>
  <c r="J12" i="7"/>
  <c r="K12" i="7" s="1"/>
  <c r="L12" i="7" s="1"/>
  <c r="I12" i="7"/>
  <c r="H12" i="7"/>
  <c r="U11" i="7"/>
  <c r="T11" i="7"/>
  <c r="Q11" i="7"/>
  <c r="P11" i="7"/>
  <c r="O11" i="7"/>
  <c r="R11" i="7" s="1"/>
  <c r="N11" i="7"/>
  <c r="M11" i="7"/>
  <c r="J11" i="7"/>
  <c r="K11" i="7" s="1"/>
  <c r="L11" i="7" s="1"/>
  <c r="I11" i="7"/>
  <c r="H11" i="7"/>
  <c r="U10" i="7"/>
  <c r="T10" i="7"/>
  <c r="Q10" i="7"/>
  <c r="P10" i="7"/>
  <c r="O10" i="7"/>
  <c r="N10" i="7"/>
  <c r="M10" i="7"/>
  <c r="J10" i="7"/>
  <c r="K10" i="7" s="1"/>
  <c r="L10" i="7" s="1"/>
  <c r="I10" i="7"/>
  <c r="H10" i="7"/>
  <c r="U9" i="7"/>
  <c r="T9" i="7"/>
  <c r="Q9" i="7"/>
  <c r="P9" i="7"/>
  <c r="O9" i="7"/>
  <c r="N9" i="7"/>
  <c r="M9" i="7"/>
  <c r="J9" i="7"/>
  <c r="K9" i="7" s="1"/>
  <c r="L9" i="7" s="1"/>
  <c r="I9" i="7"/>
  <c r="H9" i="7"/>
  <c r="U8" i="7"/>
  <c r="T8" i="7"/>
  <c r="Q8" i="7"/>
  <c r="P8" i="7"/>
  <c r="O8" i="7"/>
  <c r="R8" i="7" s="1"/>
  <c r="N8" i="7"/>
  <c r="M8" i="7"/>
  <c r="J8" i="7"/>
  <c r="K8" i="7" s="1"/>
  <c r="L8" i="7" s="1"/>
  <c r="I8" i="7"/>
  <c r="H8" i="7"/>
  <c r="U7" i="7"/>
  <c r="T7" i="7"/>
  <c r="Q7" i="7"/>
  <c r="P7" i="7"/>
  <c r="O7" i="7"/>
  <c r="R7" i="7" s="1"/>
  <c r="N7" i="7"/>
  <c r="M7" i="7"/>
  <c r="J7" i="7"/>
  <c r="K7" i="7" s="1"/>
  <c r="L7" i="7" s="1"/>
  <c r="I7" i="7"/>
  <c r="H7" i="7"/>
  <c r="U6" i="7"/>
  <c r="T6" i="7"/>
  <c r="Q6" i="7"/>
  <c r="P6" i="7"/>
  <c r="O6" i="7"/>
  <c r="N6" i="7"/>
  <c r="M6" i="7"/>
  <c r="J6" i="7"/>
  <c r="K6" i="7" s="1"/>
  <c r="L6" i="7" s="1"/>
  <c r="I6" i="7"/>
  <c r="H6" i="7"/>
  <c r="U5" i="7"/>
  <c r="T5" i="7"/>
  <c r="Q5" i="7"/>
  <c r="P5" i="7"/>
  <c r="O5" i="7"/>
  <c r="N5" i="7"/>
  <c r="M5" i="7"/>
  <c r="J5" i="7"/>
  <c r="K5" i="7" s="1"/>
  <c r="L5" i="7" s="1"/>
  <c r="I5" i="7"/>
  <c r="H5" i="7"/>
  <c r="F1355" i="6"/>
  <c r="F1354" i="6"/>
  <c r="F1353" i="6"/>
  <c r="U1245" i="6"/>
  <c r="T1245" i="6"/>
  <c r="Q1245" i="6"/>
  <c r="P1245" i="6"/>
  <c r="O1245" i="6"/>
  <c r="R1245" i="6" s="1"/>
  <c r="N1245" i="6"/>
  <c r="M1245" i="6"/>
  <c r="J1245" i="6"/>
  <c r="K1245" i="6" s="1"/>
  <c r="L1245" i="6" s="1"/>
  <c r="I1245" i="6"/>
  <c r="H1245" i="6"/>
  <c r="U1244" i="6"/>
  <c r="T1244" i="6"/>
  <c r="Q1244" i="6"/>
  <c r="P1244" i="6"/>
  <c r="O1244" i="6"/>
  <c r="N1244" i="6"/>
  <c r="M1244" i="6"/>
  <c r="J1244" i="6"/>
  <c r="K1244" i="6" s="1"/>
  <c r="L1244" i="6" s="1"/>
  <c r="I1244" i="6"/>
  <c r="H1244" i="6"/>
  <c r="U1243" i="6"/>
  <c r="T1243" i="6"/>
  <c r="Q1243" i="6"/>
  <c r="P1243" i="6"/>
  <c r="O1243" i="6"/>
  <c r="N1243" i="6"/>
  <c r="M1243" i="6"/>
  <c r="J1243" i="6"/>
  <c r="K1243" i="6" s="1"/>
  <c r="L1243" i="6" s="1"/>
  <c r="I1243" i="6"/>
  <c r="H1243" i="6"/>
  <c r="U1242" i="6"/>
  <c r="T1242" i="6"/>
  <c r="Q1242" i="6"/>
  <c r="P1242" i="6"/>
  <c r="O1242" i="6"/>
  <c r="N1242" i="6"/>
  <c r="M1242" i="6"/>
  <c r="J1242" i="6"/>
  <c r="K1242" i="6" s="1"/>
  <c r="L1242" i="6" s="1"/>
  <c r="I1242" i="6"/>
  <c r="H1242" i="6"/>
  <c r="U1241" i="6"/>
  <c r="T1241" i="6"/>
  <c r="Q1241" i="6"/>
  <c r="P1241" i="6"/>
  <c r="O1241" i="6"/>
  <c r="R1241" i="6" s="1"/>
  <c r="N1241" i="6"/>
  <c r="M1241" i="6"/>
  <c r="J1241" i="6"/>
  <c r="K1241" i="6" s="1"/>
  <c r="L1241" i="6" s="1"/>
  <c r="I1241" i="6"/>
  <c r="H1241" i="6"/>
  <c r="F1193" i="6"/>
  <c r="F1049" i="6"/>
  <c r="F1048" i="6"/>
  <c r="F1047" i="6"/>
  <c r="F1046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U1018" i="6"/>
  <c r="T1018" i="6"/>
  <c r="Q1018" i="6"/>
  <c r="P1018" i="6"/>
  <c r="O1018" i="6"/>
  <c r="N1018" i="6"/>
  <c r="M1018" i="6"/>
  <c r="J1018" i="6"/>
  <c r="I1018" i="6"/>
  <c r="H1018" i="6"/>
  <c r="F1018" i="6"/>
  <c r="F1017" i="6"/>
  <c r="F1016" i="6"/>
  <c r="F1015" i="6"/>
  <c r="F1014" i="6"/>
  <c r="F1013" i="6"/>
  <c r="F1012" i="6"/>
  <c r="F1011" i="6"/>
  <c r="F1010" i="6"/>
  <c r="F1009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51" i="6"/>
  <c r="F50" i="6"/>
  <c r="U5" i="6"/>
  <c r="T5" i="6"/>
  <c r="Q5" i="6"/>
  <c r="P5" i="6"/>
  <c r="O5" i="6"/>
  <c r="N5" i="6"/>
  <c r="M5" i="6"/>
  <c r="J5" i="6"/>
  <c r="K5" i="6" s="1"/>
  <c r="L5" i="6" s="1"/>
  <c r="I5" i="6"/>
  <c r="H5" i="6"/>
  <c r="U7" i="4"/>
  <c r="T7" i="4"/>
  <c r="Q7" i="4"/>
  <c r="P7" i="4"/>
  <c r="O7" i="4"/>
  <c r="R7" i="4" s="1"/>
  <c r="N7" i="4"/>
  <c r="M7" i="4"/>
  <c r="J7" i="4"/>
  <c r="K7" i="4" s="1"/>
  <c r="L7" i="4" s="1"/>
  <c r="I7" i="4"/>
  <c r="H7" i="4"/>
  <c r="U6" i="4"/>
  <c r="T6" i="4"/>
  <c r="Q6" i="4"/>
  <c r="P6" i="4"/>
  <c r="O6" i="4"/>
  <c r="N6" i="4"/>
  <c r="M6" i="4"/>
  <c r="J6" i="4"/>
  <c r="K6" i="4" s="1"/>
  <c r="L6" i="4" s="1"/>
  <c r="I6" i="4"/>
  <c r="H6" i="4"/>
  <c r="U5" i="4"/>
  <c r="T5" i="4"/>
  <c r="Q5" i="4"/>
  <c r="P5" i="4"/>
  <c r="O5" i="4"/>
  <c r="N5" i="4"/>
  <c r="M5" i="4"/>
  <c r="J5" i="4"/>
  <c r="K5" i="4" s="1"/>
  <c r="L5" i="4" s="1"/>
  <c r="I5" i="4"/>
  <c r="H5" i="4"/>
  <c r="AF19" i="3"/>
  <c r="AG19" i="3" s="1"/>
  <c r="AB19" i="3"/>
  <c r="W19" i="3"/>
  <c r="R19" i="3"/>
  <c r="Q19" i="3"/>
  <c r="U19" i="3" s="1"/>
  <c r="V19" i="3" s="1"/>
  <c r="N19" i="3"/>
  <c r="M19" i="3"/>
  <c r="L19" i="3"/>
  <c r="K19" i="3"/>
  <c r="J19" i="3"/>
  <c r="I19" i="3"/>
  <c r="H19" i="3"/>
  <c r="AF18" i="3"/>
  <c r="AG18" i="3" s="1"/>
  <c r="AB18" i="3"/>
  <c r="W18" i="3"/>
  <c r="R18" i="3"/>
  <c r="Q18" i="3"/>
  <c r="U18" i="3" s="1"/>
  <c r="V18" i="3" s="1"/>
  <c r="N18" i="3"/>
  <c r="M18" i="3"/>
  <c r="L18" i="3"/>
  <c r="K18" i="3"/>
  <c r="J18" i="3"/>
  <c r="I18" i="3"/>
  <c r="H18" i="3"/>
  <c r="AF17" i="3"/>
  <c r="AG17" i="3" s="1"/>
  <c r="AB17" i="3"/>
  <c r="W17" i="3"/>
  <c r="R17" i="3"/>
  <c r="Q17" i="3"/>
  <c r="U17" i="3" s="1"/>
  <c r="V17" i="3" s="1"/>
  <c r="N17" i="3"/>
  <c r="M17" i="3"/>
  <c r="L17" i="3"/>
  <c r="K17" i="3"/>
  <c r="J17" i="3"/>
  <c r="I17" i="3"/>
  <c r="H17" i="3"/>
  <c r="AF16" i="3"/>
  <c r="AG16" i="3" s="1"/>
  <c r="AB16" i="3"/>
  <c r="W16" i="3"/>
  <c r="R16" i="3"/>
  <c r="Q16" i="3"/>
  <c r="U16" i="3" s="1"/>
  <c r="N16" i="3"/>
  <c r="M16" i="3"/>
  <c r="L16" i="3"/>
  <c r="K16" i="3"/>
  <c r="J16" i="3"/>
  <c r="H16" i="3"/>
  <c r="I16" i="3" s="1"/>
  <c r="AF13" i="3"/>
  <c r="AG13" i="3" s="1"/>
  <c r="W13" i="3"/>
  <c r="R13" i="3"/>
  <c r="Q13" i="3"/>
  <c r="U13" i="3" s="1"/>
  <c r="V13" i="3" s="1"/>
  <c r="N13" i="3"/>
  <c r="M13" i="3"/>
  <c r="L13" i="3"/>
  <c r="K13" i="3"/>
  <c r="J13" i="3"/>
  <c r="I13" i="3"/>
  <c r="H13" i="3"/>
  <c r="AF12" i="3"/>
  <c r="AG12" i="3" s="1"/>
  <c r="AB12" i="3"/>
  <c r="W12" i="3"/>
  <c r="R12" i="3"/>
  <c r="Q12" i="3"/>
  <c r="U12" i="3" s="1"/>
  <c r="V12" i="3" s="1"/>
  <c r="N12" i="3"/>
  <c r="M12" i="3"/>
  <c r="L12" i="3"/>
  <c r="O12" i="3" s="1"/>
  <c r="K12" i="3"/>
  <c r="J12" i="3"/>
  <c r="I12" i="3"/>
  <c r="H12" i="3"/>
  <c r="AF11" i="3"/>
  <c r="AG11" i="3" s="1"/>
  <c r="AB11" i="3"/>
  <c r="W11" i="3"/>
  <c r="R11" i="3"/>
  <c r="Q11" i="3"/>
  <c r="U11" i="3" s="1"/>
  <c r="N11" i="3"/>
  <c r="M11" i="3"/>
  <c r="L11" i="3"/>
  <c r="K11" i="3"/>
  <c r="J11" i="3"/>
  <c r="I11" i="3"/>
  <c r="H11" i="3"/>
  <c r="AF10" i="3"/>
  <c r="AG10" i="3" s="1"/>
  <c r="AB10" i="3"/>
  <c r="W10" i="3"/>
  <c r="R10" i="3"/>
  <c r="Q10" i="3"/>
  <c r="U10" i="3" s="1"/>
  <c r="N10" i="3"/>
  <c r="M10" i="3"/>
  <c r="L10" i="3"/>
  <c r="K10" i="3"/>
  <c r="J10" i="3"/>
  <c r="H10" i="3"/>
  <c r="I10" i="3" s="1"/>
  <c r="AF9" i="3"/>
  <c r="AG9" i="3" s="1"/>
  <c r="AB9" i="3"/>
  <c r="W9" i="3"/>
  <c r="R9" i="3"/>
  <c r="Q9" i="3"/>
  <c r="U9" i="3" s="1"/>
  <c r="N9" i="3"/>
  <c r="M9" i="3"/>
  <c r="L9" i="3"/>
  <c r="O9" i="3" s="1"/>
  <c r="K9" i="3"/>
  <c r="J9" i="3"/>
  <c r="H9" i="3"/>
  <c r="I9" i="3" s="1"/>
  <c r="AF8" i="3"/>
  <c r="AG8" i="3" s="1"/>
  <c r="AB8" i="3"/>
  <c r="W8" i="3"/>
  <c r="R8" i="3"/>
  <c r="Q8" i="3"/>
  <c r="U8" i="3" s="1"/>
  <c r="V8" i="3" s="1"/>
  <c r="N8" i="3"/>
  <c r="M8" i="3"/>
  <c r="L8" i="3"/>
  <c r="O8" i="3" s="1"/>
  <c r="K8" i="3"/>
  <c r="J8" i="3"/>
  <c r="I8" i="3"/>
  <c r="H8" i="3"/>
  <c r="AF7" i="3"/>
  <c r="AG7" i="3" s="1"/>
  <c r="AB7" i="3"/>
  <c r="W7" i="3"/>
  <c r="R7" i="3"/>
  <c r="Q7" i="3"/>
  <c r="N7" i="3"/>
  <c r="M7" i="3"/>
  <c r="L7" i="3"/>
  <c r="K7" i="3"/>
  <c r="J7" i="3"/>
  <c r="I7" i="3"/>
  <c r="H7" i="3"/>
  <c r="AF6" i="3"/>
  <c r="AG6" i="3" s="1"/>
  <c r="AB6" i="3"/>
  <c r="W6" i="3"/>
  <c r="R6" i="3"/>
  <c r="Q6" i="3"/>
  <c r="N6" i="3"/>
  <c r="M6" i="3"/>
  <c r="L6" i="3"/>
  <c r="K6" i="3"/>
  <c r="J6" i="3"/>
  <c r="I6" i="3"/>
  <c r="H6" i="3"/>
  <c r="AF5" i="3"/>
  <c r="AG5" i="3" s="1"/>
  <c r="AB5" i="3"/>
  <c r="W5" i="3"/>
  <c r="R5" i="3"/>
  <c r="Q5" i="3"/>
  <c r="U5" i="3" s="1"/>
  <c r="N5" i="3"/>
  <c r="M5" i="3"/>
  <c r="L5" i="3"/>
  <c r="K5" i="3"/>
  <c r="J5" i="3"/>
  <c r="I5" i="3"/>
  <c r="H5" i="3"/>
  <c r="D3" i="3"/>
  <c r="B3" i="3"/>
  <c r="A3" i="3"/>
  <c r="U1355" i="2"/>
  <c r="T1355" i="2"/>
  <c r="Q1355" i="2"/>
  <c r="P1355" i="2"/>
  <c r="O1355" i="2"/>
  <c r="R1355" i="2" s="1"/>
  <c r="N1355" i="2"/>
  <c r="M1355" i="2"/>
  <c r="J1355" i="2"/>
  <c r="I1355" i="2"/>
  <c r="H1355" i="2"/>
  <c r="F1355" i="2"/>
  <c r="U1354" i="2"/>
  <c r="T1354" i="2"/>
  <c r="Q1354" i="2"/>
  <c r="P1354" i="2"/>
  <c r="O1354" i="2"/>
  <c r="N1354" i="2"/>
  <c r="M1354" i="2"/>
  <c r="J1354" i="2"/>
  <c r="I1354" i="2"/>
  <c r="H1354" i="2"/>
  <c r="F1354" i="2"/>
  <c r="U1353" i="2"/>
  <c r="T1353" i="2"/>
  <c r="Q1353" i="2"/>
  <c r="P1353" i="2"/>
  <c r="O1353" i="2"/>
  <c r="N1353" i="2"/>
  <c r="M1353" i="2"/>
  <c r="J1353" i="2"/>
  <c r="K1353" i="2" s="1"/>
  <c r="L1353" i="2" s="1"/>
  <c r="I1353" i="2"/>
  <c r="H1353" i="2"/>
  <c r="F1353" i="2"/>
  <c r="U1352" i="2"/>
  <c r="T1352" i="2"/>
  <c r="Q1352" i="2"/>
  <c r="P1352" i="2"/>
  <c r="O1352" i="2"/>
  <c r="N1352" i="2"/>
  <c r="M1352" i="2"/>
  <c r="J1352" i="2"/>
  <c r="K1352" i="2" s="1"/>
  <c r="L1352" i="2" s="1"/>
  <c r="I1352" i="2"/>
  <c r="H1352" i="2"/>
  <c r="U1351" i="2"/>
  <c r="T1351" i="2"/>
  <c r="Q1351" i="2"/>
  <c r="P1351" i="2"/>
  <c r="O1351" i="2"/>
  <c r="N1351" i="2"/>
  <c r="M1351" i="2"/>
  <c r="J1351" i="2"/>
  <c r="K1351" i="2" s="1"/>
  <c r="L1351" i="2" s="1"/>
  <c r="I1351" i="2"/>
  <c r="H1351" i="2"/>
  <c r="U1350" i="2"/>
  <c r="T1350" i="2"/>
  <c r="Q1350" i="2"/>
  <c r="P1350" i="2"/>
  <c r="O1350" i="2"/>
  <c r="R1350" i="2" s="1"/>
  <c r="N1350" i="2"/>
  <c r="M1350" i="2"/>
  <c r="J1350" i="2"/>
  <c r="K1350" i="2" s="1"/>
  <c r="L1350" i="2" s="1"/>
  <c r="I1350" i="2"/>
  <c r="H1350" i="2"/>
  <c r="U1349" i="2"/>
  <c r="T1349" i="2"/>
  <c r="Q1349" i="2"/>
  <c r="P1349" i="2"/>
  <c r="O1349" i="2"/>
  <c r="R1349" i="2" s="1"/>
  <c r="N1349" i="2"/>
  <c r="M1349" i="2"/>
  <c r="J1349" i="2"/>
  <c r="K1349" i="2" s="1"/>
  <c r="L1349" i="2" s="1"/>
  <c r="I1349" i="2"/>
  <c r="H1349" i="2"/>
  <c r="U1348" i="2"/>
  <c r="T1348" i="2"/>
  <c r="Q1348" i="2"/>
  <c r="P1348" i="2"/>
  <c r="O1348" i="2"/>
  <c r="N1348" i="2"/>
  <c r="M1348" i="2"/>
  <c r="J1348" i="2"/>
  <c r="K1348" i="2" s="1"/>
  <c r="L1348" i="2" s="1"/>
  <c r="I1348" i="2"/>
  <c r="H1348" i="2"/>
  <c r="U1347" i="2"/>
  <c r="T1347" i="2"/>
  <c r="V1347" i="2" s="1"/>
  <c r="Q1347" i="2"/>
  <c r="P1347" i="2"/>
  <c r="O1347" i="2"/>
  <c r="N1347" i="2"/>
  <c r="M1347" i="2"/>
  <c r="J1347" i="2"/>
  <c r="K1347" i="2" s="1"/>
  <c r="L1347" i="2" s="1"/>
  <c r="I1347" i="2"/>
  <c r="H1347" i="2"/>
  <c r="U1346" i="2"/>
  <c r="T1346" i="2"/>
  <c r="Q1346" i="2"/>
  <c r="P1346" i="2"/>
  <c r="O1346" i="2"/>
  <c r="R1346" i="2" s="1"/>
  <c r="N1346" i="2"/>
  <c r="M1346" i="2"/>
  <c r="J1346" i="2"/>
  <c r="K1346" i="2" s="1"/>
  <c r="L1346" i="2" s="1"/>
  <c r="I1346" i="2"/>
  <c r="H1346" i="2"/>
  <c r="U1345" i="2"/>
  <c r="T1345" i="2"/>
  <c r="Q1345" i="2"/>
  <c r="P1345" i="2"/>
  <c r="O1345" i="2"/>
  <c r="N1345" i="2"/>
  <c r="M1345" i="2"/>
  <c r="J1345" i="2"/>
  <c r="K1345" i="2" s="1"/>
  <c r="L1345" i="2" s="1"/>
  <c r="I1345" i="2"/>
  <c r="H1345" i="2"/>
  <c r="U1344" i="2"/>
  <c r="T1344" i="2"/>
  <c r="Q1344" i="2"/>
  <c r="P1344" i="2"/>
  <c r="O1344" i="2"/>
  <c r="N1344" i="2"/>
  <c r="M1344" i="2"/>
  <c r="J1344" i="2"/>
  <c r="K1344" i="2" s="1"/>
  <c r="L1344" i="2" s="1"/>
  <c r="I1344" i="2"/>
  <c r="H1344" i="2"/>
  <c r="U1343" i="2"/>
  <c r="T1343" i="2"/>
  <c r="Q1343" i="2"/>
  <c r="P1343" i="2"/>
  <c r="O1343" i="2"/>
  <c r="R1343" i="2" s="1"/>
  <c r="N1343" i="2"/>
  <c r="M1343" i="2"/>
  <c r="J1343" i="2"/>
  <c r="K1343" i="2" s="1"/>
  <c r="L1343" i="2" s="1"/>
  <c r="I1343" i="2"/>
  <c r="H1343" i="2"/>
  <c r="U1342" i="2"/>
  <c r="T1342" i="2"/>
  <c r="Q1342" i="2"/>
  <c r="P1342" i="2"/>
  <c r="O1342" i="2"/>
  <c r="R1342" i="2" s="1"/>
  <c r="N1342" i="2"/>
  <c r="M1342" i="2"/>
  <c r="J1342" i="2"/>
  <c r="K1342" i="2" s="1"/>
  <c r="L1342" i="2" s="1"/>
  <c r="I1342" i="2"/>
  <c r="H1342" i="2"/>
  <c r="U1341" i="2"/>
  <c r="T1341" i="2"/>
  <c r="Q1341" i="2"/>
  <c r="P1341" i="2"/>
  <c r="O1341" i="2"/>
  <c r="R1341" i="2" s="1"/>
  <c r="N1341" i="2"/>
  <c r="M1341" i="2"/>
  <c r="J1341" i="2"/>
  <c r="K1341" i="2" s="1"/>
  <c r="L1341" i="2" s="1"/>
  <c r="I1341" i="2"/>
  <c r="H1341" i="2"/>
  <c r="U1340" i="2"/>
  <c r="T1340" i="2"/>
  <c r="Q1340" i="2"/>
  <c r="P1340" i="2"/>
  <c r="O1340" i="2"/>
  <c r="N1340" i="2"/>
  <c r="M1340" i="2"/>
  <c r="J1340" i="2"/>
  <c r="K1340" i="2" s="1"/>
  <c r="L1340" i="2" s="1"/>
  <c r="I1340" i="2"/>
  <c r="H1340" i="2"/>
  <c r="U1339" i="2"/>
  <c r="T1339" i="2"/>
  <c r="Q1339" i="2"/>
  <c r="P1339" i="2"/>
  <c r="O1339" i="2"/>
  <c r="N1339" i="2"/>
  <c r="M1339" i="2"/>
  <c r="J1339" i="2"/>
  <c r="K1339" i="2" s="1"/>
  <c r="L1339" i="2" s="1"/>
  <c r="I1339" i="2"/>
  <c r="H1339" i="2"/>
  <c r="U1338" i="2"/>
  <c r="T1338" i="2"/>
  <c r="Q1338" i="2"/>
  <c r="P1338" i="2"/>
  <c r="O1338" i="2"/>
  <c r="R1338" i="2" s="1"/>
  <c r="N1338" i="2"/>
  <c r="M1338" i="2"/>
  <c r="J1338" i="2"/>
  <c r="K1338" i="2" s="1"/>
  <c r="L1338" i="2" s="1"/>
  <c r="I1338" i="2"/>
  <c r="H1338" i="2"/>
  <c r="U1337" i="2"/>
  <c r="T1337" i="2"/>
  <c r="Q1337" i="2"/>
  <c r="P1337" i="2"/>
  <c r="O1337" i="2"/>
  <c r="N1337" i="2"/>
  <c r="M1337" i="2"/>
  <c r="J1337" i="2"/>
  <c r="K1337" i="2" s="1"/>
  <c r="L1337" i="2" s="1"/>
  <c r="I1337" i="2"/>
  <c r="H1337" i="2"/>
  <c r="U1336" i="2"/>
  <c r="T1336" i="2"/>
  <c r="Q1336" i="2"/>
  <c r="P1336" i="2"/>
  <c r="O1336" i="2"/>
  <c r="R1336" i="2" s="1"/>
  <c r="N1336" i="2"/>
  <c r="M1336" i="2"/>
  <c r="J1336" i="2"/>
  <c r="K1336" i="2" s="1"/>
  <c r="L1336" i="2" s="1"/>
  <c r="I1336" i="2"/>
  <c r="H1336" i="2"/>
  <c r="U1335" i="2"/>
  <c r="T1335" i="2"/>
  <c r="Q1335" i="2"/>
  <c r="P1335" i="2"/>
  <c r="O1335" i="2"/>
  <c r="R1335" i="2" s="1"/>
  <c r="N1335" i="2"/>
  <c r="M1335" i="2"/>
  <c r="J1335" i="2"/>
  <c r="K1335" i="2" s="1"/>
  <c r="L1335" i="2" s="1"/>
  <c r="I1335" i="2"/>
  <c r="H1335" i="2"/>
  <c r="U1334" i="2"/>
  <c r="T1334" i="2"/>
  <c r="Q1334" i="2"/>
  <c r="P1334" i="2"/>
  <c r="O1334" i="2"/>
  <c r="R1334" i="2" s="1"/>
  <c r="N1334" i="2"/>
  <c r="M1334" i="2"/>
  <c r="J1334" i="2"/>
  <c r="K1334" i="2" s="1"/>
  <c r="L1334" i="2" s="1"/>
  <c r="I1334" i="2"/>
  <c r="H1334" i="2"/>
  <c r="U1333" i="2"/>
  <c r="T1333" i="2"/>
  <c r="Q1333" i="2"/>
  <c r="P1333" i="2"/>
  <c r="O1333" i="2"/>
  <c r="R1333" i="2" s="1"/>
  <c r="N1333" i="2"/>
  <c r="M1333" i="2"/>
  <c r="J1333" i="2"/>
  <c r="K1333" i="2" s="1"/>
  <c r="L1333" i="2" s="1"/>
  <c r="I1333" i="2"/>
  <c r="H1333" i="2"/>
  <c r="U1332" i="2"/>
  <c r="T1332" i="2"/>
  <c r="Q1332" i="2"/>
  <c r="P1332" i="2"/>
  <c r="O1332" i="2"/>
  <c r="N1332" i="2"/>
  <c r="M1332" i="2"/>
  <c r="J1332" i="2"/>
  <c r="K1332" i="2" s="1"/>
  <c r="L1332" i="2" s="1"/>
  <c r="I1332" i="2"/>
  <c r="H1332" i="2"/>
  <c r="U1331" i="2"/>
  <c r="T1331" i="2"/>
  <c r="Q1331" i="2"/>
  <c r="P1331" i="2"/>
  <c r="O1331" i="2"/>
  <c r="N1331" i="2"/>
  <c r="M1331" i="2"/>
  <c r="J1331" i="2"/>
  <c r="K1331" i="2" s="1"/>
  <c r="L1331" i="2" s="1"/>
  <c r="I1331" i="2"/>
  <c r="H1331" i="2"/>
  <c r="U1330" i="2"/>
  <c r="T1330" i="2"/>
  <c r="Q1330" i="2"/>
  <c r="P1330" i="2"/>
  <c r="O1330" i="2"/>
  <c r="N1330" i="2"/>
  <c r="M1330" i="2"/>
  <c r="J1330" i="2"/>
  <c r="K1330" i="2" s="1"/>
  <c r="L1330" i="2" s="1"/>
  <c r="I1330" i="2"/>
  <c r="H1330" i="2"/>
  <c r="U1329" i="2"/>
  <c r="T1329" i="2"/>
  <c r="Q1329" i="2"/>
  <c r="P1329" i="2"/>
  <c r="O1329" i="2"/>
  <c r="R1329" i="2" s="1"/>
  <c r="N1329" i="2"/>
  <c r="M1329" i="2"/>
  <c r="J1329" i="2"/>
  <c r="K1329" i="2" s="1"/>
  <c r="L1329" i="2" s="1"/>
  <c r="I1329" i="2"/>
  <c r="H1329" i="2"/>
  <c r="U1328" i="2"/>
  <c r="T1328" i="2"/>
  <c r="Q1328" i="2"/>
  <c r="P1328" i="2"/>
  <c r="O1328" i="2"/>
  <c r="R1328" i="2" s="1"/>
  <c r="N1328" i="2"/>
  <c r="M1328" i="2"/>
  <c r="J1328" i="2"/>
  <c r="K1328" i="2" s="1"/>
  <c r="L1328" i="2" s="1"/>
  <c r="I1328" i="2"/>
  <c r="H1328" i="2"/>
  <c r="U1327" i="2"/>
  <c r="T1327" i="2"/>
  <c r="Q1327" i="2"/>
  <c r="P1327" i="2"/>
  <c r="O1327" i="2"/>
  <c r="N1327" i="2"/>
  <c r="M1327" i="2"/>
  <c r="J1327" i="2"/>
  <c r="K1327" i="2" s="1"/>
  <c r="L1327" i="2" s="1"/>
  <c r="I1327" i="2"/>
  <c r="H1327" i="2"/>
  <c r="U1326" i="2"/>
  <c r="T1326" i="2"/>
  <c r="Q1326" i="2"/>
  <c r="P1326" i="2"/>
  <c r="O1326" i="2"/>
  <c r="N1326" i="2"/>
  <c r="M1326" i="2"/>
  <c r="J1326" i="2"/>
  <c r="K1326" i="2" s="1"/>
  <c r="L1326" i="2" s="1"/>
  <c r="I1326" i="2"/>
  <c r="H1326" i="2"/>
  <c r="U1325" i="2"/>
  <c r="T1325" i="2"/>
  <c r="Q1325" i="2"/>
  <c r="P1325" i="2"/>
  <c r="O1325" i="2"/>
  <c r="N1325" i="2"/>
  <c r="M1325" i="2"/>
  <c r="J1325" i="2"/>
  <c r="K1325" i="2" s="1"/>
  <c r="L1325" i="2" s="1"/>
  <c r="I1325" i="2"/>
  <c r="H1325" i="2"/>
  <c r="U1324" i="2"/>
  <c r="T1324" i="2"/>
  <c r="Q1324" i="2"/>
  <c r="P1324" i="2"/>
  <c r="O1324" i="2"/>
  <c r="N1324" i="2"/>
  <c r="M1324" i="2"/>
  <c r="J1324" i="2"/>
  <c r="K1324" i="2" s="1"/>
  <c r="L1324" i="2" s="1"/>
  <c r="I1324" i="2"/>
  <c r="H1324" i="2"/>
  <c r="U1323" i="2"/>
  <c r="T1323" i="2"/>
  <c r="Q1323" i="2"/>
  <c r="P1323" i="2"/>
  <c r="O1323" i="2"/>
  <c r="R1323" i="2" s="1"/>
  <c r="N1323" i="2"/>
  <c r="M1323" i="2"/>
  <c r="J1323" i="2"/>
  <c r="K1323" i="2" s="1"/>
  <c r="L1323" i="2" s="1"/>
  <c r="I1323" i="2"/>
  <c r="H1323" i="2"/>
  <c r="U1322" i="2"/>
  <c r="T1322" i="2"/>
  <c r="Q1322" i="2"/>
  <c r="P1322" i="2"/>
  <c r="O1322" i="2"/>
  <c r="R1322" i="2" s="1"/>
  <c r="N1322" i="2"/>
  <c r="M1322" i="2"/>
  <c r="J1322" i="2"/>
  <c r="K1322" i="2" s="1"/>
  <c r="L1322" i="2" s="1"/>
  <c r="I1322" i="2"/>
  <c r="H1322" i="2"/>
  <c r="U1321" i="2"/>
  <c r="T1321" i="2"/>
  <c r="Q1321" i="2"/>
  <c r="P1321" i="2"/>
  <c r="O1321" i="2"/>
  <c r="R1321" i="2" s="1"/>
  <c r="N1321" i="2"/>
  <c r="M1321" i="2"/>
  <c r="J1321" i="2"/>
  <c r="K1321" i="2" s="1"/>
  <c r="L1321" i="2" s="1"/>
  <c r="I1321" i="2"/>
  <c r="H1321" i="2"/>
  <c r="U1320" i="2"/>
  <c r="T1320" i="2"/>
  <c r="Q1320" i="2"/>
  <c r="P1320" i="2"/>
  <c r="O1320" i="2"/>
  <c r="N1320" i="2"/>
  <c r="M1320" i="2"/>
  <c r="J1320" i="2"/>
  <c r="K1320" i="2" s="1"/>
  <c r="L1320" i="2" s="1"/>
  <c r="I1320" i="2"/>
  <c r="H1320" i="2"/>
  <c r="U1319" i="2"/>
  <c r="T1319" i="2"/>
  <c r="Q1319" i="2"/>
  <c r="P1319" i="2"/>
  <c r="O1319" i="2"/>
  <c r="N1319" i="2"/>
  <c r="M1319" i="2"/>
  <c r="J1319" i="2"/>
  <c r="K1319" i="2" s="1"/>
  <c r="L1319" i="2" s="1"/>
  <c r="I1319" i="2"/>
  <c r="H1319" i="2"/>
  <c r="U1318" i="2"/>
  <c r="T1318" i="2"/>
  <c r="Q1318" i="2"/>
  <c r="P1318" i="2"/>
  <c r="O1318" i="2"/>
  <c r="R1318" i="2" s="1"/>
  <c r="N1318" i="2"/>
  <c r="M1318" i="2"/>
  <c r="J1318" i="2"/>
  <c r="K1318" i="2" s="1"/>
  <c r="L1318" i="2" s="1"/>
  <c r="I1318" i="2"/>
  <c r="H1318" i="2"/>
  <c r="U1317" i="2"/>
  <c r="T1317" i="2"/>
  <c r="Q1317" i="2"/>
  <c r="P1317" i="2"/>
  <c r="O1317" i="2"/>
  <c r="R1317" i="2" s="1"/>
  <c r="N1317" i="2"/>
  <c r="M1317" i="2"/>
  <c r="J1317" i="2"/>
  <c r="K1317" i="2" s="1"/>
  <c r="L1317" i="2" s="1"/>
  <c r="I1317" i="2"/>
  <c r="H1317" i="2"/>
  <c r="U1316" i="2"/>
  <c r="T1316" i="2"/>
  <c r="Q1316" i="2"/>
  <c r="P1316" i="2"/>
  <c r="O1316" i="2"/>
  <c r="R1316" i="2" s="1"/>
  <c r="N1316" i="2"/>
  <c r="M1316" i="2"/>
  <c r="J1316" i="2"/>
  <c r="K1316" i="2" s="1"/>
  <c r="L1316" i="2" s="1"/>
  <c r="I1316" i="2"/>
  <c r="H1316" i="2"/>
  <c r="U1315" i="2"/>
  <c r="T1315" i="2"/>
  <c r="Q1315" i="2"/>
  <c r="P1315" i="2"/>
  <c r="O1315" i="2"/>
  <c r="R1315" i="2" s="1"/>
  <c r="N1315" i="2"/>
  <c r="M1315" i="2"/>
  <c r="J1315" i="2"/>
  <c r="K1315" i="2" s="1"/>
  <c r="L1315" i="2" s="1"/>
  <c r="I1315" i="2"/>
  <c r="H1315" i="2"/>
  <c r="U1314" i="2"/>
  <c r="T1314" i="2"/>
  <c r="Q1314" i="2"/>
  <c r="P1314" i="2"/>
  <c r="O1314" i="2"/>
  <c r="R1314" i="2" s="1"/>
  <c r="N1314" i="2"/>
  <c r="M1314" i="2"/>
  <c r="J1314" i="2"/>
  <c r="K1314" i="2" s="1"/>
  <c r="L1314" i="2" s="1"/>
  <c r="I1314" i="2"/>
  <c r="H1314" i="2"/>
  <c r="U1313" i="2"/>
  <c r="T1313" i="2"/>
  <c r="Q1313" i="2"/>
  <c r="P1313" i="2"/>
  <c r="O1313" i="2"/>
  <c r="R1313" i="2" s="1"/>
  <c r="N1313" i="2"/>
  <c r="M1313" i="2"/>
  <c r="J1313" i="2"/>
  <c r="K1313" i="2" s="1"/>
  <c r="L1313" i="2" s="1"/>
  <c r="I1313" i="2"/>
  <c r="H1313" i="2"/>
  <c r="U1312" i="2"/>
  <c r="T1312" i="2"/>
  <c r="V1312" i="2" s="1"/>
  <c r="Q1312" i="2"/>
  <c r="P1312" i="2"/>
  <c r="O1312" i="2"/>
  <c r="N1312" i="2"/>
  <c r="M1312" i="2"/>
  <c r="J1312" i="2"/>
  <c r="K1312" i="2" s="1"/>
  <c r="L1312" i="2" s="1"/>
  <c r="I1312" i="2"/>
  <c r="H1312" i="2"/>
  <c r="U1311" i="2"/>
  <c r="T1311" i="2"/>
  <c r="Q1311" i="2"/>
  <c r="P1311" i="2"/>
  <c r="O1311" i="2"/>
  <c r="N1311" i="2"/>
  <c r="M1311" i="2"/>
  <c r="J1311" i="2"/>
  <c r="K1311" i="2" s="1"/>
  <c r="L1311" i="2" s="1"/>
  <c r="I1311" i="2"/>
  <c r="H1311" i="2"/>
  <c r="U1310" i="2"/>
  <c r="T1310" i="2"/>
  <c r="Q1310" i="2"/>
  <c r="P1310" i="2"/>
  <c r="O1310" i="2"/>
  <c r="R1310" i="2" s="1"/>
  <c r="N1310" i="2"/>
  <c r="M1310" i="2"/>
  <c r="J1310" i="2"/>
  <c r="K1310" i="2" s="1"/>
  <c r="L1310" i="2" s="1"/>
  <c r="I1310" i="2"/>
  <c r="H1310" i="2"/>
  <c r="U1309" i="2"/>
  <c r="T1309" i="2"/>
  <c r="Q1309" i="2"/>
  <c r="P1309" i="2"/>
  <c r="O1309" i="2"/>
  <c r="N1309" i="2"/>
  <c r="M1309" i="2"/>
  <c r="J1309" i="2"/>
  <c r="K1309" i="2" s="1"/>
  <c r="L1309" i="2" s="1"/>
  <c r="I1309" i="2"/>
  <c r="H1309" i="2"/>
  <c r="U1308" i="2"/>
  <c r="T1308" i="2"/>
  <c r="Q1308" i="2"/>
  <c r="P1308" i="2"/>
  <c r="O1308" i="2"/>
  <c r="R1308" i="2" s="1"/>
  <c r="N1308" i="2"/>
  <c r="M1308" i="2"/>
  <c r="J1308" i="2"/>
  <c r="K1308" i="2" s="1"/>
  <c r="L1308" i="2" s="1"/>
  <c r="I1308" i="2"/>
  <c r="H1308" i="2"/>
  <c r="U1307" i="2"/>
  <c r="T1307" i="2"/>
  <c r="Q1307" i="2"/>
  <c r="P1307" i="2"/>
  <c r="O1307" i="2"/>
  <c r="N1307" i="2"/>
  <c r="M1307" i="2"/>
  <c r="J1307" i="2"/>
  <c r="K1307" i="2" s="1"/>
  <c r="L1307" i="2" s="1"/>
  <c r="I1307" i="2"/>
  <c r="H1307" i="2"/>
  <c r="U1306" i="2"/>
  <c r="T1306" i="2"/>
  <c r="Q1306" i="2"/>
  <c r="P1306" i="2"/>
  <c r="O1306" i="2"/>
  <c r="R1306" i="2" s="1"/>
  <c r="N1306" i="2"/>
  <c r="M1306" i="2"/>
  <c r="J1306" i="2"/>
  <c r="K1306" i="2" s="1"/>
  <c r="L1306" i="2" s="1"/>
  <c r="I1306" i="2"/>
  <c r="H1306" i="2"/>
  <c r="U1305" i="2"/>
  <c r="T1305" i="2"/>
  <c r="Q1305" i="2"/>
  <c r="P1305" i="2"/>
  <c r="O1305" i="2"/>
  <c r="N1305" i="2"/>
  <c r="M1305" i="2"/>
  <c r="J1305" i="2"/>
  <c r="K1305" i="2" s="1"/>
  <c r="L1305" i="2" s="1"/>
  <c r="I1305" i="2"/>
  <c r="H1305" i="2"/>
  <c r="U1304" i="2"/>
  <c r="T1304" i="2"/>
  <c r="Q1304" i="2"/>
  <c r="P1304" i="2"/>
  <c r="O1304" i="2"/>
  <c r="N1304" i="2"/>
  <c r="M1304" i="2"/>
  <c r="J1304" i="2"/>
  <c r="K1304" i="2" s="1"/>
  <c r="L1304" i="2" s="1"/>
  <c r="I1304" i="2"/>
  <c r="H1304" i="2"/>
  <c r="U1303" i="2"/>
  <c r="T1303" i="2"/>
  <c r="Q1303" i="2"/>
  <c r="P1303" i="2"/>
  <c r="O1303" i="2"/>
  <c r="R1303" i="2" s="1"/>
  <c r="N1303" i="2"/>
  <c r="M1303" i="2"/>
  <c r="J1303" i="2"/>
  <c r="K1303" i="2" s="1"/>
  <c r="L1303" i="2" s="1"/>
  <c r="I1303" i="2"/>
  <c r="H1303" i="2"/>
  <c r="U1302" i="2"/>
  <c r="T1302" i="2"/>
  <c r="Q1302" i="2"/>
  <c r="P1302" i="2"/>
  <c r="O1302" i="2"/>
  <c r="R1302" i="2" s="1"/>
  <c r="N1302" i="2"/>
  <c r="M1302" i="2"/>
  <c r="J1302" i="2"/>
  <c r="K1302" i="2" s="1"/>
  <c r="L1302" i="2" s="1"/>
  <c r="I1302" i="2"/>
  <c r="H1302" i="2"/>
  <c r="U1301" i="2"/>
  <c r="T1301" i="2"/>
  <c r="Q1301" i="2"/>
  <c r="P1301" i="2"/>
  <c r="O1301" i="2"/>
  <c r="R1301" i="2" s="1"/>
  <c r="N1301" i="2"/>
  <c r="M1301" i="2"/>
  <c r="J1301" i="2"/>
  <c r="K1301" i="2" s="1"/>
  <c r="L1301" i="2" s="1"/>
  <c r="I1301" i="2"/>
  <c r="H1301" i="2"/>
  <c r="U1300" i="2"/>
  <c r="T1300" i="2"/>
  <c r="Q1300" i="2"/>
  <c r="P1300" i="2"/>
  <c r="O1300" i="2"/>
  <c r="N1300" i="2"/>
  <c r="M1300" i="2"/>
  <c r="J1300" i="2"/>
  <c r="K1300" i="2" s="1"/>
  <c r="L1300" i="2" s="1"/>
  <c r="I1300" i="2"/>
  <c r="H1300" i="2"/>
  <c r="U1299" i="2"/>
  <c r="T1299" i="2"/>
  <c r="Q1299" i="2"/>
  <c r="P1299" i="2"/>
  <c r="O1299" i="2"/>
  <c r="N1299" i="2"/>
  <c r="M1299" i="2"/>
  <c r="J1299" i="2"/>
  <c r="K1299" i="2" s="1"/>
  <c r="L1299" i="2" s="1"/>
  <c r="I1299" i="2"/>
  <c r="H1299" i="2"/>
  <c r="U1298" i="2"/>
  <c r="T1298" i="2"/>
  <c r="Q1298" i="2"/>
  <c r="P1298" i="2"/>
  <c r="O1298" i="2"/>
  <c r="R1298" i="2" s="1"/>
  <c r="N1298" i="2"/>
  <c r="M1298" i="2"/>
  <c r="J1298" i="2"/>
  <c r="K1298" i="2" s="1"/>
  <c r="L1298" i="2" s="1"/>
  <c r="I1298" i="2"/>
  <c r="H1298" i="2"/>
  <c r="U1297" i="2"/>
  <c r="T1297" i="2"/>
  <c r="Q1297" i="2"/>
  <c r="P1297" i="2"/>
  <c r="O1297" i="2"/>
  <c r="N1297" i="2"/>
  <c r="M1297" i="2"/>
  <c r="J1297" i="2"/>
  <c r="K1297" i="2" s="1"/>
  <c r="L1297" i="2" s="1"/>
  <c r="I1297" i="2"/>
  <c r="H1297" i="2"/>
  <c r="U1296" i="2"/>
  <c r="T1296" i="2"/>
  <c r="Q1296" i="2"/>
  <c r="P1296" i="2"/>
  <c r="O1296" i="2"/>
  <c r="R1296" i="2" s="1"/>
  <c r="N1296" i="2"/>
  <c r="M1296" i="2"/>
  <c r="J1296" i="2"/>
  <c r="K1296" i="2" s="1"/>
  <c r="L1296" i="2" s="1"/>
  <c r="I1296" i="2"/>
  <c r="H1296" i="2"/>
  <c r="U1295" i="2"/>
  <c r="T1295" i="2"/>
  <c r="Q1295" i="2"/>
  <c r="P1295" i="2"/>
  <c r="O1295" i="2"/>
  <c r="R1295" i="2" s="1"/>
  <c r="N1295" i="2"/>
  <c r="M1295" i="2"/>
  <c r="J1295" i="2"/>
  <c r="K1295" i="2" s="1"/>
  <c r="L1295" i="2" s="1"/>
  <c r="I1295" i="2"/>
  <c r="H1295" i="2"/>
  <c r="U1294" i="2"/>
  <c r="T1294" i="2"/>
  <c r="Q1294" i="2"/>
  <c r="P1294" i="2"/>
  <c r="O1294" i="2"/>
  <c r="R1294" i="2" s="1"/>
  <c r="N1294" i="2"/>
  <c r="M1294" i="2"/>
  <c r="J1294" i="2"/>
  <c r="K1294" i="2" s="1"/>
  <c r="L1294" i="2" s="1"/>
  <c r="I1294" i="2"/>
  <c r="H1294" i="2"/>
  <c r="U1293" i="2"/>
  <c r="T1293" i="2"/>
  <c r="Q1293" i="2"/>
  <c r="P1293" i="2"/>
  <c r="O1293" i="2"/>
  <c r="R1293" i="2" s="1"/>
  <c r="N1293" i="2"/>
  <c r="M1293" i="2"/>
  <c r="J1293" i="2"/>
  <c r="K1293" i="2" s="1"/>
  <c r="L1293" i="2" s="1"/>
  <c r="I1293" i="2"/>
  <c r="H1293" i="2"/>
  <c r="U1292" i="2"/>
  <c r="T1292" i="2"/>
  <c r="Q1292" i="2"/>
  <c r="P1292" i="2"/>
  <c r="O1292" i="2"/>
  <c r="N1292" i="2"/>
  <c r="M1292" i="2"/>
  <c r="J1292" i="2"/>
  <c r="K1292" i="2" s="1"/>
  <c r="L1292" i="2" s="1"/>
  <c r="I1292" i="2"/>
  <c r="H1292" i="2"/>
  <c r="U1291" i="2"/>
  <c r="T1291" i="2"/>
  <c r="Q1291" i="2"/>
  <c r="P1291" i="2"/>
  <c r="O1291" i="2"/>
  <c r="N1291" i="2"/>
  <c r="M1291" i="2"/>
  <c r="J1291" i="2"/>
  <c r="K1291" i="2" s="1"/>
  <c r="L1291" i="2" s="1"/>
  <c r="I1291" i="2"/>
  <c r="H1291" i="2"/>
  <c r="U1290" i="2"/>
  <c r="T1290" i="2"/>
  <c r="Q1290" i="2"/>
  <c r="P1290" i="2"/>
  <c r="O1290" i="2"/>
  <c r="R1290" i="2" s="1"/>
  <c r="N1290" i="2"/>
  <c r="M1290" i="2"/>
  <c r="J1290" i="2"/>
  <c r="K1290" i="2" s="1"/>
  <c r="L1290" i="2" s="1"/>
  <c r="I1290" i="2"/>
  <c r="H1290" i="2"/>
  <c r="U1289" i="2"/>
  <c r="T1289" i="2"/>
  <c r="Q1289" i="2"/>
  <c r="P1289" i="2"/>
  <c r="O1289" i="2"/>
  <c r="R1289" i="2" s="1"/>
  <c r="N1289" i="2"/>
  <c r="M1289" i="2"/>
  <c r="J1289" i="2"/>
  <c r="K1289" i="2" s="1"/>
  <c r="L1289" i="2" s="1"/>
  <c r="I1289" i="2"/>
  <c r="H1289" i="2"/>
  <c r="U1288" i="2"/>
  <c r="T1288" i="2"/>
  <c r="Q1288" i="2"/>
  <c r="P1288" i="2"/>
  <c r="O1288" i="2"/>
  <c r="R1288" i="2" s="1"/>
  <c r="N1288" i="2"/>
  <c r="M1288" i="2"/>
  <c r="J1288" i="2"/>
  <c r="K1288" i="2" s="1"/>
  <c r="L1288" i="2" s="1"/>
  <c r="I1288" i="2"/>
  <c r="H1288" i="2"/>
  <c r="U1287" i="2"/>
  <c r="T1287" i="2"/>
  <c r="Q1287" i="2"/>
  <c r="P1287" i="2"/>
  <c r="O1287" i="2"/>
  <c r="R1287" i="2" s="1"/>
  <c r="N1287" i="2"/>
  <c r="M1287" i="2"/>
  <c r="J1287" i="2"/>
  <c r="K1287" i="2" s="1"/>
  <c r="L1287" i="2" s="1"/>
  <c r="I1287" i="2"/>
  <c r="H1287" i="2"/>
  <c r="U1286" i="2"/>
  <c r="T1286" i="2"/>
  <c r="Q1286" i="2"/>
  <c r="P1286" i="2"/>
  <c r="O1286" i="2"/>
  <c r="N1286" i="2"/>
  <c r="M1286" i="2"/>
  <c r="J1286" i="2"/>
  <c r="K1286" i="2" s="1"/>
  <c r="L1286" i="2" s="1"/>
  <c r="I1286" i="2"/>
  <c r="H1286" i="2"/>
  <c r="U1285" i="2"/>
  <c r="T1285" i="2"/>
  <c r="Q1285" i="2"/>
  <c r="P1285" i="2"/>
  <c r="O1285" i="2"/>
  <c r="N1285" i="2"/>
  <c r="M1285" i="2"/>
  <c r="J1285" i="2"/>
  <c r="K1285" i="2" s="1"/>
  <c r="L1285" i="2" s="1"/>
  <c r="I1285" i="2"/>
  <c r="H1285" i="2"/>
  <c r="U1284" i="2"/>
  <c r="T1284" i="2"/>
  <c r="Q1284" i="2"/>
  <c r="P1284" i="2"/>
  <c r="O1284" i="2"/>
  <c r="R1284" i="2" s="1"/>
  <c r="N1284" i="2"/>
  <c r="M1284" i="2"/>
  <c r="J1284" i="2"/>
  <c r="K1284" i="2" s="1"/>
  <c r="L1284" i="2" s="1"/>
  <c r="I1284" i="2"/>
  <c r="H1284" i="2"/>
  <c r="U1283" i="2"/>
  <c r="T1283" i="2"/>
  <c r="Q1283" i="2"/>
  <c r="P1283" i="2"/>
  <c r="O1283" i="2"/>
  <c r="R1283" i="2" s="1"/>
  <c r="N1283" i="2"/>
  <c r="M1283" i="2"/>
  <c r="J1283" i="2"/>
  <c r="K1283" i="2" s="1"/>
  <c r="L1283" i="2" s="1"/>
  <c r="I1283" i="2"/>
  <c r="H1283" i="2"/>
  <c r="U1282" i="2"/>
  <c r="T1282" i="2"/>
  <c r="Q1282" i="2"/>
  <c r="P1282" i="2"/>
  <c r="O1282" i="2"/>
  <c r="R1282" i="2" s="1"/>
  <c r="N1282" i="2"/>
  <c r="M1282" i="2"/>
  <c r="J1282" i="2"/>
  <c r="K1282" i="2" s="1"/>
  <c r="L1282" i="2" s="1"/>
  <c r="I1282" i="2"/>
  <c r="H1282" i="2"/>
  <c r="U1281" i="2"/>
  <c r="T1281" i="2"/>
  <c r="Q1281" i="2"/>
  <c r="P1281" i="2"/>
  <c r="O1281" i="2"/>
  <c r="N1281" i="2"/>
  <c r="M1281" i="2"/>
  <c r="J1281" i="2"/>
  <c r="K1281" i="2" s="1"/>
  <c r="L1281" i="2" s="1"/>
  <c r="I1281" i="2"/>
  <c r="H1281" i="2"/>
  <c r="U1280" i="2"/>
  <c r="T1280" i="2"/>
  <c r="Q1280" i="2"/>
  <c r="P1280" i="2"/>
  <c r="O1280" i="2"/>
  <c r="N1280" i="2"/>
  <c r="M1280" i="2"/>
  <c r="J1280" i="2"/>
  <c r="K1280" i="2" s="1"/>
  <c r="L1280" i="2" s="1"/>
  <c r="I1280" i="2"/>
  <c r="H1280" i="2"/>
  <c r="U1279" i="2"/>
  <c r="T1279" i="2"/>
  <c r="Q1279" i="2"/>
  <c r="P1279" i="2"/>
  <c r="O1279" i="2"/>
  <c r="N1279" i="2"/>
  <c r="M1279" i="2"/>
  <c r="J1279" i="2"/>
  <c r="K1279" i="2" s="1"/>
  <c r="L1279" i="2" s="1"/>
  <c r="I1279" i="2"/>
  <c r="H1279" i="2"/>
  <c r="U1278" i="2"/>
  <c r="T1278" i="2"/>
  <c r="Q1278" i="2"/>
  <c r="P1278" i="2"/>
  <c r="O1278" i="2"/>
  <c r="N1278" i="2"/>
  <c r="M1278" i="2"/>
  <c r="J1278" i="2"/>
  <c r="K1278" i="2" s="1"/>
  <c r="L1278" i="2" s="1"/>
  <c r="I1278" i="2"/>
  <c r="H1278" i="2"/>
  <c r="U1277" i="2"/>
  <c r="T1277" i="2"/>
  <c r="Q1277" i="2"/>
  <c r="P1277" i="2"/>
  <c r="O1277" i="2"/>
  <c r="N1277" i="2"/>
  <c r="M1277" i="2"/>
  <c r="J1277" i="2"/>
  <c r="K1277" i="2" s="1"/>
  <c r="L1277" i="2" s="1"/>
  <c r="I1277" i="2"/>
  <c r="H1277" i="2"/>
  <c r="U1276" i="2"/>
  <c r="T1276" i="2"/>
  <c r="Q1276" i="2"/>
  <c r="P1276" i="2"/>
  <c r="O1276" i="2"/>
  <c r="R1276" i="2" s="1"/>
  <c r="N1276" i="2"/>
  <c r="M1276" i="2"/>
  <c r="J1276" i="2"/>
  <c r="K1276" i="2" s="1"/>
  <c r="L1276" i="2" s="1"/>
  <c r="I1276" i="2"/>
  <c r="H1276" i="2"/>
  <c r="U1275" i="2"/>
  <c r="T1275" i="2"/>
  <c r="Q1275" i="2"/>
  <c r="P1275" i="2"/>
  <c r="O1275" i="2"/>
  <c r="N1275" i="2"/>
  <c r="M1275" i="2"/>
  <c r="J1275" i="2"/>
  <c r="K1275" i="2" s="1"/>
  <c r="L1275" i="2" s="1"/>
  <c r="I1275" i="2"/>
  <c r="H1275" i="2"/>
  <c r="U1274" i="2"/>
  <c r="T1274" i="2"/>
  <c r="Q1274" i="2"/>
  <c r="P1274" i="2"/>
  <c r="O1274" i="2"/>
  <c r="N1274" i="2"/>
  <c r="M1274" i="2"/>
  <c r="J1274" i="2"/>
  <c r="K1274" i="2" s="1"/>
  <c r="L1274" i="2" s="1"/>
  <c r="I1274" i="2"/>
  <c r="H1274" i="2"/>
  <c r="U1273" i="2"/>
  <c r="T1273" i="2"/>
  <c r="Q1273" i="2"/>
  <c r="P1273" i="2"/>
  <c r="O1273" i="2"/>
  <c r="N1273" i="2"/>
  <c r="M1273" i="2"/>
  <c r="J1273" i="2"/>
  <c r="K1273" i="2" s="1"/>
  <c r="L1273" i="2" s="1"/>
  <c r="I1273" i="2"/>
  <c r="H1273" i="2"/>
  <c r="U1272" i="2"/>
  <c r="T1272" i="2"/>
  <c r="Q1272" i="2"/>
  <c r="P1272" i="2"/>
  <c r="O1272" i="2"/>
  <c r="R1272" i="2" s="1"/>
  <c r="N1272" i="2"/>
  <c r="M1272" i="2"/>
  <c r="J1272" i="2"/>
  <c r="K1272" i="2" s="1"/>
  <c r="L1272" i="2" s="1"/>
  <c r="I1272" i="2"/>
  <c r="H1272" i="2"/>
  <c r="U1271" i="2"/>
  <c r="T1271" i="2"/>
  <c r="Q1271" i="2"/>
  <c r="P1271" i="2"/>
  <c r="O1271" i="2"/>
  <c r="N1271" i="2"/>
  <c r="M1271" i="2"/>
  <c r="J1271" i="2"/>
  <c r="K1271" i="2" s="1"/>
  <c r="L1271" i="2" s="1"/>
  <c r="I1271" i="2"/>
  <c r="H1271" i="2"/>
  <c r="U1270" i="2"/>
  <c r="T1270" i="2"/>
  <c r="Q1270" i="2"/>
  <c r="P1270" i="2"/>
  <c r="O1270" i="2"/>
  <c r="N1270" i="2"/>
  <c r="M1270" i="2"/>
  <c r="J1270" i="2"/>
  <c r="K1270" i="2" s="1"/>
  <c r="L1270" i="2" s="1"/>
  <c r="I1270" i="2"/>
  <c r="H1270" i="2"/>
  <c r="U1269" i="2"/>
  <c r="T1269" i="2"/>
  <c r="Q1269" i="2"/>
  <c r="P1269" i="2"/>
  <c r="O1269" i="2"/>
  <c r="N1269" i="2"/>
  <c r="M1269" i="2"/>
  <c r="J1269" i="2"/>
  <c r="K1269" i="2" s="1"/>
  <c r="L1269" i="2" s="1"/>
  <c r="I1269" i="2"/>
  <c r="H1269" i="2"/>
  <c r="U1268" i="2"/>
  <c r="T1268" i="2"/>
  <c r="Q1268" i="2"/>
  <c r="P1268" i="2"/>
  <c r="O1268" i="2"/>
  <c r="R1268" i="2" s="1"/>
  <c r="N1268" i="2"/>
  <c r="M1268" i="2"/>
  <c r="J1268" i="2"/>
  <c r="K1268" i="2" s="1"/>
  <c r="L1268" i="2" s="1"/>
  <c r="I1268" i="2"/>
  <c r="H1268" i="2"/>
  <c r="U1267" i="2"/>
  <c r="T1267" i="2"/>
  <c r="Q1267" i="2"/>
  <c r="P1267" i="2"/>
  <c r="O1267" i="2"/>
  <c r="N1267" i="2"/>
  <c r="M1267" i="2"/>
  <c r="J1267" i="2"/>
  <c r="K1267" i="2" s="1"/>
  <c r="L1267" i="2" s="1"/>
  <c r="I1267" i="2"/>
  <c r="H1267" i="2"/>
  <c r="U1266" i="2"/>
  <c r="T1266" i="2"/>
  <c r="Q1266" i="2"/>
  <c r="P1266" i="2"/>
  <c r="O1266" i="2"/>
  <c r="N1266" i="2"/>
  <c r="M1266" i="2"/>
  <c r="J1266" i="2"/>
  <c r="K1266" i="2" s="1"/>
  <c r="L1266" i="2" s="1"/>
  <c r="I1266" i="2"/>
  <c r="H1266" i="2"/>
  <c r="U1265" i="2"/>
  <c r="T1265" i="2"/>
  <c r="Q1265" i="2"/>
  <c r="P1265" i="2"/>
  <c r="O1265" i="2"/>
  <c r="N1265" i="2"/>
  <c r="M1265" i="2"/>
  <c r="J1265" i="2"/>
  <c r="K1265" i="2" s="1"/>
  <c r="L1265" i="2" s="1"/>
  <c r="I1265" i="2"/>
  <c r="H1265" i="2"/>
  <c r="U1264" i="2"/>
  <c r="T1264" i="2"/>
  <c r="Q1264" i="2"/>
  <c r="P1264" i="2"/>
  <c r="O1264" i="2"/>
  <c r="R1264" i="2" s="1"/>
  <c r="N1264" i="2"/>
  <c r="M1264" i="2"/>
  <c r="J1264" i="2"/>
  <c r="K1264" i="2" s="1"/>
  <c r="L1264" i="2" s="1"/>
  <c r="I1264" i="2"/>
  <c r="H1264" i="2"/>
  <c r="U1263" i="2"/>
  <c r="T1263" i="2"/>
  <c r="Q1263" i="2"/>
  <c r="P1263" i="2"/>
  <c r="O1263" i="2"/>
  <c r="N1263" i="2"/>
  <c r="M1263" i="2"/>
  <c r="J1263" i="2"/>
  <c r="K1263" i="2" s="1"/>
  <c r="L1263" i="2" s="1"/>
  <c r="I1263" i="2"/>
  <c r="H1263" i="2"/>
  <c r="U1262" i="2"/>
  <c r="T1262" i="2"/>
  <c r="Q1262" i="2"/>
  <c r="P1262" i="2"/>
  <c r="O1262" i="2"/>
  <c r="N1262" i="2"/>
  <c r="M1262" i="2"/>
  <c r="J1262" i="2"/>
  <c r="K1262" i="2" s="1"/>
  <c r="L1262" i="2" s="1"/>
  <c r="I1262" i="2"/>
  <c r="H1262" i="2"/>
  <c r="U1261" i="2"/>
  <c r="T1261" i="2"/>
  <c r="Q1261" i="2"/>
  <c r="P1261" i="2"/>
  <c r="O1261" i="2"/>
  <c r="R1261" i="2" s="1"/>
  <c r="N1261" i="2"/>
  <c r="M1261" i="2"/>
  <c r="J1261" i="2"/>
  <c r="K1261" i="2" s="1"/>
  <c r="L1261" i="2" s="1"/>
  <c r="I1261" i="2"/>
  <c r="H1261" i="2"/>
  <c r="U1260" i="2"/>
  <c r="T1260" i="2"/>
  <c r="Q1260" i="2"/>
  <c r="P1260" i="2"/>
  <c r="O1260" i="2"/>
  <c r="R1260" i="2" s="1"/>
  <c r="N1260" i="2"/>
  <c r="M1260" i="2"/>
  <c r="J1260" i="2"/>
  <c r="K1260" i="2" s="1"/>
  <c r="L1260" i="2" s="1"/>
  <c r="I1260" i="2"/>
  <c r="H1260" i="2"/>
  <c r="U1259" i="2"/>
  <c r="T1259" i="2"/>
  <c r="Q1259" i="2"/>
  <c r="P1259" i="2"/>
  <c r="O1259" i="2"/>
  <c r="N1259" i="2"/>
  <c r="M1259" i="2"/>
  <c r="J1259" i="2"/>
  <c r="K1259" i="2" s="1"/>
  <c r="L1259" i="2" s="1"/>
  <c r="I1259" i="2"/>
  <c r="H1259" i="2"/>
  <c r="U1258" i="2"/>
  <c r="T1258" i="2"/>
  <c r="Q1258" i="2"/>
  <c r="P1258" i="2"/>
  <c r="O1258" i="2"/>
  <c r="N1258" i="2"/>
  <c r="M1258" i="2"/>
  <c r="J1258" i="2"/>
  <c r="K1258" i="2" s="1"/>
  <c r="L1258" i="2" s="1"/>
  <c r="I1258" i="2"/>
  <c r="H1258" i="2"/>
  <c r="U1257" i="2"/>
  <c r="T1257" i="2"/>
  <c r="Q1257" i="2"/>
  <c r="P1257" i="2"/>
  <c r="O1257" i="2"/>
  <c r="N1257" i="2"/>
  <c r="M1257" i="2"/>
  <c r="J1257" i="2"/>
  <c r="K1257" i="2" s="1"/>
  <c r="L1257" i="2" s="1"/>
  <c r="I1257" i="2"/>
  <c r="H1257" i="2"/>
  <c r="U1256" i="2"/>
  <c r="T1256" i="2"/>
  <c r="Q1256" i="2"/>
  <c r="P1256" i="2"/>
  <c r="O1256" i="2"/>
  <c r="R1256" i="2" s="1"/>
  <c r="N1256" i="2"/>
  <c r="M1256" i="2"/>
  <c r="J1256" i="2"/>
  <c r="K1256" i="2" s="1"/>
  <c r="L1256" i="2" s="1"/>
  <c r="I1256" i="2"/>
  <c r="H1256" i="2"/>
  <c r="U1255" i="2"/>
  <c r="T1255" i="2"/>
  <c r="Q1255" i="2"/>
  <c r="P1255" i="2"/>
  <c r="O1255" i="2"/>
  <c r="N1255" i="2"/>
  <c r="M1255" i="2"/>
  <c r="J1255" i="2"/>
  <c r="K1255" i="2" s="1"/>
  <c r="L1255" i="2" s="1"/>
  <c r="I1255" i="2"/>
  <c r="H1255" i="2"/>
  <c r="U1254" i="2"/>
  <c r="T1254" i="2"/>
  <c r="Q1254" i="2"/>
  <c r="P1254" i="2"/>
  <c r="O1254" i="2"/>
  <c r="N1254" i="2"/>
  <c r="M1254" i="2"/>
  <c r="J1254" i="2"/>
  <c r="K1254" i="2" s="1"/>
  <c r="L1254" i="2" s="1"/>
  <c r="I1254" i="2"/>
  <c r="H1254" i="2"/>
  <c r="U1253" i="2"/>
  <c r="T1253" i="2"/>
  <c r="Q1253" i="2"/>
  <c r="P1253" i="2"/>
  <c r="O1253" i="2"/>
  <c r="R1253" i="2" s="1"/>
  <c r="N1253" i="2"/>
  <c r="M1253" i="2"/>
  <c r="J1253" i="2"/>
  <c r="K1253" i="2" s="1"/>
  <c r="L1253" i="2" s="1"/>
  <c r="I1253" i="2"/>
  <c r="H1253" i="2"/>
  <c r="U1252" i="2"/>
  <c r="T1252" i="2"/>
  <c r="Q1252" i="2"/>
  <c r="P1252" i="2"/>
  <c r="O1252" i="2"/>
  <c r="R1252" i="2" s="1"/>
  <c r="N1252" i="2"/>
  <c r="M1252" i="2"/>
  <c r="J1252" i="2"/>
  <c r="K1252" i="2" s="1"/>
  <c r="L1252" i="2" s="1"/>
  <c r="I1252" i="2"/>
  <c r="H1252" i="2"/>
  <c r="U1251" i="2"/>
  <c r="T1251" i="2"/>
  <c r="Q1251" i="2"/>
  <c r="P1251" i="2"/>
  <c r="O1251" i="2"/>
  <c r="N1251" i="2"/>
  <c r="M1251" i="2"/>
  <c r="J1251" i="2"/>
  <c r="K1251" i="2" s="1"/>
  <c r="L1251" i="2" s="1"/>
  <c r="I1251" i="2"/>
  <c r="H1251" i="2"/>
  <c r="U1250" i="2"/>
  <c r="T1250" i="2"/>
  <c r="Q1250" i="2"/>
  <c r="P1250" i="2"/>
  <c r="O1250" i="2"/>
  <c r="N1250" i="2"/>
  <c r="M1250" i="2"/>
  <c r="J1250" i="2"/>
  <c r="K1250" i="2" s="1"/>
  <c r="L1250" i="2" s="1"/>
  <c r="I1250" i="2"/>
  <c r="H1250" i="2"/>
  <c r="U1249" i="2"/>
  <c r="T1249" i="2"/>
  <c r="Q1249" i="2"/>
  <c r="P1249" i="2"/>
  <c r="O1249" i="2"/>
  <c r="N1249" i="2"/>
  <c r="M1249" i="2"/>
  <c r="J1249" i="2"/>
  <c r="K1249" i="2" s="1"/>
  <c r="L1249" i="2" s="1"/>
  <c r="I1249" i="2"/>
  <c r="H1249" i="2"/>
  <c r="U1248" i="2"/>
  <c r="T1248" i="2"/>
  <c r="Q1248" i="2"/>
  <c r="P1248" i="2"/>
  <c r="O1248" i="2"/>
  <c r="R1248" i="2" s="1"/>
  <c r="N1248" i="2"/>
  <c r="M1248" i="2"/>
  <c r="J1248" i="2"/>
  <c r="K1248" i="2" s="1"/>
  <c r="L1248" i="2" s="1"/>
  <c r="I1248" i="2"/>
  <c r="H1248" i="2"/>
  <c r="U1247" i="2"/>
  <c r="T1247" i="2"/>
  <c r="Q1247" i="2"/>
  <c r="P1247" i="2"/>
  <c r="O1247" i="2"/>
  <c r="N1247" i="2"/>
  <c r="M1247" i="2"/>
  <c r="J1247" i="2"/>
  <c r="K1247" i="2" s="1"/>
  <c r="L1247" i="2" s="1"/>
  <c r="I1247" i="2"/>
  <c r="H1247" i="2"/>
  <c r="U1246" i="2"/>
  <c r="T1246" i="2"/>
  <c r="Q1246" i="2"/>
  <c r="P1246" i="2"/>
  <c r="O1246" i="2"/>
  <c r="N1246" i="2"/>
  <c r="M1246" i="2"/>
  <c r="J1246" i="2"/>
  <c r="K1246" i="2" s="1"/>
  <c r="L1246" i="2" s="1"/>
  <c r="I1246" i="2"/>
  <c r="H1246" i="2"/>
  <c r="U1245" i="2"/>
  <c r="T1245" i="2"/>
  <c r="Q1245" i="2"/>
  <c r="P1245" i="2"/>
  <c r="O1245" i="2"/>
  <c r="N1245" i="2"/>
  <c r="M1245" i="2"/>
  <c r="J1245" i="2"/>
  <c r="K1245" i="2" s="1"/>
  <c r="L1245" i="2" s="1"/>
  <c r="I1245" i="2"/>
  <c r="H1245" i="2"/>
  <c r="U1244" i="2"/>
  <c r="T1244" i="2"/>
  <c r="Q1244" i="2"/>
  <c r="P1244" i="2"/>
  <c r="O1244" i="2"/>
  <c r="R1244" i="2" s="1"/>
  <c r="N1244" i="2"/>
  <c r="M1244" i="2"/>
  <c r="J1244" i="2"/>
  <c r="K1244" i="2" s="1"/>
  <c r="L1244" i="2" s="1"/>
  <c r="I1244" i="2"/>
  <c r="H1244" i="2"/>
  <c r="U1243" i="2"/>
  <c r="T1243" i="2"/>
  <c r="Q1243" i="2"/>
  <c r="P1243" i="2"/>
  <c r="O1243" i="2"/>
  <c r="N1243" i="2"/>
  <c r="M1243" i="2"/>
  <c r="J1243" i="2"/>
  <c r="K1243" i="2" s="1"/>
  <c r="L1243" i="2" s="1"/>
  <c r="I1243" i="2"/>
  <c r="H1243" i="2"/>
  <c r="U1242" i="2"/>
  <c r="T1242" i="2"/>
  <c r="Q1242" i="2"/>
  <c r="P1242" i="2"/>
  <c r="O1242" i="2"/>
  <c r="N1242" i="2"/>
  <c r="M1242" i="2"/>
  <c r="J1242" i="2"/>
  <c r="K1242" i="2" s="1"/>
  <c r="L1242" i="2" s="1"/>
  <c r="I1242" i="2"/>
  <c r="H1242" i="2"/>
  <c r="U1241" i="2"/>
  <c r="T1241" i="2"/>
  <c r="Q1241" i="2"/>
  <c r="P1241" i="2"/>
  <c r="O1241" i="2"/>
  <c r="N1241" i="2"/>
  <c r="M1241" i="2"/>
  <c r="J1241" i="2"/>
  <c r="K1241" i="2" s="1"/>
  <c r="L1241" i="2" s="1"/>
  <c r="I1241" i="2"/>
  <c r="H1241" i="2"/>
  <c r="U1240" i="2"/>
  <c r="T1240" i="2"/>
  <c r="Q1240" i="2"/>
  <c r="P1240" i="2"/>
  <c r="O1240" i="2"/>
  <c r="R1240" i="2" s="1"/>
  <c r="N1240" i="2"/>
  <c r="M1240" i="2"/>
  <c r="J1240" i="2"/>
  <c r="K1240" i="2" s="1"/>
  <c r="L1240" i="2" s="1"/>
  <c r="I1240" i="2"/>
  <c r="H1240" i="2"/>
  <c r="U1239" i="2"/>
  <c r="T1239" i="2"/>
  <c r="Q1239" i="2"/>
  <c r="P1239" i="2"/>
  <c r="O1239" i="2"/>
  <c r="N1239" i="2"/>
  <c r="M1239" i="2"/>
  <c r="J1239" i="2"/>
  <c r="K1239" i="2" s="1"/>
  <c r="L1239" i="2" s="1"/>
  <c r="I1239" i="2"/>
  <c r="H1239" i="2"/>
  <c r="U1238" i="2"/>
  <c r="T1238" i="2"/>
  <c r="Q1238" i="2"/>
  <c r="P1238" i="2"/>
  <c r="O1238" i="2"/>
  <c r="N1238" i="2"/>
  <c r="M1238" i="2"/>
  <c r="J1238" i="2"/>
  <c r="K1238" i="2" s="1"/>
  <c r="L1238" i="2" s="1"/>
  <c r="I1238" i="2"/>
  <c r="H1238" i="2"/>
  <c r="U1237" i="2"/>
  <c r="T1237" i="2"/>
  <c r="Q1237" i="2"/>
  <c r="P1237" i="2"/>
  <c r="O1237" i="2"/>
  <c r="N1237" i="2"/>
  <c r="M1237" i="2"/>
  <c r="J1237" i="2"/>
  <c r="K1237" i="2" s="1"/>
  <c r="L1237" i="2" s="1"/>
  <c r="I1237" i="2"/>
  <c r="H1237" i="2"/>
  <c r="U1236" i="2"/>
  <c r="T1236" i="2"/>
  <c r="Q1236" i="2"/>
  <c r="P1236" i="2"/>
  <c r="O1236" i="2"/>
  <c r="R1236" i="2" s="1"/>
  <c r="N1236" i="2"/>
  <c r="M1236" i="2"/>
  <c r="J1236" i="2"/>
  <c r="K1236" i="2" s="1"/>
  <c r="L1236" i="2" s="1"/>
  <c r="I1236" i="2"/>
  <c r="H1236" i="2"/>
  <c r="U1235" i="2"/>
  <c r="T1235" i="2"/>
  <c r="Q1235" i="2"/>
  <c r="P1235" i="2"/>
  <c r="O1235" i="2"/>
  <c r="N1235" i="2"/>
  <c r="M1235" i="2"/>
  <c r="J1235" i="2"/>
  <c r="K1235" i="2" s="1"/>
  <c r="L1235" i="2" s="1"/>
  <c r="I1235" i="2"/>
  <c r="H1235" i="2"/>
  <c r="U1234" i="2"/>
  <c r="T1234" i="2"/>
  <c r="Q1234" i="2"/>
  <c r="P1234" i="2"/>
  <c r="O1234" i="2"/>
  <c r="N1234" i="2"/>
  <c r="M1234" i="2"/>
  <c r="J1234" i="2"/>
  <c r="K1234" i="2" s="1"/>
  <c r="L1234" i="2" s="1"/>
  <c r="I1234" i="2"/>
  <c r="H1234" i="2"/>
  <c r="U1233" i="2"/>
  <c r="T1233" i="2"/>
  <c r="Q1233" i="2"/>
  <c r="P1233" i="2"/>
  <c r="O1233" i="2"/>
  <c r="R1233" i="2" s="1"/>
  <c r="N1233" i="2"/>
  <c r="M1233" i="2"/>
  <c r="J1233" i="2"/>
  <c r="K1233" i="2" s="1"/>
  <c r="L1233" i="2" s="1"/>
  <c r="I1233" i="2"/>
  <c r="H1233" i="2"/>
  <c r="U1232" i="2"/>
  <c r="T1232" i="2"/>
  <c r="Q1232" i="2"/>
  <c r="P1232" i="2"/>
  <c r="O1232" i="2"/>
  <c r="R1232" i="2" s="1"/>
  <c r="N1232" i="2"/>
  <c r="M1232" i="2"/>
  <c r="J1232" i="2"/>
  <c r="K1232" i="2" s="1"/>
  <c r="L1232" i="2" s="1"/>
  <c r="I1232" i="2"/>
  <c r="H1232" i="2"/>
  <c r="U1231" i="2"/>
  <c r="T1231" i="2"/>
  <c r="Q1231" i="2"/>
  <c r="P1231" i="2"/>
  <c r="O1231" i="2"/>
  <c r="N1231" i="2"/>
  <c r="M1231" i="2"/>
  <c r="J1231" i="2"/>
  <c r="K1231" i="2" s="1"/>
  <c r="L1231" i="2" s="1"/>
  <c r="I1231" i="2"/>
  <c r="H1231" i="2"/>
  <c r="U1230" i="2"/>
  <c r="T1230" i="2"/>
  <c r="Q1230" i="2"/>
  <c r="P1230" i="2"/>
  <c r="O1230" i="2"/>
  <c r="N1230" i="2"/>
  <c r="M1230" i="2"/>
  <c r="J1230" i="2"/>
  <c r="K1230" i="2" s="1"/>
  <c r="L1230" i="2" s="1"/>
  <c r="I1230" i="2"/>
  <c r="H1230" i="2"/>
  <c r="U1229" i="2"/>
  <c r="T1229" i="2"/>
  <c r="Q1229" i="2"/>
  <c r="P1229" i="2"/>
  <c r="O1229" i="2"/>
  <c r="N1229" i="2"/>
  <c r="M1229" i="2"/>
  <c r="J1229" i="2"/>
  <c r="K1229" i="2" s="1"/>
  <c r="L1229" i="2" s="1"/>
  <c r="I1229" i="2"/>
  <c r="H1229" i="2"/>
  <c r="U1228" i="2"/>
  <c r="T1228" i="2"/>
  <c r="Q1228" i="2"/>
  <c r="P1228" i="2"/>
  <c r="O1228" i="2"/>
  <c r="R1228" i="2" s="1"/>
  <c r="N1228" i="2"/>
  <c r="M1228" i="2"/>
  <c r="J1228" i="2"/>
  <c r="K1228" i="2" s="1"/>
  <c r="L1228" i="2" s="1"/>
  <c r="I1228" i="2"/>
  <c r="H1228" i="2"/>
  <c r="U1227" i="2"/>
  <c r="T1227" i="2"/>
  <c r="Q1227" i="2"/>
  <c r="P1227" i="2"/>
  <c r="O1227" i="2"/>
  <c r="N1227" i="2"/>
  <c r="M1227" i="2"/>
  <c r="J1227" i="2"/>
  <c r="K1227" i="2" s="1"/>
  <c r="L1227" i="2" s="1"/>
  <c r="I1227" i="2"/>
  <c r="H1227" i="2"/>
  <c r="U1226" i="2"/>
  <c r="T1226" i="2"/>
  <c r="Q1226" i="2"/>
  <c r="P1226" i="2"/>
  <c r="O1226" i="2"/>
  <c r="N1226" i="2"/>
  <c r="M1226" i="2"/>
  <c r="J1226" i="2"/>
  <c r="K1226" i="2" s="1"/>
  <c r="L1226" i="2" s="1"/>
  <c r="I1226" i="2"/>
  <c r="H1226" i="2"/>
  <c r="U1225" i="2"/>
  <c r="T1225" i="2"/>
  <c r="Q1225" i="2"/>
  <c r="P1225" i="2"/>
  <c r="O1225" i="2"/>
  <c r="R1225" i="2" s="1"/>
  <c r="N1225" i="2"/>
  <c r="M1225" i="2"/>
  <c r="J1225" i="2"/>
  <c r="K1225" i="2" s="1"/>
  <c r="L1225" i="2" s="1"/>
  <c r="I1225" i="2"/>
  <c r="H1225" i="2"/>
  <c r="U1224" i="2"/>
  <c r="T1224" i="2"/>
  <c r="Q1224" i="2"/>
  <c r="P1224" i="2"/>
  <c r="O1224" i="2"/>
  <c r="R1224" i="2" s="1"/>
  <c r="N1224" i="2"/>
  <c r="M1224" i="2"/>
  <c r="J1224" i="2"/>
  <c r="K1224" i="2" s="1"/>
  <c r="L1224" i="2" s="1"/>
  <c r="I1224" i="2"/>
  <c r="H1224" i="2"/>
  <c r="U1223" i="2"/>
  <c r="T1223" i="2"/>
  <c r="Q1223" i="2"/>
  <c r="P1223" i="2"/>
  <c r="O1223" i="2"/>
  <c r="N1223" i="2"/>
  <c r="M1223" i="2"/>
  <c r="J1223" i="2"/>
  <c r="K1223" i="2" s="1"/>
  <c r="L1223" i="2" s="1"/>
  <c r="I1223" i="2"/>
  <c r="H1223" i="2"/>
  <c r="U1222" i="2"/>
  <c r="T1222" i="2"/>
  <c r="Q1222" i="2"/>
  <c r="P1222" i="2"/>
  <c r="O1222" i="2"/>
  <c r="N1222" i="2"/>
  <c r="M1222" i="2"/>
  <c r="J1222" i="2"/>
  <c r="K1222" i="2" s="1"/>
  <c r="L1222" i="2" s="1"/>
  <c r="I1222" i="2"/>
  <c r="H1222" i="2"/>
  <c r="U1221" i="2"/>
  <c r="T1221" i="2"/>
  <c r="Q1221" i="2"/>
  <c r="P1221" i="2"/>
  <c r="O1221" i="2"/>
  <c r="N1221" i="2"/>
  <c r="M1221" i="2"/>
  <c r="J1221" i="2"/>
  <c r="K1221" i="2" s="1"/>
  <c r="L1221" i="2" s="1"/>
  <c r="I1221" i="2"/>
  <c r="H1221" i="2"/>
  <c r="U1220" i="2"/>
  <c r="T1220" i="2"/>
  <c r="Q1220" i="2"/>
  <c r="P1220" i="2"/>
  <c r="O1220" i="2"/>
  <c r="R1220" i="2" s="1"/>
  <c r="N1220" i="2"/>
  <c r="M1220" i="2"/>
  <c r="J1220" i="2"/>
  <c r="K1220" i="2" s="1"/>
  <c r="L1220" i="2" s="1"/>
  <c r="I1220" i="2"/>
  <c r="H1220" i="2"/>
  <c r="U1219" i="2"/>
  <c r="T1219" i="2"/>
  <c r="Q1219" i="2"/>
  <c r="P1219" i="2"/>
  <c r="O1219" i="2"/>
  <c r="N1219" i="2"/>
  <c r="M1219" i="2"/>
  <c r="J1219" i="2"/>
  <c r="K1219" i="2" s="1"/>
  <c r="L1219" i="2" s="1"/>
  <c r="I1219" i="2"/>
  <c r="H1219" i="2"/>
  <c r="U1218" i="2"/>
  <c r="T1218" i="2"/>
  <c r="Q1218" i="2"/>
  <c r="P1218" i="2"/>
  <c r="O1218" i="2"/>
  <c r="N1218" i="2"/>
  <c r="M1218" i="2"/>
  <c r="J1218" i="2"/>
  <c r="K1218" i="2" s="1"/>
  <c r="L1218" i="2" s="1"/>
  <c r="I1218" i="2"/>
  <c r="H1218" i="2"/>
  <c r="U1217" i="2"/>
  <c r="T1217" i="2"/>
  <c r="Q1217" i="2"/>
  <c r="P1217" i="2"/>
  <c r="O1217" i="2"/>
  <c r="R1217" i="2" s="1"/>
  <c r="N1217" i="2"/>
  <c r="M1217" i="2"/>
  <c r="J1217" i="2"/>
  <c r="K1217" i="2" s="1"/>
  <c r="L1217" i="2" s="1"/>
  <c r="I1217" i="2"/>
  <c r="H1217" i="2"/>
  <c r="U1216" i="2"/>
  <c r="T1216" i="2"/>
  <c r="Q1216" i="2"/>
  <c r="P1216" i="2"/>
  <c r="O1216" i="2"/>
  <c r="R1216" i="2" s="1"/>
  <c r="N1216" i="2"/>
  <c r="M1216" i="2"/>
  <c r="J1216" i="2"/>
  <c r="K1216" i="2" s="1"/>
  <c r="L1216" i="2" s="1"/>
  <c r="I1216" i="2"/>
  <c r="H1216" i="2"/>
  <c r="U1215" i="2"/>
  <c r="T1215" i="2"/>
  <c r="Q1215" i="2"/>
  <c r="P1215" i="2"/>
  <c r="O1215" i="2"/>
  <c r="N1215" i="2"/>
  <c r="M1215" i="2"/>
  <c r="J1215" i="2"/>
  <c r="K1215" i="2" s="1"/>
  <c r="L1215" i="2" s="1"/>
  <c r="I1215" i="2"/>
  <c r="H1215" i="2"/>
  <c r="U1214" i="2"/>
  <c r="T1214" i="2"/>
  <c r="Q1214" i="2"/>
  <c r="P1214" i="2"/>
  <c r="O1214" i="2"/>
  <c r="N1214" i="2"/>
  <c r="M1214" i="2"/>
  <c r="J1214" i="2"/>
  <c r="K1214" i="2" s="1"/>
  <c r="L1214" i="2" s="1"/>
  <c r="I1214" i="2"/>
  <c r="H1214" i="2"/>
  <c r="U1213" i="2"/>
  <c r="T1213" i="2"/>
  <c r="Q1213" i="2"/>
  <c r="P1213" i="2"/>
  <c r="O1213" i="2"/>
  <c r="N1213" i="2"/>
  <c r="M1213" i="2"/>
  <c r="J1213" i="2"/>
  <c r="K1213" i="2" s="1"/>
  <c r="L1213" i="2" s="1"/>
  <c r="I1213" i="2"/>
  <c r="H1213" i="2"/>
  <c r="U1212" i="2"/>
  <c r="T1212" i="2"/>
  <c r="Q1212" i="2"/>
  <c r="P1212" i="2"/>
  <c r="O1212" i="2"/>
  <c r="R1212" i="2" s="1"/>
  <c r="N1212" i="2"/>
  <c r="M1212" i="2"/>
  <c r="J1212" i="2"/>
  <c r="K1212" i="2" s="1"/>
  <c r="L1212" i="2" s="1"/>
  <c r="I1212" i="2"/>
  <c r="H1212" i="2"/>
  <c r="U1211" i="2"/>
  <c r="T1211" i="2"/>
  <c r="Q1211" i="2"/>
  <c r="P1211" i="2"/>
  <c r="O1211" i="2"/>
  <c r="N1211" i="2"/>
  <c r="M1211" i="2"/>
  <c r="J1211" i="2"/>
  <c r="K1211" i="2" s="1"/>
  <c r="L1211" i="2" s="1"/>
  <c r="I1211" i="2"/>
  <c r="H1211" i="2"/>
  <c r="U1210" i="2"/>
  <c r="T1210" i="2"/>
  <c r="Q1210" i="2"/>
  <c r="P1210" i="2"/>
  <c r="O1210" i="2"/>
  <c r="N1210" i="2"/>
  <c r="M1210" i="2"/>
  <c r="J1210" i="2"/>
  <c r="K1210" i="2" s="1"/>
  <c r="L1210" i="2" s="1"/>
  <c r="I1210" i="2"/>
  <c r="H1210" i="2"/>
  <c r="U1209" i="2"/>
  <c r="T1209" i="2"/>
  <c r="Q1209" i="2"/>
  <c r="P1209" i="2"/>
  <c r="O1209" i="2"/>
  <c r="R1209" i="2" s="1"/>
  <c r="N1209" i="2"/>
  <c r="M1209" i="2"/>
  <c r="J1209" i="2"/>
  <c r="K1209" i="2" s="1"/>
  <c r="L1209" i="2" s="1"/>
  <c r="I1209" i="2"/>
  <c r="H1209" i="2"/>
  <c r="U1208" i="2"/>
  <c r="T1208" i="2"/>
  <c r="Q1208" i="2"/>
  <c r="P1208" i="2"/>
  <c r="O1208" i="2"/>
  <c r="R1208" i="2" s="1"/>
  <c r="N1208" i="2"/>
  <c r="M1208" i="2"/>
  <c r="J1208" i="2"/>
  <c r="K1208" i="2" s="1"/>
  <c r="L1208" i="2" s="1"/>
  <c r="I1208" i="2"/>
  <c r="H1208" i="2"/>
  <c r="U1207" i="2"/>
  <c r="T1207" i="2"/>
  <c r="Q1207" i="2"/>
  <c r="P1207" i="2"/>
  <c r="O1207" i="2"/>
  <c r="N1207" i="2"/>
  <c r="M1207" i="2"/>
  <c r="J1207" i="2"/>
  <c r="K1207" i="2" s="1"/>
  <c r="L1207" i="2" s="1"/>
  <c r="I1207" i="2"/>
  <c r="H1207" i="2"/>
  <c r="U1206" i="2"/>
  <c r="T1206" i="2"/>
  <c r="Q1206" i="2"/>
  <c r="P1206" i="2"/>
  <c r="O1206" i="2"/>
  <c r="N1206" i="2"/>
  <c r="M1206" i="2"/>
  <c r="J1206" i="2"/>
  <c r="K1206" i="2" s="1"/>
  <c r="L1206" i="2" s="1"/>
  <c r="I1206" i="2"/>
  <c r="H1206" i="2"/>
  <c r="U1205" i="2"/>
  <c r="T1205" i="2"/>
  <c r="Q1205" i="2"/>
  <c r="P1205" i="2"/>
  <c r="O1205" i="2"/>
  <c r="N1205" i="2"/>
  <c r="M1205" i="2"/>
  <c r="J1205" i="2"/>
  <c r="K1205" i="2" s="1"/>
  <c r="L1205" i="2" s="1"/>
  <c r="I1205" i="2"/>
  <c r="H1205" i="2"/>
  <c r="U1204" i="2"/>
  <c r="T1204" i="2"/>
  <c r="Q1204" i="2"/>
  <c r="P1204" i="2"/>
  <c r="O1204" i="2"/>
  <c r="R1204" i="2" s="1"/>
  <c r="N1204" i="2"/>
  <c r="M1204" i="2"/>
  <c r="J1204" i="2"/>
  <c r="K1204" i="2" s="1"/>
  <c r="L1204" i="2" s="1"/>
  <c r="I1204" i="2"/>
  <c r="H1204" i="2"/>
  <c r="U1203" i="2"/>
  <c r="T1203" i="2"/>
  <c r="Q1203" i="2"/>
  <c r="P1203" i="2"/>
  <c r="O1203" i="2"/>
  <c r="N1203" i="2"/>
  <c r="M1203" i="2"/>
  <c r="J1203" i="2"/>
  <c r="K1203" i="2" s="1"/>
  <c r="L1203" i="2" s="1"/>
  <c r="I1203" i="2"/>
  <c r="H1203" i="2"/>
  <c r="U1202" i="2"/>
  <c r="T1202" i="2"/>
  <c r="Q1202" i="2"/>
  <c r="P1202" i="2"/>
  <c r="O1202" i="2"/>
  <c r="N1202" i="2"/>
  <c r="M1202" i="2"/>
  <c r="J1202" i="2"/>
  <c r="K1202" i="2" s="1"/>
  <c r="L1202" i="2" s="1"/>
  <c r="I1202" i="2"/>
  <c r="H1202" i="2"/>
  <c r="U1201" i="2"/>
  <c r="T1201" i="2"/>
  <c r="Q1201" i="2"/>
  <c r="P1201" i="2"/>
  <c r="O1201" i="2"/>
  <c r="R1201" i="2" s="1"/>
  <c r="N1201" i="2"/>
  <c r="M1201" i="2"/>
  <c r="J1201" i="2"/>
  <c r="K1201" i="2" s="1"/>
  <c r="L1201" i="2" s="1"/>
  <c r="I1201" i="2"/>
  <c r="H1201" i="2"/>
  <c r="U1200" i="2"/>
  <c r="T1200" i="2"/>
  <c r="Q1200" i="2"/>
  <c r="P1200" i="2"/>
  <c r="O1200" i="2"/>
  <c r="R1200" i="2" s="1"/>
  <c r="N1200" i="2"/>
  <c r="M1200" i="2"/>
  <c r="J1200" i="2"/>
  <c r="K1200" i="2" s="1"/>
  <c r="L1200" i="2" s="1"/>
  <c r="I1200" i="2"/>
  <c r="H1200" i="2"/>
  <c r="U1199" i="2"/>
  <c r="T1199" i="2"/>
  <c r="Q1199" i="2"/>
  <c r="P1199" i="2"/>
  <c r="O1199" i="2"/>
  <c r="N1199" i="2"/>
  <c r="M1199" i="2"/>
  <c r="J1199" i="2"/>
  <c r="K1199" i="2" s="1"/>
  <c r="L1199" i="2" s="1"/>
  <c r="I1199" i="2"/>
  <c r="H1199" i="2"/>
  <c r="U1198" i="2"/>
  <c r="T1198" i="2"/>
  <c r="Q1198" i="2"/>
  <c r="P1198" i="2"/>
  <c r="O1198" i="2"/>
  <c r="N1198" i="2"/>
  <c r="M1198" i="2"/>
  <c r="J1198" i="2"/>
  <c r="K1198" i="2" s="1"/>
  <c r="L1198" i="2" s="1"/>
  <c r="I1198" i="2"/>
  <c r="H1198" i="2"/>
  <c r="U1197" i="2"/>
  <c r="T1197" i="2"/>
  <c r="Q1197" i="2"/>
  <c r="P1197" i="2"/>
  <c r="O1197" i="2"/>
  <c r="N1197" i="2"/>
  <c r="M1197" i="2"/>
  <c r="J1197" i="2"/>
  <c r="K1197" i="2" s="1"/>
  <c r="L1197" i="2" s="1"/>
  <c r="I1197" i="2"/>
  <c r="H1197" i="2"/>
  <c r="U1196" i="2"/>
  <c r="T1196" i="2"/>
  <c r="Q1196" i="2"/>
  <c r="P1196" i="2"/>
  <c r="O1196" i="2"/>
  <c r="R1196" i="2" s="1"/>
  <c r="N1196" i="2"/>
  <c r="M1196" i="2"/>
  <c r="J1196" i="2"/>
  <c r="K1196" i="2" s="1"/>
  <c r="L1196" i="2" s="1"/>
  <c r="I1196" i="2"/>
  <c r="H1196" i="2"/>
  <c r="U1195" i="2"/>
  <c r="T1195" i="2"/>
  <c r="Q1195" i="2"/>
  <c r="P1195" i="2"/>
  <c r="O1195" i="2"/>
  <c r="N1195" i="2"/>
  <c r="M1195" i="2"/>
  <c r="J1195" i="2"/>
  <c r="K1195" i="2" s="1"/>
  <c r="L1195" i="2" s="1"/>
  <c r="I1195" i="2"/>
  <c r="H1195" i="2"/>
  <c r="U1194" i="2"/>
  <c r="T1194" i="2"/>
  <c r="Q1194" i="2"/>
  <c r="P1194" i="2"/>
  <c r="O1194" i="2"/>
  <c r="N1194" i="2"/>
  <c r="M1194" i="2"/>
  <c r="J1194" i="2"/>
  <c r="K1194" i="2" s="1"/>
  <c r="L1194" i="2" s="1"/>
  <c r="I1194" i="2"/>
  <c r="H1194" i="2"/>
  <c r="U1193" i="2"/>
  <c r="T1193" i="2"/>
  <c r="Q1193" i="2"/>
  <c r="P1193" i="2"/>
  <c r="O1193" i="2"/>
  <c r="R1193" i="2" s="1"/>
  <c r="N1193" i="2"/>
  <c r="M1193" i="2"/>
  <c r="J1193" i="2"/>
  <c r="I1193" i="2"/>
  <c r="H1193" i="2"/>
  <c r="F1193" i="2"/>
  <c r="U1192" i="2"/>
  <c r="T1192" i="2"/>
  <c r="Q1192" i="2"/>
  <c r="P1192" i="2"/>
  <c r="O1192" i="2"/>
  <c r="R1192" i="2" s="1"/>
  <c r="N1192" i="2"/>
  <c r="M1192" i="2"/>
  <c r="J1192" i="2"/>
  <c r="K1192" i="2" s="1"/>
  <c r="L1192" i="2" s="1"/>
  <c r="I1192" i="2"/>
  <c r="H1192" i="2"/>
  <c r="U1191" i="2"/>
  <c r="T1191" i="2"/>
  <c r="Q1191" i="2"/>
  <c r="P1191" i="2"/>
  <c r="O1191" i="2"/>
  <c r="N1191" i="2"/>
  <c r="M1191" i="2"/>
  <c r="J1191" i="2"/>
  <c r="K1191" i="2" s="1"/>
  <c r="L1191" i="2" s="1"/>
  <c r="I1191" i="2"/>
  <c r="H1191" i="2"/>
  <c r="U1190" i="2"/>
  <c r="T1190" i="2"/>
  <c r="Q1190" i="2"/>
  <c r="P1190" i="2"/>
  <c r="O1190" i="2"/>
  <c r="N1190" i="2"/>
  <c r="M1190" i="2"/>
  <c r="J1190" i="2"/>
  <c r="K1190" i="2" s="1"/>
  <c r="L1190" i="2" s="1"/>
  <c r="I1190" i="2"/>
  <c r="H1190" i="2"/>
  <c r="U1189" i="2"/>
  <c r="T1189" i="2"/>
  <c r="Q1189" i="2"/>
  <c r="P1189" i="2"/>
  <c r="O1189" i="2"/>
  <c r="N1189" i="2"/>
  <c r="M1189" i="2"/>
  <c r="J1189" i="2"/>
  <c r="K1189" i="2" s="1"/>
  <c r="L1189" i="2" s="1"/>
  <c r="I1189" i="2"/>
  <c r="H1189" i="2"/>
  <c r="U1188" i="2"/>
  <c r="T1188" i="2"/>
  <c r="Q1188" i="2"/>
  <c r="P1188" i="2"/>
  <c r="O1188" i="2"/>
  <c r="R1188" i="2" s="1"/>
  <c r="N1188" i="2"/>
  <c r="M1188" i="2"/>
  <c r="J1188" i="2"/>
  <c r="K1188" i="2" s="1"/>
  <c r="L1188" i="2" s="1"/>
  <c r="I1188" i="2"/>
  <c r="H1188" i="2"/>
  <c r="U1187" i="2"/>
  <c r="T1187" i="2"/>
  <c r="Q1187" i="2"/>
  <c r="P1187" i="2"/>
  <c r="O1187" i="2"/>
  <c r="N1187" i="2"/>
  <c r="M1187" i="2"/>
  <c r="J1187" i="2"/>
  <c r="K1187" i="2" s="1"/>
  <c r="L1187" i="2" s="1"/>
  <c r="I1187" i="2"/>
  <c r="H1187" i="2"/>
  <c r="U1186" i="2"/>
  <c r="T1186" i="2"/>
  <c r="Q1186" i="2"/>
  <c r="P1186" i="2"/>
  <c r="O1186" i="2"/>
  <c r="N1186" i="2"/>
  <c r="M1186" i="2"/>
  <c r="J1186" i="2"/>
  <c r="K1186" i="2" s="1"/>
  <c r="L1186" i="2" s="1"/>
  <c r="I1186" i="2"/>
  <c r="H1186" i="2"/>
  <c r="U1185" i="2"/>
  <c r="T1185" i="2"/>
  <c r="Q1185" i="2"/>
  <c r="P1185" i="2"/>
  <c r="O1185" i="2"/>
  <c r="R1185" i="2" s="1"/>
  <c r="N1185" i="2"/>
  <c r="M1185" i="2"/>
  <c r="J1185" i="2"/>
  <c r="K1185" i="2" s="1"/>
  <c r="L1185" i="2" s="1"/>
  <c r="I1185" i="2"/>
  <c r="H1185" i="2"/>
  <c r="U1184" i="2"/>
  <c r="T1184" i="2"/>
  <c r="Q1184" i="2"/>
  <c r="P1184" i="2"/>
  <c r="O1184" i="2"/>
  <c r="R1184" i="2" s="1"/>
  <c r="N1184" i="2"/>
  <c r="M1184" i="2"/>
  <c r="J1184" i="2"/>
  <c r="K1184" i="2" s="1"/>
  <c r="L1184" i="2" s="1"/>
  <c r="I1184" i="2"/>
  <c r="H1184" i="2"/>
  <c r="U1183" i="2"/>
  <c r="T1183" i="2"/>
  <c r="Q1183" i="2"/>
  <c r="P1183" i="2"/>
  <c r="O1183" i="2"/>
  <c r="N1183" i="2"/>
  <c r="M1183" i="2"/>
  <c r="J1183" i="2"/>
  <c r="K1183" i="2" s="1"/>
  <c r="L1183" i="2" s="1"/>
  <c r="I1183" i="2"/>
  <c r="H1183" i="2"/>
  <c r="U1182" i="2"/>
  <c r="T1182" i="2"/>
  <c r="Q1182" i="2"/>
  <c r="P1182" i="2"/>
  <c r="O1182" i="2"/>
  <c r="N1182" i="2"/>
  <c r="M1182" i="2"/>
  <c r="J1182" i="2"/>
  <c r="K1182" i="2" s="1"/>
  <c r="L1182" i="2" s="1"/>
  <c r="I1182" i="2"/>
  <c r="H1182" i="2"/>
  <c r="U1181" i="2"/>
  <c r="T1181" i="2"/>
  <c r="Q1181" i="2"/>
  <c r="P1181" i="2"/>
  <c r="O1181" i="2"/>
  <c r="N1181" i="2"/>
  <c r="M1181" i="2"/>
  <c r="J1181" i="2"/>
  <c r="K1181" i="2" s="1"/>
  <c r="L1181" i="2" s="1"/>
  <c r="I1181" i="2"/>
  <c r="H1181" i="2"/>
  <c r="U1180" i="2"/>
  <c r="T1180" i="2"/>
  <c r="Q1180" i="2"/>
  <c r="P1180" i="2"/>
  <c r="O1180" i="2"/>
  <c r="R1180" i="2" s="1"/>
  <c r="N1180" i="2"/>
  <c r="M1180" i="2"/>
  <c r="J1180" i="2"/>
  <c r="K1180" i="2" s="1"/>
  <c r="L1180" i="2" s="1"/>
  <c r="I1180" i="2"/>
  <c r="H1180" i="2"/>
  <c r="U1179" i="2"/>
  <c r="T1179" i="2"/>
  <c r="Q1179" i="2"/>
  <c r="P1179" i="2"/>
  <c r="O1179" i="2"/>
  <c r="N1179" i="2"/>
  <c r="M1179" i="2"/>
  <c r="J1179" i="2"/>
  <c r="K1179" i="2" s="1"/>
  <c r="L1179" i="2" s="1"/>
  <c r="I1179" i="2"/>
  <c r="H1179" i="2"/>
  <c r="U1178" i="2"/>
  <c r="T1178" i="2"/>
  <c r="Q1178" i="2"/>
  <c r="P1178" i="2"/>
  <c r="O1178" i="2"/>
  <c r="R1178" i="2" s="1"/>
  <c r="N1178" i="2"/>
  <c r="M1178" i="2"/>
  <c r="J1178" i="2"/>
  <c r="K1178" i="2" s="1"/>
  <c r="L1178" i="2" s="1"/>
  <c r="I1178" i="2"/>
  <c r="H1178" i="2"/>
  <c r="U1177" i="2"/>
  <c r="T1177" i="2"/>
  <c r="Q1177" i="2"/>
  <c r="P1177" i="2"/>
  <c r="O1177" i="2"/>
  <c r="R1177" i="2" s="1"/>
  <c r="N1177" i="2"/>
  <c r="M1177" i="2"/>
  <c r="J1177" i="2"/>
  <c r="K1177" i="2" s="1"/>
  <c r="L1177" i="2" s="1"/>
  <c r="I1177" i="2"/>
  <c r="H1177" i="2"/>
  <c r="U1176" i="2"/>
  <c r="T1176" i="2"/>
  <c r="Q1176" i="2"/>
  <c r="P1176" i="2"/>
  <c r="O1176" i="2"/>
  <c r="R1176" i="2" s="1"/>
  <c r="N1176" i="2"/>
  <c r="M1176" i="2"/>
  <c r="J1176" i="2"/>
  <c r="K1176" i="2" s="1"/>
  <c r="L1176" i="2" s="1"/>
  <c r="I1176" i="2"/>
  <c r="H1176" i="2"/>
  <c r="U1175" i="2"/>
  <c r="T1175" i="2"/>
  <c r="Q1175" i="2"/>
  <c r="P1175" i="2"/>
  <c r="O1175" i="2"/>
  <c r="N1175" i="2"/>
  <c r="M1175" i="2"/>
  <c r="J1175" i="2"/>
  <c r="K1175" i="2" s="1"/>
  <c r="L1175" i="2" s="1"/>
  <c r="I1175" i="2"/>
  <c r="H1175" i="2"/>
  <c r="U1174" i="2"/>
  <c r="T1174" i="2"/>
  <c r="Q1174" i="2"/>
  <c r="P1174" i="2"/>
  <c r="O1174" i="2"/>
  <c r="N1174" i="2"/>
  <c r="M1174" i="2"/>
  <c r="J1174" i="2"/>
  <c r="K1174" i="2" s="1"/>
  <c r="L1174" i="2" s="1"/>
  <c r="I1174" i="2"/>
  <c r="H1174" i="2"/>
  <c r="U1173" i="2"/>
  <c r="T1173" i="2"/>
  <c r="Q1173" i="2"/>
  <c r="P1173" i="2"/>
  <c r="O1173" i="2"/>
  <c r="N1173" i="2"/>
  <c r="M1173" i="2"/>
  <c r="J1173" i="2"/>
  <c r="K1173" i="2" s="1"/>
  <c r="L1173" i="2" s="1"/>
  <c r="I1173" i="2"/>
  <c r="H1173" i="2"/>
  <c r="U1172" i="2"/>
  <c r="T1172" i="2"/>
  <c r="Q1172" i="2"/>
  <c r="P1172" i="2"/>
  <c r="O1172" i="2"/>
  <c r="R1172" i="2" s="1"/>
  <c r="N1172" i="2"/>
  <c r="M1172" i="2"/>
  <c r="J1172" i="2"/>
  <c r="K1172" i="2" s="1"/>
  <c r="L1172" i="2" s="1"/>
  <c r="I1172" i="2"/>
  <c r="H1172" i="2"/>
  <c r="U1171" i="2"/>
  <c r="T1171" i="2"/>
  <c r="Q1171" i="2"/>
  <c r="P1171" i="2"/>
  <c r="O1171" i="2"/>
  <c r="N1171" i="2"/>
  <c r="M1171" i="2"/>
  <c r="J1171" i="2"/>
  <c r="K1171" i="2" s="1"/>
  <c r="L1171" i="2" s="1"/>
  <c r="I1171" i="2"/>
  <c r="H1171" i="2"/>
  <c r="U1170" i="2"/>
  <c r="T1170" i="2"/>
  <c r="Q1170" i="2"/>
  <c r="P1170" i="2"/>
  <c r="O1170" i="2"/>
  <c r="N1170" i="2"/>
  <c r="M1170" i="2"/>
  <c r="J1170" i="2"/>
  <c r="K1170" i="2" s="1"/>
  <c r="L1170" i="2" s="1"/>
  <c r="I1170" i="2"/>
  <c r="H1170" i="2"/>
  <c r="U1169" i="2"/>
  <c r="T1169" i="2"/>
  <c r="Q1169" i="2"/>
  <c r="P1169" i="2"/>
  <c r="O1169" i="2"/>
  <c r="R1169" i="2" s="1"/>
  <c r="N1169" i="2"/>
  <c r="M1169" i="2"/>
  <c r="J1169" i="2"/>
  <c r="K1169" i="2" s="1"/>
  <c r="L1169" i="2" s="1"/>
  <c r="I1169" i="2"/>
  <c r="H1169" i="2"/>
  <c r="U1168" i="2"/>
  <c r="T1168" i="2"/>
  <c r="Q1168" i="2"/>
  <c r="P1168" i="2"/>
  <c r="O1168" i="2"/>
  <c r="R1168" i="2" s="1"/>
  <c r="N1168" i="2"/>
  <c r="M1168" i="2"/>
  <c r="J1168" i="2"/>
  <c r="K1168" i="2" s="1"/>
  <c r="L1168" i="2" s="1"/>
  <c r="I1168" i="2"/>
  <c r="H1168" i="2"/>
  <c r="U1167" i="2"/>
  <c r="T1167" i="2"/>
  <c r="Q1167" i="2"/>
  <c r="P1167" i="2"/>
  <c r="O1167" i="2"/>
  <c r="N1167" i="2"/>
  <c r="M1167" i="2"/>
  <c r="J1167" i="2"/>
  <c r="K1167" i="2" s="1"/>
  <c r="L1167" i="2" s="1"/>
  <c r="I1167" i="2"/>
  <c r="H1167" i="2"/>
  <c r="U1166" i="2"/>
  <c r="T1166" i="2"/>
  <c r="Q1166" i="2"/>
  <c r="P1166" i="2"/>
  <c r="O1166" i="2"/>
  <c r="N1166" i="2"/>
  <c r="M1166" i="2"/>
  <c r="J1166" i="2"/>
  <c r="K1166" i="2" s="1"/>
  <c r="L1166" i="2" s="1"/>
  <c r="I1166" i="2"/>
  <c r="H1166" i="2"/>
  <c r="U1165" i="2"/>
  <c r="T1165" i="2"/>
  <c r="Q1165" i="2"/>
  <c r="P1165" i="2"/>
  <c r="O1165" i="2"/>
  <c r="N1165" i="2"/>
  <c r="M1165" i="2"/>
  <c r="J1165" i="2"/>
  <c r="K1165" i="2" s="1"/>
  <c r="L1165" i="2" s="1"/>
  <c r="I1165" i="2"/>
  <c r="H1165" i="2"/>
  <c r="U1164" i="2"/>
  <c r="T1164" i="2"/>
  <c r="Q1164" i="2"/>
  <c r="P1164" i="2"/>
  <c r="O1164" i="2"/>
  <c r="N1164" i="2"/>
  <c r="M1164" i="2"/>
  <c r="J1164" i="2"/>
  <c r="K1164" i="2" s="1"/>
  <c r="L1164" i="2" s="1"/>
  <c r="I1164" i="2"/>
  <c r="H1164" i="2"/>
  <c r="U1163" i="2"/>
  <c r="T1163" i="2"/>
  <c r="Q1163" i="2"/>
  <c r="P1163" i="2"/>
  <c r="O1163" i="2"/>
  <c r="R1163" i="2" s="1"/>
  <c r="N1163" i="2"/>
  <c r="M1163" i="2"/>
  <c r="J1163" i="2"/>
  <c r="K1163" i="2" s="1"/>
  <c r="L1163" i="2" s="1"/>
  <c r="I1163" i="2"/>
  <c r="H1163" i="2"/>
  <c r="U1162" i="2"/>
  <c r="T1162" i="2"/>
  <c r="Q1162" i="2"/>
  <c r="P1162" i="2"/>
  <c r="O1162" i="2"/>
  <c r="N1162" i="2"/>
  <c r="M1162" i="2"/>
  <c r="J1162" i="2"/>
  <c r="K1162" i="2" s="1"/>
  <c r="L1162" i="2" s="1"/>
  <c r="I1162" i="2"/>
  <c r="H1162" i="2"/>
  <c r="U1161" i="2"/>
  <c r="T1161" i="2"/>
  <c r="Q1161" i="2"/>
  <c r="P1161" i="2"/>
  <c r="O1161" i="2"/>
  <c r="N1161" i="2"/>
  <c r="M1161" i="2"/>
  <c r="J1161" i="2"/>
  <c r="K1161" i="2" s="1"/>
  <c r="L1161" i="2" s="1"/>
  <c r="I1161" i="2"/>
  <c r="H1161" i="2"/>
  <c r="U1160" i="2"/>
  <c r="T1160" i="2"/>
  <c r="Q1160" i="2"/>
  <c r="P1160" i="2"/>
  <c r="O1160" i="2"/>
  <c r="N1160" i="2"/>
  <c r="M1160" i="2"/>
  <c r="J1160" i="2"/>
  <c r="K1160" i="2" s="1"/>
  <c r="L1160" i="2" s="1"/>
  <c r="I1160" i="2"/>
  <c r="H1160" i="2"/>
  <c r="U1159" i="2"/>
  <c r="T1159" i="2"/>
  <c r="Q1159" i="2"/>
  <c r="P1159" i="2"/>
  <c r="O1159" i="2"/>
  <c r="N1159" i="2"/>
  <c r="M1159" i="2"/>
  <c r="J1159" i="2"/>
  <c r="K1159" i="2" s="1"/>
  <c r="L1159" i="2" s="1"/>
  <c r="I1159" i="2"/>
  <c r="H1159" i="2"/>
  <c r="U1158" i="2"/>
  <c r="T1158" i="2"/>
  <c r="Q1158" i="2"/>
  <c r="P1158" i="2"/>
  <c r="O1158" i="2"/>
  <c r="R1158" i="2" s="1"/>
  <c r="N1158" i="2"/>
  <c r="M1158" i="2"/>
  <c r="J1158" i="2"/>
  <c r="K1158" i="2" s="1"/>
  <c r="L1158" i="2" s="1"/>
  <c r="I1158" i="2"/>
  <c r="H1158" i="2"/>
  <c r="U1157" i="2"/>
  <c r="T1157" i="2"/>
  <c r="Q1157" i="2"/>
  <c r="P1157" i="2"/>
  <c r="O1157" i="2"/>
  <c r="R1157" i="2" s="1"/>
  <c r="N1157" i="2"/>
  <c r="M1157" i="2"/>
  <c r="J1157" i="2"/>
  <c r="K1157" i="2" s="1"/>
  <c r="L1157" i="2" s="1"/>
  <c r="I1157" i="2"/>
  <c r="H1157" i="2"/>
  <c r="U1156" i="2"/>
  <c r="T1156" i="2"/>
  <c r="Q1156" i="2"/>
  <c r="P1156" i="2"/>
  <c r="O1156" i="2"/>
  <c r="N1156" i="2"/>
  <c r="M1156" i="2"/>
  <c r="J1156" i="2"/>
  <c r="K1156" i="2" s="1"/>
  <c r="L1156" i="2" s="1"/>
  <c r="I1156" i="2"/>
  <c r="H1156" i="2"/>
  <c r="U1155" i="2"/>
  <c r="T1155" i="2"/>
  <c r="Q1155" i="2"/>
  <c r="P1155" i="2"/>
  <c r="O1155" i="2"/>
  <c r="N1155" i="2"/>
  <c r="M1155" i="2"/>
  <c r="J1155" i="2"/>
  <c r="K1155" i="2" s="1"/>
  <c r="L1155" i="2" s="1"/>
  <c r="I1155" i="2"/>
  <c r="H1155" i="2"/>
  <c r="U1154" i="2"/>
  <c r="T1154" i="2"/>
  <c r="Q1154" i="2"/>
  <c r="P1154" i="2"/>
  <c r="O1154" i="2"/>
  <c r="R1154" i="2" s="1"/>
  <c r="N1154" i="2"/>
  <c r="M1154" i="2"/>
  <c r="J1154" i="2"/>
  <c r="K1154" i="2" s="1"/>
  <c r="L1154" i="2" s="1"/>
  <c r="I1154" i="2"/>
  <c r="H1154" i="2"/>
  <c r="U1153" i="2"/>
  <c r="T1153" i="2"/>
  <c r="Q1153" i="2"/>
  <c r="P1153" i="2"/>
  <c r="O1153" i="2"/>
  <c r="R1153" i="2" s="1"/>
  <c r="N1153" i="2"/>
  <c r="M1153" i="2"/>
  <c r="J1153" i="2"/>
  <c r="K1153" i="2" s="1"/>
  <c r="L1153" i="2" s="1"/>
  <c r="I1153" i="2"/>
  <c r="H1153" i="2"/>
  <c r="U1152" i="2"/>
  <c r="T1152" i="2"/>
  <c r="Q1152" i="2"/>
  <c r="P1152" i="2"/>
  <c r="O1152" i="2"/>
  <c r="R1152" i="2" s="1"/>
  <c r="N1152" i="2"/>
  <c r="M1152" i="2"/>
  <c r="J1152" i="2"/>
  <c r="K1152" i="2" s="1"/>
  <c r="L1152" i="2" s="1"/>
  <c r="I1152" i="2"/>
  <c r="H1152" i="2"/>
  <c r="U1151" i="2"/>
  <c r="T1151" i="2"/>
  <c r="Q1151" i="2"/>
  <c r="P1151" i="2"/>
  <c r="O1151" i="2"/>
  <c r="N1151" i="2"/>
  <c r="M1151" i="2"/>
  <c r="J1151" i="2"/>
  <c r="K1151" i="2" s="1"/>
  <c r="L1151" i="2" s="1"/>
  <c r="I1151" i="2"/>
  <c r="H1151" i="2"/>
  <c r="U1150" i="2"/>
  <c r="T1150" i="2"/>
  <c r="Q1150" i="2"/>
  <c r="P1150" i="2"/>
  <c r="O1150" i="2"/>
  <c r="N1150" i="2"/>
  <c r="M1150" i="2"/>
  <c r="J1150" i="2"/>
  <c r="K1150" i="2" s="1"/>
  <c r="L1150" i="2" s="1"/>
  <c r="I1150" i="2"/>
  <c r="H1150" i="2"/>
  <c r="U1149" i="2"/>
  <c r="T1149" i="2"/>
  <c r="Q1149" i="2"/>
  <c r="P1149" i="2"/>
  <c r="O1149" i="2"/>
  <c r="R1149" i="2" s="1"/>
  <c r="N1149" i="2"/>
  <c r="M1149" i="2"/>
  <c r="J1149" i="2"/>
  <c r="K1149" i="2" s="1"/>
  <c r="L1149" i="2" s="1"/>
  <c r="I1149" i="2"/>
  <c r="H1149" i="2"/>
  <c r="U1148" i="2"/>
  <c r="T1148" i="2"/>
  <c r="Q1148" i="2"/>
  <c r="P1148" i="2"/>
  <c r="O1148" i="2"/>
  <c r="N1148" i="2"/>
  <c r="M1148" i="2"/>
  <c r="J1148" i="2"/>
  <c r="K1148" i="2" s="1"/>
  <c r="L1148" i="2" s="1"/>
  <c r="I1148" i="2"/>
  <c r="H1148" i="2"/>
  <c r="U1147" i="2"/>
  <c r="T1147" i="2"/>
  <c r="Q1147" i="2"/>
  <c r="P1147" i="2"/>
  <c r="O1147" i="2"/>
  <c r="N1147" i="2"/>
  <c r="M1147" i="2"/>
  <c r="J1147" i="2"/>
  <c r="K1147" i="2" s="1"/>
  <c r="L1147" i="2" s="1"/>
  <c r="I1147" i="2"/>
  <c r="H1147" i="2"/>
  <c r="U1146" i="2"/>
  <c r="T1146" i="2"/>
  <c r="Q1146" i="2"/>
  <c r="P1146" i="2"/>
  <c r="O1146" i="2"/>
  <c r="N1146" i="2"/>
  <c r="M1146" i="2"/>
  <c r="J1146" i="2"/>
  <c r="K1146" i="2" s="1"/>
  <c r="L1146" i="2" s="1"/>
  <c r="I1146" i="2"/>
  <c r="H1146" i="2"/>
  <c r="U1145" i="2"/>
  <c r="T1145" i="2"/>
  <c r="Q1145" i="2"/>
  <c r="P1145" i="2"/>
  <c r="O1145" i="2"/>
  <c r="R1145" i="2" s="1"/>
  <c r="N1145" i="2"/>
  <c r="M1145" i="2"/>
  <c r="J1145" i="2"/>
  <c r="K1145" i="2" s="1"/>
  <c r="L1145" i="2" s="1"/>
  <c r="I1145" i="2"/>
  <c r="H1145" i="2"/>
  <c r="U1144" i="2"/>
  <c r="T1144" i="2"/>
  <c r="Q1144" i="2"/>
  <c r="P1144" i="2"/>
  <c r="O1144" i="2"/>
  <c r="R1144" i="2" s="1"/>
  <c r="N1144" i="2"/>
  <c r="M1144" i="2"/>
  <c r="J1144" i="2"/>
  <c r="K1144" i="2" s="1"/>
  <c r="L1144" i="2" s="1"/>
  <c r="I1144" i="2"/>
  <c r="H1144" i="2"/>
  <c r="U1143" i="2"/>
  <c r="T1143" i="2"/>
  <c r="Q1143" i="2"/>
  <c r="P1143" i="2"/>
  <c r="O1143" i="2"/>
  <c r="N1143" i="2"/>
  <c r="M1143" i="2"/>
  <c r="J1143" i="2"/>
  <c r="K1143" i="2" s="1"/>
  <c r="L1143" i="2" s="1"/>
  <c r="I1143" i="2"/>
  <c r="H1143" i="2"/>
  <c r="U1142" i="2"/>
  <c r="T1142" i="2"/>
  <c r="Q1142" i="2"/>
  <c r="P1142" i="2"/>
  <c r="O1142" i="2"/>
  <c r="N1142" i="2"/>
  <c r="M1142" i="2"/>
  <c r="J1142" i="2"/>
  <c r="K1142" i="2" s="1"/>
  <c r="L1142" i="2" s="1"/>
  <c r="I1142" i="2"/>
  <c r="H1142" i="2"/>
  <c r="U1141" i="2"/>
  <c r="T1141" i="2"/>
  <c r="Q1141" i="2"/>
  <c r="P1141" i="2"/>
  <c r="O1141" i="2"/>
  <c r="N1141" i="2"/>
  <c r="M1141" i="2"/>
  <c r="J1141" i="2"/>
  <c r="K1141" i="2" s="1"/>
  <c r="L1141" i="2" s="1"/>
  <c r="I1141" i="2"/>
  <c r="H1141" i="2"/>
  <c r="U1140" i="2"/>
  <c r="T1140" i="2"/>
  <c r="Q1140" i="2"/>
  <c r="P1140" i="2"/>
  <c r="O1140" i="2"/>
  <c r="N1140" i="2"/>
  <c r="M1140" i="2"/>
  <c r="J1140" i="2"/>
  <c r="K1140" i="2" s="1"/>
  <c r="L1140" i="2" s="1"/>
  <c r="I1140" i="2"/>
  <c r="H1140" i="2"/>
  <c r="U1139" i="2"/>
  <c r="T1139" i="2"/>
  <c r="Q1139" i="2"/>
  <c r="P1139" i="2"/>
  <c r="O1139" i="2"/>
  <c r="N1139" i="2"/>
  <c r="M1139" i="2"/>
  <c r="J1139" i="2"/>
  <c r="K1139" i="2" s="1"/>
  <c r="L1139" i="2" s="1"/>
  <c r="I1139" i="2"/>
  <c r="H1139" i="2"/>
  <c r="U1138" i="2"/>
  <c r="T1138" i="2"/>
  <c r="Q1138" i="2"/>
  <c r="P1138" i="2"/>
  <c r="O1138" i="2"/>
  <c r="R1138" i="2" s="1"/>
  <c r="N1138" i="2"/>
  <c r="M1138" i="2"/>
  <c r="J1138" i="2"/>
  <c r="K1138" i="2" s="1"/>
  <c r="L1138" i="2" s="1"/>
  <c r="I1138" i="2"/>
  <c r="H1138" i="2"/>
  <c r="U1137" i="2"/>
  <c r="T1137" i="2"/>
  <c r="Q1137" i="2"/>
  <c r="P1137" i="2"/>
  <c r="O1137" i="2"/>
  <c r="N1137" i="2"/>
  <c r="M1137" i="2"/>
  <c r="J1137" i="2"/>
  <c r="K1137" i="2" s="1"/>
  <c r="L1137" i="2" s="1"/>
  <c r="I1137" i="2"/>
  <c r="H1137" i="2"/>
  <c r="U1136" i="2"/>
  <c r="T1136" i="2"/>
  <c r="Q1136" i="2"/>
  <c r="P1136" i="2"/>
  <c r="O1136" i="2"/>
  <c r="N1136" i="2"/>
  <c r="M1136" i="2"/>
  <c r="J1136" i="2"/>
  <c r="K1136" i="2" s="1"/>
  <c r="L1136" i="2" s="1"/>
  <c r="I1136" i="2"/>
  <c r="H1136" i="2"/>
  <c r="U1135" i="2"/>
  <c r="T1135" i="2"/>
  <c r="Q1135" i="2"/>
  <c r="P1135" i="2"/>
  <c r="O1135" i="2"/>
  <c r="R1135" i="2" s="1"/>
  <c r="N1135" i="2"/>
  <c r="M1135" i="2"/>
  <c r="J1135" i="2"/>
  <c r="K1135" i="2" s="1"/>
  <c r="L1135" i="2" s="1"/>
  <c r="I1135" i="2"/>
  <c r="H1135" i="2"/>
  <c r="U1134" i="2"/>
  <c r="T1134" i="2"/>
  <c r="Q1134" i="2"/>
  <c r="P1134" i="2"/>
  <c r="O1134" i="2"/>
  <c r="R1134" i="2" s="1"/>
  <c r="N1134" i="2"/>
  <c r="M1134" i="2"/>
  <c r="J1134" i="2"/>
  <c r="K1134" i="2" s="1"/>
  <c r="L1134" i="2" s="1"/>
  <c r="I1134" i="2"/>
  <c r="H1134" i="2"/>
  <c r="U1133" i="2"/>
  <c r="T1133" i="2"/>
  <c r="Q1133" i="2"/>
  <c r="P1133" i="2"/>
  <c r="O1133" i="2"/>
  <c r="R1133" i="2" s="1"/>
  <c r="N1133" i="2"/>
  <c r="M1133" i="2"/>
  <c r="J1133" i="2"/>
  <c r="K1133" i="2" s="1"/>
  <c r="L1133" i="2" s="1"/>
  <c r="I1133" i="2"/>
  <c r="H1133" i="2"/>
  <c r="U1132" i="2"/>
  <c r="T1132" i="2"/>
  <c r="Q1132" i="2"/>
  <c r="P1132" i="2"/>
  <c r="O1132" i="2"/>
  <c r="N1132" i="2"/>
  <c r="M1132" i="2"/>
  <c r="J1132" i="2"/>
  <c r="K1132" i="2" s="1"/>
  <c r="L1132" i="2" s="1"/>
  <c r="I1132" i="2"/>
  <c r="H1132" i="2"/>
  <c r="U1131" i="2"/>
  <c r="T1131" i="2"/>
  <c r="Q1131" i="2"/>
  <c r="P1131" i="2"/>
  <c r="O1131" i="2"/>
  <c r="N1131" i="2"/>
  <c r="M1131" i="2"/>
  <c r="J1131" i="2"/>
  <c r="K1131" i="2" s="1"/>
  <c r="L1131" i="2" s="1"/>
  <c r="I1131" i="2"/>
  <c r="H1131" i="2"/>
  <c r="U1130" i="2"/>
  <c r="T1130" i="2"/>
  <c r="Q1130" i="2"/>
  <c r="P1130" i="2"/>
  <c r="O1130" i="2"/>
  <c r="R1130" i="2" s="1"/>
  <c r="N1130" i="2"/>
  <c r="M1130" i="2"/>
  <c r="J1130" i="2"/>
  <c r="K1130" i="2" s="1"/>
  <c r="L1130" i="2" s="1"/>
  <c r="I1130" i="2"/>
  <c r="H1130" i="2"/>
  <c r="U1129" i="2"/>
  <c r="T1129" i="2"/>
  <c r="Q1129" i="2"/>
  <c r="P1129" i="2"/>
  <c r="O1129" i="2"/>
  <c r="R1129" i="2" s="1"/>
  <c r="N1129" i="2"/>
  <c r="M1129" i="2"/>
  <c r="J1129" i="2"/>
  <c r="K1129" i="2" s="1"/>
  <c r="L1129" i="2" s="1"/>
  <c r="I1129" i="2"/>
  <c r="H1129" i="2"/>
  <c r="U1128" i="2"/>
  <c r="T1128" i="2"/>
  <c r="Q1128" i="2"/>
  <c r="P1128" i="2"/>
  <c r="O1128" i="2"/>
  <c r="N1128" i="2"/>
  <c r="M1128" i="2"/>
  <c r="J1128" i="2"/>
  <c r="K1128" i="2" s="1"/>
  <c r="L1128" i="2" s="1"/>
  <c r="I1128" i="2"/>
  <c r="H1128" i="2"/>
  <c r="U1127" i="2"/>
  <c r="T1127" i="2"/>
  <c r="Q1127" i="2"/>
  <c r="P1127" i="2"/>
  <c r="O1127" i="2"/>
  <c r="N1127" i="2"/>
  <c r="M1127" i="2"/>
  <c r="J1127" i="2"/>
  <c r="K1127" i="2" s="1"/>
  <c r="L1127" i="2" s="1"/>
  <c r="I1127" i="2"/>
  <c r="H1127" i="2"/>
  <c r="U1126" i="2"/>
  <c r="T1126" i="2"/>
  <c r="Q1126" i="2"/>
  <c r="P1126" i="2"/>
  <c r="O1126" i="2"/>
  <c r="N1126" i="2"/>
  <c r="M1126" i="2"/>
  <c r="J1126" i="2"/>
  <c r="K1126" i="2" s="1"/>
  <c r="L1126" i="2" s="1"/>
  <c r="I1126" i="2"/>
  <c r="H1126" i="2"/>
  <c r="U1125" i="2"/>
  <c r="T1125" i="2"/>
  <c r="Q1125" i="2"/>
  <c r="P1125" i="2"/>
  <c r="O1125" i="2"/>
  <c r="R1125" i="2" s="1"/>
  <c r="N1125" i="2"/>
  <c r="M1125" i="2"/>
  <c r="J1125" i="2"/>
  <c r="K1125" i="2" s="1"/>
  <c r="L1125" i="2" s="1"/>
  <c r="I1125" i="2"/>
  <c r="H1125" i="2"/>
  <c r="U1124" i="2"/>
  <c r="T1124" i="2"/>
  <c r="Q1124" i="2"/>
  <c r="P1124" i="2"/>
  <c r="O1124" i="2"/>
  <c r="N1124" i="2"/>
  <c r="M1124" i="2"/>
  <c r="J1124" i="2"/>
  <c r="K1124" i="2" s="1"/>
  <c r="L1124" i="2" s="1"/>
  <c r="I1124" i="2"/>
  <c r="H1124" i="2"/>
  <c r="U1123" i="2"/>
  <c r="T1123" i="2"/>
  <c r="Q1123" i="2"/>
  <c r="P1123" i="2"/>
  <c r="O1123" i="2"/>
  <c r="R1123" i="2" s="1"/>
  <c r="N1123" i="2"/>
  <c r="M1123" i="2"/>
  <c r="J1123" i="2"/>
  <c r="K1123" i="2" s="1"/>
  <c r="L1123" i="2" s="1"/>
  <c r="I1123" i="2"/>
  <c r="H1123" i="2"/>
  <c r="U1122" i="2"/>
  <c r="T1122" i="2"/>
  <c r="Q1122" i="2"/>
  <c r="P1122" i="2"/>
  <c r="O1122" i="2"/>
  <c r="N1122" i="2"/>
  <c r="M1122" i="2"/>
  <c r="J1122" i="2"/>
  <c r="K1122" i="2" s="1"/>
  <c r="L1122" i="2" s="1"/>
  <c r="I1122" i="2"/>
  <c r="H1122" i="2"/>
  <c r="U1121" i="2"/>
  <c r="T1121" i="2"/>
  <c r="Q1121" i="2"/>
  <c r="P1121" i="2"/>
  <c r="O1121" i="2"/>
  <c r="R1121" i="2" s="1"/>
  <c r="N1121" i="2"/>
  <c r="M1121" i="2"/>
  <c r="J1121" i="2"/>
  <c r="K1121" i="2" s="1"/>
  <c r="L1121" i="2" s="1"/>
  <c r="I1121" i="2"/>
  <c r="H1121" i="2"/>
  <c r="U1120" i="2"/>
  <c r="T1120" i="2"/>
  <c r="Q1120" i="2"/>
  <c r="P1120" i="2"/>
  <c r="O1120" i="2"/>
  <c r="R1120" i="2" s="1"/>
  <c r="N1120" i="2"/>
  <c r="M1120" i="2"/>
  <c r="J1120" i="2"/>
  <c r="K1120" i="2" s="1"/>
  <c r="L1120" i="2" s="1"/>
  <c r="I1120" i="2"/>
  <c r="H1120" i="2"/>
  <c r="U1119" i="2"/>
  <c r="T1119" i="2"/>
  <c r="Q1119" i="2"/>
  <c r="P1119" i="2"/>
  <c r="O1119" i="2"/>
  <c r="R1119" i="2" s="1"/>
  <c r="N1119" i="2"/>
  <c r="M1119" i="2"/>
  <c r="J1119" i="2"/>
  <c r="K1119" i="2" s="1"/>
  <c r="L1119" i="2" s="1"/>
  <c r="I1119" i="2"/>
  <c r="H1119" i="2"/>
  <c r="U1118" i="2"/>
  <c r="T1118" i="2"/>
  <c r="Q1118" i="2"/>
  <c r="P1118" i="2"/>
  <c r="O1118" i="2"/>
  <c r="N1118" i="2"/>
  <c r="M1118" i="2"/>
  <c r="J1118" i="2"/>
  <c r="K1118" i="2" s="1"/>
  <c r="L1118" i="2" s="1"/>
  <c r="I1118" i="2"/>
  <c r="H1118" i="2"/>
  <c r="U1117" i="2"/>
  <c r="T1117" i="2"/>
  <c r="Q1117" i="2"/>
  <c r="P1117" i="2"/>
  <c r="O1117" i="2"/>
  <c r="N1117" i="2"/>
  <c r="M1117" i="2"/>
  <c r="J1117" i="2"/>
  <c r="K1117" i="2" s="1"/>
  <c r="L1117" i="2" s="1"/>
  <c r="I1117" i="2"/>
  <c r="H1117" i="2"/>
  <c r="U1116" i="2"/>
  <c r="T1116" i="2"/>
  <c r="Q1116" i="2"/>
  <c r="P1116" i="2"/>
  <c r="O1116" i="2"/>
  <c r="N1116" i="2"/>
  <c r="M1116" i="2"/>
  <c r="J1116" i="2"/>
  <c r="K1116" i="2" s="1"/>
  <c r="L1116" i="2" s="1"/>
  <c r="I1116" i="2"/>
  <c r="H1116" i="2"/>
  <c r="U1115" i="2"/>
  <c r="T1115" i="2"/>
  <c r="Q1115" i="2"/>
  <c r="P1115" i="2"/>
  <c r="O1115" i="2"/>
  <c r="R1115" i="2" s="1"/>
  <c r="N1115" i="2"/>
  <c r="M1115" i="2"/>
  <c r="J1115" i="2"/>
  <c r="K1115" i="2" s="1"/>
  <c r="L1115" i="2" s="1"/>
  <c r="I1115" i="2"/>
  <c r="H1115" i="2"/>
  <c r="U1114" i="2"/>
  <c r="T1114" i="2"/>
  <c r="Q1114" i="2"/>
  <c r="P1114" i="2"/>
  <c r="O1114" i="2"/>
  <c r="R1114" i="2" s="1"/>
  <c r="N1114" i="2"/>
  <c r="M1114" i="2"/>
  <c r="J1114" i="2"/>
  <c r="K1114" i="2" s="1"/>
  <c r="L1114" i="2" s="1"/>
  <c r="I1114" i="2"/>
  <c r="H1114" i="2"/>
  <c r="U1113" i="2"/>
  <c r="T1113" i="2"/>
  <c r="Q1113" i="2"/>
  <c r="P1113" i="2"/>
  <c r="O1113" i="2"/>
  <c r="N1113" i="2"/>
  <c r="M1113" i="2"/>
  <c r="J1113" i="2"/>
  <c r="K1113" i="2" s="1"/>
  <c r="L1113" i="2" s="1"/>
  <c r="I1113" i="2"/>
  <c r="H1113" i="2"/>
  <c r="U1112" i="2"/>
  <c r="T1112" i="2"/>
  <c r="Q1112" i="2"/>
  <c r="P1112" i="2"/>
  <c r="O1112" i="2"/>
  <c r="N1112" i="2"/>
  <c r="M1112" i="2"/>
  <c r="J1112" i="2"/>
  <c r="K1112" i="2" s="1"/>
  <c r="L1112" i="2" s="1"/>
  <c r="I1112" i="2"/>
  <c r="H1112" i="2"/>
  <c r="U1111" i="2"/>
  <c r="T1111" i="2"/>
  <c r="Q1111" i="2"/>
  <c r="P1111" i="2"/>
  <c r="O1111" i="2"/>
  <c r="N1111" i="2"/>
  <c r="M1111" i="2"/>
  <c r="J1111" i="2"/>
  <c r="K1111" i="2" s="1"/>
  <c r="L1111" i="2" s="1"/>
  <c r="I1111" i="2"/>
  <c r="H1111" i="2"/>
  <c r="U1110" i="2"/>
  <c r="T1110" i="2"/>
  <c r="Q1110" i="2"/>
  <c r="P1110" i="2"/>
  <c r="O1110" i="2"/>
  <c r="R1110" i="2" s="1"/>
  <c r="N1110" i="2"/>
  <c r="M1110" i="2"/>
  <c r="J1110" i="2"/>
  <c r="K1110" i="2" s="1"/>
  <c r="L1110" i="2" s="1"/>
  <c r="I1110" i="2"/>
  <c r="H1110" i="2"/>
  <c r="U1109" i="2"/>
  <c r="T1109" i="2"/>
  <c r="Q1109" i="2"/>
  <c r="P1109" i="2"/>
  <c r="O1109" i="2"/>
  <c r="N1109" i="2"/>
  <c r="M1109" i="2"/>
  <c r="J1109" i="2"/>
  <c r="K1109" i="2" s="1"/>
  <c r="L1109" i="2" s="1"/>
  <c r="I1109" i="2"/>
  <c r="H1109" i="2"/>
  <c r="U1108" i="2"/>
  <c r="T1108" i="2"/>
  <c r="Q1108" i="2"/>
  <c r="P1108" i="2"/>
  <c r="O1108" i="2"/>
  <c r="R1108" i="2" s="1"/>
  <c r="N1108" i="2"/>
  <c r="M1108" i="2"/>
  <c r="J1108" i="2"/>
  <c r="K1108" i="2" s="1"/>
  <c r="L1108" i="2" s="1"/>
  <c r="I1108" i="2"/>
  <c r="H1108" i="2"/>
  <c r="U1107" i="2"/>
  <c r="T1107" i="2"/>
  <c r="Q1107" i="2"/>
  <c r="P1107" i="2"/>
  <c r="O1107" i="2"/>
  <c r="R1107" i="2" s="1"/>
  <c r="N1107" i="2"/>
  <c r="M1107" i="2"/>
  <c r="J1107" i="2"/>
  <c r="K1107" i="2" s="1"/>
  <c r="L1107" i="2" s="1"/>
  <c r="I1107" i="2"/>
  <c r="H1107" i="2"/>
  <c r="U1106" i="2"/>
  <c r="T1106" i="2"/>
  <c r="Q1106" i="2"/>
  <c r="P1106" i="2"/>
  <c r="O1106" i="2"/>
  <c r="R1106" i="2" s="1"/>
  <c r="N1106" i="2"/>
  <c r="M1106" i="2"/>
  <c r="J1106" i="2"/>
  <c r="K1106" i="2" s="1"/>
  <c r="L1106" i="2" s="1"/>
  <c r="I1106" i="2"/>
  <c r="H1106" i="2"/>
  <c r="U1105" i="2"/>
  <c r="T1105" i="2"/>
  <c r="Q1105" i="2"/>
  <c r="P1105" i="2"/>
  <c r="O1105" i="2"/>
  <c r="N1105" i="2"/>
  <c r="M1105" i="2"/>
  <c r="J1105" i="2"/>
  <c r="K1105" i="2" s="1"/>
  <c r="L1105" i="2" s="1"/>
  <c r="I1105" i="2"/>
  <c r="H1105" i="2"/>
  <c r="U1104" i="2"/>
  <c r="T1104" i="2"/>
  <c r="Q1104" i="2"/>
  <c r="P1104" i="2"/>
  <c r="O1104" i="2"/>
  <c r="R1104" i="2" s="1"/>
  <c r="N1104" i="2"/>
  <c r="M1104" i="2"/>
  <c r="J1104" i="2"/>
  <c r="K1104" i="2" s="1"/>
  <c r="L1104" i="2" s="1"/>
  <c r="I1104" i="2"/>
  <c r="H1104" i="2"/>
  <c r="U1103" i="2"/>
  <c r="T1103" i="2"/>
  <c r="Q1103" i="2"/>
  <c r="P1103" i="2"/>
  <c r="O1103" i="2"/>
  <c r="R1103" i="2" s="1"/>
  <c r="N1103" i="2"/>
  <c r="M1103" i="2"/>
  <c r="J1103" i="2"/>
  <c r="K1103" i="2" s="1"/>
  <c r="L1103" i="2" s="1"/>
  <c r="I1103" i="2"/>
  <c r="H1103" i="2"/>
  <c r="U1102" i="2"/>
  <c r="T1102" i="2"/>
  <c r="Q1102" i="2"/>
  <c r="P1102" i="2"/>
  <c r="O1102" i="2"/>
  <c r="R1102" i="2" s="1"/>
  <c r="N1102" i="2"/>
  <c r="M1102" i="2"/>
  <c r="J1102" i="2"/>
  <c r="K1102" i="2" s="1"/>
  <c r="L1102" i="2" s="1"/>
  <c r="I1102" i="2"/>
  <c r="H1102" i="2"/>
  <c r="U1101" i="2"/>
  <c r="T1101" i="2"/>
  <c r="Q1101" i="2"/>
  <c r="P1101" i="2"/>
  <c r="O1101" i="2"/>
  <c r="N1101" i="2"/>
  <c r="M1101" i="2"/>
  <c r="J1101" i="2"/>
  <c r="K1101" i="2" s="1"/>
  <c r="L1101" i="2" s="1"/>
  <c r="I1101" i="2"/>
  <c r="H1101" i="2"/>
  <c r="U1100" i="2"/>
  <c r="T1100" i="2"/>
  <c r="Q1100" i="2"/>
  <c r="P1100" i="2"/>
  <c r="O1100" i="2"/>
  <c r="R1100" i="2" s="1"/>
  <c r="N1100" i="2"/>
  <c r="M1100" i="2"/>
  <c r="J1100" i="2"/>
  <c r="K1100" i="2" s="1"/>
  <c r="L1100" i="2" s="1"/>
  <c r="I1100" i="2"/>
  <c r="H1100" i="2"/>
  <c r="U1099" i="2"/>
  <c r="T1099" i="2"/>
  <c r="Q1099" i="2"/>
  <c r="P1099" i="2"/>
  <c r="O1099" i="2"/>
  <c r="N1099" i="2"/>
  <c r="M1099" i="2"/>
  <c r="J1099" i="2"/>
  <c r="K1099" i="2" s="1"/>
  <c r="L1099" i="2" s="1"/>
  <c r="I1099" i="2"/>
  <c r="H1099" i="2"/>
  <c r="U1098" i="2"/>
  <c r="T1098" i="2"/>
  <c r="Q1098" i="2"/>
  <c r="P1098" i="2"/>
  <c r="O1098" i="2"/>
  <c r="R1098" i="2" s="1"/>
  <c r="N1098" i="2"/>
  <c r="M1098" i="2"/>
  <c r="J1098" i="2"/>
  <c r="K1098" i="2" s="1"/>
  <c r="L1098" i="2" s="1"/>
  <c r="I1098" i="2"/>
  <c r="H1098" i="2"/>
  <c r="U1097" i="2"/>
  <c r="T1097" i="2"/>
  <c r="Q1097" i="2"/>
  <c r="P1097" i="2"/>
  <c r="O1097" i="2"/>
  <c r="N1097" i="2"/>
  <c r="M1097" i="2"/>
  <c r="J1097" i="2"/>
  <c r="K1097" i="2" s="1"/>
  <c r="L1097" i="2" s="1"/>
  <c r="I1097" i="2"/>
  <c r="H1097" i="2"/>
  <c r="U1096" i="2"/>
  <c r="T1096" i="2"/>
  <c r="Q1096" i="2"/>
  <c r="P1096" i="2"/>
  <c r="O1096" i="2"/>
  <c r="N1096" i="2"/>
  <c r="M1096" i="2"/>
  <c r="J1096" i="2"/>
  <c r="K1096" i="2" s="1"/>
  <c r="L1096" i="2" s="1"/>
  <c r="I1096" i="2"/>
  <c r="H1096" i="2"/>
  <c r="U1095" i="2"/>
  <c r="T1095" i="2"/>
  <c r="Q1095" i="2"/>
  <c r="P1095" i="2"/>
  <c r="O1095" i="2"/>
  <c r="R1095" i="2" s="1"/>
  <c r="N1095" i="2"/>
  <c r="M1095" i="2"/>
  <c r="J1095" i="2"/>
  <c r="K1095" i="2" s="1"/>
  <c r="L1095" i="2" s="1"/>
  <c r="I1095" i="2"/>
  <c r="H1095" i="2"/>
  <c r="U1094" i="2"/>
  <c r="T1094" i="2"/>
  <c r="Q1094" i="2"/>
  <c r="P1094" i="2"/>
  <c r="O1094" i="2"/>
  <c r="R1094" i="2" s="1"/>
  <c r="N1094" i="2"/>
  <c r="M1094" i="2"/>
  <c r="J1094" i="2"/>
  <c r="K1094" i="2" s="1"/>
  <c r="L1094" i="2" s="1"/>
  <c r="I1094" i="2"/>
  <c r="H1094" i="2"/>
  <c r="U1093" i="2"/>
  <c r="T1093" i="2"/>
  <c r="Q1093" i="2"/>
  <c r="P1093" i="2"/>
  <c r="O1093" i="2"/>
  <c r="N1093" i="2"/>
  <c r="M1093" i="2"/>
  <c r="J1093" i="2"/>
  <c r="K1093" i="2" s="1"/>
  <c r="L1093" i="2" s="1"/>
  <c r="I1093" i="2"/>
  <c r="H1093" i="2"/>
  <c r="U1092" i="2"/>
  <c r="T1092" i="2"/>
  <c r="Q1092" i="2"/>
  <c r="P1092" i="2"/>
  <c r="O1092" i="2"/>
  <c r="N1092" i="2"/>
  <c r="M1092" i="2"/>
  <c r="J1092" i="2"/>
  <c r="K1092" i="2" s="1"/>
  <c r="L1092" i="2" s="1"/>
  <c r="I1092" i="2"/>
  <c r="H1092" i="2"/>
  <c r="U1091" i="2"/>
  <c r="T1091" i="2"/>
  <c r="Q1091" i="2"/>
  <c r="P1091" i="2"/>
  <c r="O1091" i="2"/>
  <c r="N1091" i="2"/>
  <c r="M1091" i="2"/>
  <c r="J1091" i="2"/>
  <c r="K1091" i="2" s="1"/>
  <c r="L1091" i="2" s="1"/>
  <c r="I1091" i="2"/>
  <c r="H1091" i="2"/>
  <c r="U1090" i="2"/>
  <c r="T1090" i="2"/>
  <c r="Q1090" i="2"/>
  <c r="P1090" i="2"/>
  <c r="O1090" i="2"/>
  <c r="N1090" i="2"/>
  <c r="M1090" i="2"/>
  <c r="J1090" i="2"/>
  <c r="K1090" i="2" s="1"/>
  <c r="L1090" i="2" s="1"/>
  <c r="I1090" i="2"/>
  <c r="H1090" i="2"/>
  <c r="U1089" i="2"/>
  <c r="T1089" i="2"/>
  <c r="Q1089" i="2"/>
  <c r="P1089" i="2"/>
  <c r="O1089" i="2"/>
  <c r="N1089" i="2"/>
  <c r="M1089" i="2"/>
  <c r="J1089" i="2"/>
  <c r="K1089" i="2" s="1"/>
  <c r="L1089" i="2" s="1"/>
  <c r="I1089" i="2"/>
  <c r="H1089" i="2"/>
  <c r="U1088" i="2"/>
  <c r="T1088" i="2"/>
  <c r="Q1088" i="2"/>
  <c r="P1088" i="2"/>
  <c r="O1088" i="2"/>
  <c r="N1088" i="2"/>
  <c r="M1088" i="2"/>
  <c r="J1088" i="2"/>
  <c r="K1088" i="2" s="1"/>
  <c r="L1088" i="2" s="1"/>
  <c r="I1088" i="2"/>
  <c r="H1088" i="2"/>
  <c r="U1087" i="2"/>
  <c r="T1087" i="2"/>
  <c r="Q1087" i="2"/>
  <c r="P1087" i="2"/>
  <c r="O1087" i="2"/>
  <c r="N1087" i="2"/>
  <c r="M1087" i="2"/>
  <c r="J1087" i="2"/>
  <c r="K1087" i="2" s="1"/>
  <c r="L1087" i="2" s="1"/>
  <c r="I1087" i="2"/>
  <c r="H1087" i="2"/>
  <c r="U1086" i="2"/>
  <c r="T1086" i="2"/>
  <c r="Q1086" i="2"/>
  <c r="P1086" i="2"/>
  <c r="O1086" i="2"/>
  <c r="R1086" i="2" s="1"/>
  <c r="N1086" i="2"/>
  <c r="M1086" i="2"/>
  <c r="J1086" i="2"/>
  <c r="K1086" i="2" s="1"/>
  <c r="L1086" i="2" s="1"/>
  <c r="I1086" i="2"/>
  <c r="H1086" i="2"/>
  <c r="U1085" i="2"/>
  <c r="T1085" i="2"/>
  <c r="Q1085" i="2"/>
  <c r="P1085" i="2"/>
  <c r="O1085" i="2"/>
  <c r="N1085" i="2"/>
  <c r="M1085" i="2"/>
  <c r="J1085" i="2"/>
  <c r="K1085" i="2" s="1"/>
  <c r="L1085" i="2" s="1"/>
  <c r="I1085" i="2"/>
  <c r="H1085" i="2"/>
  <c r="U1084" i="2"/>
  <c r="T1084" i="2"/>
  <c r="Q1084" i="2"/>
  <c r="P1084" i="2"/>
  <c r="O1084" i="2"/>
  <c r="R1084" i="2" s="1"/>
  <c r="N1084" i="2"/>
  <c r="M1084" i="2"/>
  <c r="J1084" i="2"/>
  <c r="K1084" i="2" s="1"/>
  <c r="L1084" i="2" s="1"/>
  <c r="I1084" i="2"/>
  <c r="H1084" i="2"/>
  <c r="U1083" i="2"/>
  <c r="T1083" i="2"/>
  <c r="Q1083" i="2"/>
  <c r="P1083" i="2"/>
  <c r="O1083" i="2"/>
  <c r="N1083" i="2"/>
  <c r="M1083" i="2"/>
  <c r="J1083" i="2"/>
  <c r="K1083" i="2" s="1"/>
  <c r="L1083" i="2" s="1"/>
  <c r="I1083" i="2"/>
  <c r="H1083" i="2"/>
  <c r="U1082" i="2"/>
  <c r="T1082" i="2"/>
  <c r="Q1082" i="2"/>
  <c r="P1082" i="2"/>
  <c r="O1082" i="2"/>
  <c r="R1082" i="2" s="1"/>
  <c r="N1082" i="2"/>
  <c r="M1082" i="2"/>
  <c r="J1082" i="2"/>
  <c r="K1082" i="2" s="1"/>
  <c r="L1082" i="2" s="1"/>
  <c r="I1082" i="2"/>
  <c r="H1082" i="2"/>
  <c r="U1081" i="2"/>
  <c r="T1081" i="2"/>
  <c r="V1081" i="2" s="1"/>
  <c r="Q1081" i="2"/>
  <c r="P1081" i="2"/>
  <c r="O1081" i="2"/>
  <c r="N1081" i="2"/>
  <c r="M1081" i="2"/>
  <c r="J1081" i="2"/>
  <c r="K1081" i="2" s="1"/>
  <c r="L1081" i="2" s="1"/>
  <c r="I1081" i="2"/>
  <c r="H1081" i="2"/>
  <c r="U1080" i="2"/>
  <c r="T1080" i="2"/>
  <c r="Q1080" i="2"/>
  <c r="P1080" i="2"/>
  <c r="O1080" i="2"/>
  <c r="N1080" i="2"/>
  <c r="M1080" i="2"/>
  <c r="J1080" i="2"/>
  <c r="K1080" i="2" s="1"/>
  <c r="L1080" i="2" s="1"/>
  <c r="I1080" i="2"/>
  <c r="H1080" i="2"/>
  <c r="U1079" i="2"/>
  <c r="T1079" i="2"/>
  <c r="Q1079" i="2"/>
  <c r="P1079" i="2"/>
  <c r="O1079" i="2"/>
  <c r="N1079" i="2"/>
  <c r="M1079" i="2"/>
  <c r="J1079" i="2"/>
  <c r="K1079" i="2" s="1"/>
  <c r="L1079" i="2" s="1"/>
  <c r="I1079" i="2"/>
  <c r="H1079" i="2"/>
  <c r="U1078" i="2"/>
  <c r="T1078" i="2"/>
  <c r="Q1078" i="2"/>
  <c r="P1078" i="2"/>
  <c r="O1078" i="2"/>
  <c r="R1078" i="2" s="1"/>
  <c r="N1078" i="2"/>
  <c r="M1078" i="2"/>
  <c r="J1078" i="2"/>
  <c r="K1078" i="2" s="1"/>
  <c r="L1078" i="2" s="1"/>
  <c r="I1078" i="2"/>
  <c r="H1078" i="2"/>
  <c r="U1077" i="2"/>
  <c r="T1077" i="2"/>
  <c r="Q1077" i="2"/>
  <c r="P1077" i="2"/>
  <c r="O1077" i="2"/>
  <c r="N1077" i="2"/>
  <c r="M1077" i="2"/>
  <c r="J1077" i="2"/>
  <c r="K1077" i="2" s="1"/>
  <c r="L1077" i="2" s="1"/>
  <c r="I1077" i="2"/>
  <c r="H1077" i="2"/>
  <c r="U1076" i="2"/>
  <c r="T1076" i="2"/>
  <c r="Q1076" i="2"/>
  <c r="P1076" i="2"/>
  <c r="O1076" i="2"/>
  <c r="R1076" i="2" s="1"/>
  <c r="N1076" i="2"/>
  <c r="M1076" i="2"/>
  <c r="J1076" i="2"/>
  <c r="K1076" i="2" s="1"/>
  <c r="L1076" i="2" s="1"/>
  <c r="I1076" i="2"/>
  <c r="H1076" i="2"/>
  <c r="U1075" i="2"/>
  <c r="T1075" i="2"/>
  <c r="Q1075" i="2"/>
  <c r="P1075" i="2"/>
  <c r="O1075" i="2"/>
  <c r="R1075" i="2" s="1"/>
  <c r="N1075" i="2"/>
  <c r="M1075" i="2"/>
  <c r="J1075" i="2"/>
  <c r="K1075" i="2" s="1"/>
  <c r="L1075" i="2" s="1"/>
  <c r="I1075" i="2"/>
  <c r="H1075" i="2"/>
  <c r="U1074" i="2"/>
  <c r="T1074" i="2"/>
  <c r="Q1074" i="2"/>
  <c r="P1074" i="2"/>
  <c r="O1074" i="2"/>
  <c r="N1074" i="2"/>
  <c r="M1074" i="2"/>
  <c r="J1074" i="2"/>
  <c r="K1074" i="2" s="1"/>
  <c r="L1074" i="2" s="1"/>
  <c r="I1074" i="2"/>
  <c r="H1074" i="2"/>
  <c r="U1073" i="2"/>
  <c r="T1073" i="2"/>
  <c r="Q1073" i="2"/>
  <c r="P1073" i="2"/>
  <c r="O1073" i="2"/>
  <c r="N1073" i="2"/>
  <c r="M1073" i="2"/>
  <c r="J1073" i="2"/>
  <c r="K1073" i="2" s="1"/>
  <c r="L1073" i="2" s="1"/>
  <c r="I1073" i="2"/>
  <c r="H1073" i="2"/>
  <c r="U1072" i="2"/>
  <c r="T1072" i="2"/>
  <c r="Q1072" i="2"/>
  <c r="P1072" i="2"/>
  <c r="O1072" i="2"/>
  <c r="N1072" i="2"/>
  <c r="M1072" i="2"/>
  <c r="J1072" i="2"/>
  <c r="K1072" i="2" s="1"/>
  <c r="L1072" i="2" s="1"/>
  <c r="I1072" i="2"/>
  <c r="H1072" i="2"/>
  <c r="U1071" i="2"/>
  <c r="T1071" i="2"/>
  <c r="Q1071" i="2"/>
  <c r="P1071" i="2"/>
  <c r="O1071" i="2"/>
  <c r="N1071" i="2"/>
  <c r="M1071" i="2"/>
  <c r="J1071" i="2"/>
  <c r="K1071" i="2" s="1"/>
  <c r="L1071" i="2" s="1"/>
  <c r="I1071" i="2"/>
  <c r="H1071" i="2"/>
  <c r="U1070" i="2"/>
  <c r="T1070" i="2"/>
  <c r="Q1070" i="2"/>
  <c r="P1070" i="2"/>
  <c r="O1070" i="2"/>
  <c r="R1070" i="2" s="1"/>
  <c r="N1070" i="2"/>
  <c r="M1070" i="2"/>
  <c r="J1070" i="2"/>
  <c r="K1070" i="2" s="1"/>
  <c r="L1070" i="2" s="1"/>
  <c r="I1070" i="2"/>
  <c r="H1070" i="2"/>
  <c r="U1069" i="2"/>
  <c r="T1069" i="2"/>
  <c r="Q1069" i="2"/>
  <c r="P1069" i="2"/>
  <c r="O1069" i="2"/>
  <c r="N1069" i="2"/>
  <c r="M1069" i="2"/>
  <c r="J1069" i="2"/>
  <c r="K1069" i="2" s="1"/>
  <c r="L1069" i="2" s="1"/>
  <c r="I1069" i="2"/>
  <c r="H1069" i="2"/>
  <c r="U1068" i="2"/>
  <c r="T1068" i="2"/>
  <c r="Q1068" i="2"/>
  <c r="P1068" i="2"/>
  <c r="O1068" i="2"/>
  <c r="N1068" i="2"/>
  <c r="M1068" i="2"/>
  <c r="J1068" i="2"/>
  <c r="K1068" i="2" s="1"/>
  <c r="L1068" i="2" s="1"/>
  <c r="I1068" i="2"/>
  <c r="H1068" i="2"/>
  <c r="U1067" i="2"/>
  <c r="T1067" i="2"/>
  <c r="Q1067" i="2"/>
  <c r="P1067" i="2"/>
  <c r="O1067" i="2"/>
  <c r="R1067" i="2" s="1"/>
  <c r="N1067" i="2"/>
  <c r="M1067" i="2"/>
  <c r="J1067" i="2"/>
  <c r="K1067" i="2" s="1"/>
  <c r="L1067" i="2" s="1"/>
  <c r="I1067" i="2"/>
  <c r="H1067" i="2"/>
  <c r="U1066" i="2"/>
  <c r="T1066" i="2"/>
  <c r="Q1066" i="2"/>
  <c r="P1066" i="2"/>
  <c r="O1066" i="2"/>
  <c r="R1066" i="2" s="1"/>
  <c r="N1066" i="2"/>
  <c r="M1066" i="2"/>
  <c r="J1066" i="2"/>
  <c r="K1066" i="2" s="1"/>
  <c r="L1066" i="2" s="1"/>
  <c r="I1066" i="2"/>
  <c r="H1066" i="2"/>
  <c r="U1065" i="2"/>
  <c r="T1065" i="2"/>
  <c r="Q1065" i="2"/>
  <c r="P1065" i="2"/>
  <c r="O1065" i="2"/>
  <c r="N1065" i="2"/>
  <c r="M1065" i="2"/>
  <c r="J1065" i="2"/>
  <c r="K1065" i="2" s="1"/>
  <c r="L1065" i="2" s="1"/>
  <c r="I1065" i="2"/>
  <c r="H1065" i="2"/>
  <c r="U1064" i="2"/>
  <c r="T1064" i="2"/>
  <c r="Q1064" i="2"/>
  <c r="P1064" i="2"/>
  <c r="O1064" i="2"/>
  <c r="N1064" i="2"/>
  <c r="M1064" i="2"/>
  <c r="J1064" i="2"/>
  <c r="K1064" i="2" s="1"/>
  <c r="L1064" i="2" s="1"/>
  <c r="I1064" i="2"/>
  <c r="H1064" i="2"/>
  <c r="U1063" i="2"/>
  <c r="T1063" i="2"/>
  <c r="Q1063" i="2"/>
  <c r="P1063" i="2"/>
  <c r="O1063" i="2"/>
  <c r="N1063" i="2"/>
  <c r="M1063" i="2"/>
  <c r="J1063" i="2"/>
  <c r="K1063" i="2" s="1"/>
  <c r="L1063" i="2" s="1"/>
  <c r="I1063" i="2"/>
  <c r="H1063" i="2"/>
  <c r="U1062" i="2"/>
  <c r="T1062" i="2"/>
  <c r="Q1062" i="2"/>
  <c r="P1062" i="2"/>
  <c r="O1062" i="2"/>
  <c r="R1062" i="2" s="1"/>
  <c r="N1062" i="2"/>
  <c r="M1062" i="2"/>
  <c r="J1062" i="2"/>
  <c r="K1062" i="2" s="1"/>
  <c r="L1062" i="2" s="1"/>
  <c r="I1062" i="2"/>
  <c r="H1062" i="2"/>
  <c r="U1061" i="2"/>
  <c r="T1061" i="2"/>
  <c r="Q1061" i="2"/>
  <c r="P1061" i="2"/>
  <c r="O1061" i="2"/>
  <c r="N1061" i="2"/>
  <c r="M1061" i="2"/>
  <c r="J1061" i="2"/>
  <c r="K1061" i="2" s="1"/>
  <c r="L1061" i="2" s="1"/>
  <c r="I1061" i="2"/>
  <c r="H1061" i="2"/>
  <c r="U1060" i="2"/>
  <c r="T1060" i="2"/>
  <c r="Q1060" i="2"/>
  <c r="P1060" i="2"/>
  <c r="O1060" i="2"/>
  <c r="R1060" i="2" s="1"/>
  <c r="N1060" i="2"/>
  <c r="M1060" i="2"/>
  <c r="J1060" i="2"/>
  <c r="K1060" i="2" s="1"/>
  <c r="L1060" i="2" s="1"/>
  <c r="I1060" i="2"/>
  <c r="H1060" i="2"/>
  <c r="U1059" i="2"/>
  <c r="T1059" i="2"/>
  <c r="Q1059" i="2"/>
  <c r="P1059" i="2"/>
  <c r="O1059" i="2"/>
  <c r="N1059" i="2"/>
  <c r="M1059" i="2"/>
  <c r="J1059" i="2"/>
  <c r="K1059" i="2" s="1"/>
  <c r="L1059" i="2" s="1"/>
  <c r="I1059" i="2"/>
  <c r="H1059" i="2"/>
  <c r="U1058" i="2"/>
  <c r="T1058" i="2"/>
  <c r="Q1058" i="2"/>
  <c r="P1058" i="2"/>
  <c r="O1058" i="2"/>
  <c r="R1058" i="2" s="1"/>
  <c r="N1058" i="2"/>
  <c r="M1058" i="2"/>
  <c r="J1058" i="2"/>
  <c r="K1058" i="2" s="1"/>
  <c r="L1058" i="2" s="1"/>
  <c r="I1058" i="2"/>
  <c r="H1058" i="2"/>
  <c r="U1057" i="2"/>
  <c r="T1057" i="2"/>
  <c r="Q1057" i="2"/>
  <c r="P1057" i="2"/>
  <c r="O1057" i="2"/>
  <c r="N1057" i="2"/>
  <c r="M1057" i="2"/>
  <c r="J1057" i="2"/>
  <c r="K1057" i="2" s="1"/>
  <c r="L1057" i="2" s="1"/>
  <c r="I1057" i="2"/>
  <c r="H1057" i="2"/>
  <c r="U1056" i="2"/>
  <c r="T1056" i="2"/>
  <c r="Q1056" i="2"/>
  <c r="P1056" i="2"/>
  <c r="O1056" i="2"/>
  <c r="R1056" i="2" s="1"/>
  <c r="N1056" i="2"/>
  <c r="M1056" i="2"/>
  <c r="J1056" i="2"/>
  <c r="K1056" i="2" s="1"/>
  <c r="L1056" i="2" s="1"/>
  <c r="I1056" i="2"/>
  <c r="H1056" i="2"/>
  <c r="U1055" i="2"/>
  <c r="T1055" i="2"/>
  <c r="Q1055" i="2"/>
  <c r="P1055" i="2"/>
  <c r="O1055" i="2"/>
  <c r="R1055" i="2" s="1"/>
  <c r="N1055" i="2"/>
  <c r="M1055" i="2"/>
  <c r="J1055" i="2"/>
  <c r="K1055" i="2" s="1"/>
  <c r="L1055" i="2" s="1"/>
  <c r="I1055" i="2"/>
  <c r="H1055" i="2"/>
  <c r="U1054" i="2"/>
  <c r="T1054" i="2"/>
  <c r="Q1054" i="2"/>
  <c r="P1054" i="2"/>
  <c r="O1054" i="2"/>
  <c r="R1054" i="2" s="1"/>
  <c r="N1054" i="2"/>
  <c r="M1054" i="2"/>
  <c r="J1054" i="2"/>
  <c r="K1054" i="2" s="1"/>
  <c r="L1054" i="2" s="1"/>
  <c r="I1054" i="2"/>
  <c r="H1054" i="2"/>
  <c r="U1053" i="2"/>
  <c r="T1053" i="2"/>
  <c r="Q1053" i="2"/>
  <c r="P1053" i="2"/>
  <c r="O1053" i="2"/>
  <c r="N1053" i="2"/>
  <c r="M1053" i="2"/>
  <c r="J1053" i="2"/>
  <c r="K1053" i="2" s="1"/>
  <c r="L1053" i="2" s="1"/>
  <c r="I1053" i="2"/>
  <c r="H1053" i="2"/>
  <c r="U1052" i="2"/>
  <c r="T1052" i="2"/>
  <c r="Q1052" i="2"/>
  <c r="P1052" i="2"/>
  <c r="O1052" i="2"/>
  <c r="R1052" i="2" s="1"/>
  <c r="N1052" i="2"/>
  <c r="M1052" i="2"/>
  <c r="J1052" i="2"/>
  <c r="K1052" i="2" s="1"/>
  <c r="L1052" i="2" s="1"/>
  <c r="I1052" i="2"/>
  <c r="H1052" i="2"/>
  <c r="U1051" i="2"/>
  <c r="T1051" i="2"/>
  <c r="Q1051" i="2"/>
  <c r="P1051" i="2"/>
  <c r="O1051" i="2"/>
  <c r="R1051" i="2" s="1"/>
  <c r="N1051" i="2"/>
  <c r="M1051" i="2"/>
  <c r="J1051" i="2"/>
  <c r="K1051" i="2" s="1"/>
  <c r="L1051" i="2" s="1"/>
  <c r="I1051" i="2"/>
  <c r="H1051" i="2"/>
  <c r="U1050" i="2"/>
  <c r="T1050" i="2"/>
  <c r="Q1050" i="2"/>
  <c r="P1050" i="2"/>
  <c r="O1050" i="2"/>
  <c r="R1050" i="2" s="1"/>
  <c r="N1050" i="2"/>
  <c r="M1050" i="2"/>
  <c r="J1050" i="2"/>
  <c r="K1050" i="2" s="1"/>
  <c r="L1050" i="2" s="1"/>
  <c r="I1050" i="2"/>
  <c r="H1050" i="2"/>
  <c r="U1049" i="2"/>
  <c r="T1049" i="2"/>
  <c r="Q1049" i="2"/>
  <c r="P1049" i="2"/>
  <c r="O1049" i="2"/>
  <c r="N1049" i="2"/>
  <c r="M1049" i="2"/>
  <c r="J1049" i="2"/>
  <c r="K1049" i="2" s="1"/>
  <c r="L1049" i="2" s="1"/>
  <c r="I1049" i="2"/>
  <c r="H1049" i="2"/>
  <c r="F1049" i="2"/>
  <c r="U1048" i="2"/>
  <c r="T1048" i="2"/>
  <c r="Q1048" i="2"/>
  <c r="P1048" i="2"/>
  <c r="O1048" i="2"/>
  <c r="R1048" i="2" s="1"/>
  <c r="N1048" i="2"/>
  <c r="M1048" i="2"/>
  <c r="J1048" i="2"/>
  <c r="I1048" i="2"/>
  <c r="H1048" i="2"/>
  <c r="F1048" i="2"/>
  <c r="U1047" i="2"/>
  <c r="T1047" i="2"/>
  <c r="Q1047" i="2"/>
  <c r="P1047" i="2"/>
  <c r="O1047" i="2"/>
  <c r="R1047" i="2" s="1"/>
  <c r="N1047" i="2"/>
  <c r="M1047" i="2"/>
  <c r="J1047" i="2"/>
  <c r="I1047" i="2"/>
  <c r="H1047" i="2"/>
  <c r="F1047" i="2"/>
  <c r="U1046" i="2"/>
  <c r="T1046" i="2"/>
  <c r="Q1046" i="2"/>
  <c r="P1046" i="2"/>
  <c r="O1046" i="2"/>
  <c r="N1046" i="2"/>
  <c r="M1046" i="2"/>
  <c r="J1046" i="2"/>
  <c r="K1046" i="2" s="1"/>
  <c r="L1046" i="2" s="1"/>
  <c r="I1046" i="2"/>
  <c r="H1046" i="2"/>
  <c r="F1046" i="2"/>
  <c r="U1045" i="2"/>
  <c r="T1045" i="2"/>
  <c r="Q1045" i="2"/>
  <c r="P1045" i="2"/>
  <c r="O1045" i="2"/>
  <c r="R1045" i="2" s="1"/>
  <c r="N1045" i="2"/>
  <c r="M1045" i="2"/>
  <c r="J1045" i="2"/>
  <c r="K1045" i="2" s="1"/>
  <c r="L1045" i="2" s="1"/>
  <c r="I1045" i="2"/>
  <c r="H1045" i="2"/>
  <c r="U1044" i="2"/>
  <c r="T1044" i="2"/>
  <c r="Q1044" i="2"/>
  <c r="P1044" i="2"/>
  <c r="O1044" i="2"/>
  <c r="R1044" i="2" s="1"/>
  <c r="N1044" i="2"/>
  <c r="M1044" i="2"/>
  <c r="J1044" i="2"/>
  <c r="K1044" i="2" s="1"/>
  <c r="L1044" i="2" s="1"/>
  <c r="I1044" i="2"/>
  <c r="H1044" i="2"/>
  <c r="U1043" i="2"/>
  <c r="T1043" i="2"/>
  <c r="Q1043" i="2"/>
  <c r="P1043" i="2"/>
  <c r="O1043" i="2"/>
  <c r="N1043" i="2"/>
  <c r="M1043" i="2"/>
  <c r="J1043" i="2"/>
  <c r="K1043" i="2" s="1"/>
  <c r="L1043" i="2" s="1"/>
  <c r="I1043" i="2"/>
  <c r="H1043" i="2"/>
  <c r="F1043" i="2"/>
  <c r="U1042" i="2"/>
  <c r="T1042" i="2"/>
  <c r="Q1042" i="2"/>
  <c r="P1042" i="2"/>
  <c r="O1042" i="2"/>
  <c r="N1042" i="2"/>
  <c r="M1042" i="2"/>
  <c r="J1042" i="2"/>
  <c r="K1042" i="2" s="1"/>
  <c r="L1042" i="2" s="1"/>
  <c r="I1042" i="2"/>
  <c r="H1042" i="2"/>
  <c r="F1042" i="2"/>
  <c r="U1041" i="2"/>
  <c r="T1041" i="2"/>
  <c r="Q1041" i="2"/>
  <c r="P1041" i="2"/>
  <c r="O1041" i="2"/>
  <c r="R1041" i="2" s="1"/>
  <c r="N1041" i="2"/>
  <c r="M1041" i="2"/>
  <c r="J1041" i="2"/>
  <c r="I1041" i="2"/>
  <c r="H1041" i="2"/>
  <c r="F1041" i="2"/>
  <c r="U1040" i="2"/>
  <c r="T1040" i="2"/>
  <c r="Q1040" i="2"/>
  <c r="P1040" i="2"/>
  <c r="O1040" i="2"/>
  <c r="R1040" i="2" s="1"/>
  <c r="N1040" i="2"/>
  <c r="M1040" i="2"/>
  <c r="J1040" i="2"/>
  <c r="K1040" i="2" s="1"/>
  <c r="L1040" i="2" s="1"/>
  <c r="I1040" i="2"/>
  <c r="H1040" i="2"/>
  <c r="F1040" i="2"/>
  <c r="U1039" i="2"/>
  <c r="T1039" i="2"/>
  <c r="Q1039" i="2"/>
  <c r="P1039" i="2"/>
  <c r="O1039" i="2"/>
  <c r="N1039" i="2"/>
  <c r="M1039" i="2"/>
  <c r="J1039" i="2"/>
  <c r="K1039" i="2" s="1"/>
  <c r="L1039" i="2" s="1"/>
  <c r="I1039" i="2"/>
  <c r="H1039" i="2"/>
  <c r="F1039" i="2"/>
  <c r="U1038" i="2"/>
  <c r="T1038" i="2"/>
  <c r="Q1038" i="2"/>
  <c r="P1038" i="2"/>
  <c r="O1038" i="2"/>
  <c r="R1038" i="2" s="1"/>
  <c r="N1038" i="2"/>
  <c r="M1038" i="2"/>
  <c r="J1038" i="2"/>
  <c r="K1038" i="2" s="1"/>
  <c r="L1038" i="2" s="1"/>
  <c r="I1038" i="2"/>
  <c r="H1038" i="2"/>
  <c r="F1038" i="2"/>
  <c r="U1037" i="2"/>
  <c r="T1037" i="2"/>
  <c r="Q1037" i="2"/>
  <c r="P1037" i="2"/>
  <c r="O1037" i="2"/>
  <c r="R1037" i="2" s="1"/>
  <c r="N1037" i="2"/>
  <c r="M1037" i="2"/>
  <c r="J1037" i="2"/>
  <c r="K1037" i="2" s="1"/>
  <c r="L1037" i="2" s="1"/>
  <c r="I1037" i="2"/>
  <c r="H1037" i="2"/>
  <c r="F1037" i="2"/>
  <c r="U1036" i="2"/>
  <c r="T1036" i="2"/>
  <c r="Q1036" i="2"/>
  <c r="P1036" i="2"/>
  <c r="O1036" i="2"/>
  <c r="N1036" i="2"/>
  <c r="M1036" i="2"/>
  <c r="J1036" i="2"/>
  <c r="K1036" i="2" s="1"/>
  <c r="L1036" i="2" s="1"/>
  <c r="I1036" i="2"/>
  <c r="H1036" i="2"/>
  <c r="F1036" i="2"/>
  <c r="U1035" i="2"/>
  <c r="T1035" i="2"/>
  <c r="Q1035" i="2"/>
  <c r="P1035" i="2"/>
  <c r="O1035" i="2"/>
  <c r="R1035" i="2" s="1"/>
  <c r="N1035" i="2"/>
  <c r="M1035" i="2"/>
  <c r="J1035" i="2"/>
  <c r="I1035" i="2"/>
  <c r="H1035" i="2"/>
  <c r="F1035" i="2"/>
  <c r="U1034" i="2"/>
  <c r="T1034" i="2"/>
  <c r="Q1034" i="2"/>
  <c r="P1034" i="2"/>
  <c r="O1034" i="2"/>
  <c r="R1034" i="2" s="1"/>
  <c r="N1034" i="2"/>
  <c r="M1034" i="2"/>
  <c r="J1034" i="2"/>
  <c r="K1034" i="2" s="1"/>
  <c r="L1034" i="2" s="1"/>
  <c r="I1034" i="2"/>
  <c r="H1034" i="2"/>
  <c r="F1034" i="2"/>
  <c r="U1033" i="2"/>
  <c r="T1033" i="2"/>
  <c r="Q1033" i="2"/>
  <c r="P1033" i="2"/>
  <c r="O1033" i="2"/>
  <c r="N1033" i="2"/>
  <c r="M1033" i="2"/>
  <c r="J1033" i="2"/>
  <c r="K1033" i="2" s="1"/>
  <c r="L1033" i="2" s="1"/>
  <c r="I1033" i="2"/>
  <c r="H1033" i="2"/>
  <c r="F1033" i="2"/>
  <c r="U1032" i="2"/>
  <c r="T1032" i="2"/>
  <c r="Q1032" i="2"/>
  <c r="P1032" i="2"/>
  <c r="O1032" i="2"/>
  <c r="R1032" i="2" s="1"/>
  <c r="N1032" i="2"/>
  <c r="M1032" i="2"/>
  <c r="J1032" i="2"/>
  <c r="I1032" i="2"/>
  <c r="H1032" i="2"/>
  <c r="F1032" i="2"/>
  <c r="U1031" i="2"/>
  <c r="T1031" i="2"/>
  <c r="Q1031" i="2"/>
  <c r="P1031" i="2"/>
  <c r="O1031" i="2"/>
  <c r="R1031" i="2" s="1"/>
  <c r="N1031" i="2"/>
  <c r="M1031" i="2"/>
  <c r="J1031" i="2"/>
  <c r="K1031" i="2" s="1"/>
  <c r="L1031" i="2" s="1"/>
  <c r="I1031" i="2"/>
  <c r="H1031" i="2"/>
  <c r="F1031" i="2"/>
  <c r="U1030" i="2"/>
  <c r="T1030" i="2"/>
  <c r="Q1030" i="2"/>
  <c r="P1030" i="2"/>
  <c r="O1030" i="2"/>
  <c r="R1030" i="2" s="1"/>
  <c r="N1030" i="2"/>
  <c r="M1030" i="2"/>
  <c r="J1030" i="2"/>
  <c r="K1030" i="2" s="1"/>
  <c r="L1030" i="2" s="1"/>
  <c r="I1030" i="2"/>
  <c r="H1030" i="2"/>
  <c r="F1030" i="2"/>
  <c r="U1029" i="2"/>
  <c r="T1029" i="2"/>
  <c r="Q1029" i="2"/>
  <c r="P1029" i="2"/>
  <c r="O1029" i="2"/>
  <c r="N1029" i="2"/>
  <c r="M1029" i="2"/>
  <c r="J1029" i="2"/>
  <c r="I1029" i="2"/>
  <c r="H1029" i="2"/>
  <c r="F1029" i="2"/>
  <c r="U1028" i="2"/>
  <c r="T1028" i="2"/>
  <c r="Q1028" i="2"/>
  <c r="P1028" i="2"/>
  <c r="O1028" i="2"/>
  <c r="N1028" i="2"/>
  <c r="M1028" i="2"/>
  <c r="J1028" i="2"/>
  <c r="K1028" i="2" s="1"/>
  <c r="L1028" i="2" s="1"/>
  <c r="I1028" i="2"/>
  <c r="H1028" i="2"/>
  <c r="F1028" i="2"/>
  <c r="U1027" i="2"/>
  <c r="T1027" i="2"/>
  <c r="Q1027" i="2"/>
  <c r="P1027" i="2"/>
  <c r="O1027" i="2"/>
  <c r="R1027" i="2" s="1"/>
  <c r="N1027" i="2"/>
  <c r="M1027" i="2"/>
  <c r="J1027" i="2"/>
  <c r="K1027" i="2" s="1"/>
  <c r="L1027" i="2" s="1"/>
  <c r="I1027" i="2"/>
  <c r="H1027" i="2"/>
  <c r="F1027" i="2"/>
  <c r="U1026" i="2"/>
  <c r="T1026" i="2"/>
  <c r="Q1026" i="2"/>
  <c r="P1026" i="2"/>
  <c r="O1026" i="2"/>
  <c r="R1026" i="2" s="1"/>
  <c r="N1026" i="2"/>
  <c r="M1026" i="2"/>
  <c r="J1026" i="2"/>
  <c r="K1026" i="2" s="1"/>
  <c r="L1026" i="2" s="1"/>
  <c r="I1026" i="2"/>
  <c r="H1026" i="2"/>
  <c r="F1026" i="2"/>
  <c r="U1025" i="2"/>
  <c r="T1025" i="2"/>
  <c r="Q1025" i="2"/>
  <c r="P1025" i="2"/>
  <c r="O1025" i="2"/>
  <c r="R1025" i="2" s="1"/>
  <c r="N1025" i="2"/>
  <c r="M1025" i="2"/>
  <c r="J1025" i="2"/>
  <c r="I1025" i="2"/>
  <c r="H1025" i="2"/>
  <c r="F1025" i="2"/>
  <c r="U1024" i="2"/>
  <c r="T1024" i="2"/>
  <c r="Q1024" i="2"/>
  <c r="P1024" i="2"/>
  <c r="O1024" i="2"/>
  <c r="N1024" i="2"/>
  <c r="M1024" i="2"/>
  <c r="J1024" i="2"/>
  <c r="K1024" i="2" s="1"/>
  <c r="L1024" i="2" s="1"/>
  <c r="I1024" i="2"/>
  <c r="H1024" i="2"/>
  <c r="F1024" i="2"/>
  <c r="U1023" i="2"/>
  <c r="T1023" i="2"/>
  <c r="Q1023" i="2"/>
  <c r="P1023" i="2"/>
  <c r="O1023" i="2"/>
  <c r="N1023" i="2"/>
  <c r="M1023" i="2"/>
  <c r="J1023" i="2"/>
  <c r="K1023" i="2" s="1"/>
  <c r="L1023" i="2" s="1"/>
  <c r="I1023" i="2"/>
  <c r="H1023" i="2"/>
  <c r="F1023" i="2"/>
  <c r="U1022" i="2"/>
  <c r="T1022" i="2"/>
  <c r="Q1022" i="2"/>
  <c r="P1022" i="2"/>
  <c r="O1022" i="2"/>
  <c r="N1022" i="2"/>
  <c r="M1022" i="2"/>
  <c r="J1022" i="2"/>
  <c r="K1022" i="2" s="1"/>
  <c r="L1022" i="2" s="1"/>
  <c r="I1022" i="2"/>
  <c r="H1022" i="2"/>
  <c r="F1022" i="2"/>
  <c r="U1021" i="2"/>
  <c r="T1021" i="2"/>
  <c r="Q1021" i="2"/>
  <c r="P1021" i="2"/>
  <c r="O1021" i="2"/>
  <c r="R1021" i="2" s="1"/>
  <c r="N1021" i="2"/>
  <c r="M1021" i="2"/>
  <c r="J1021" i="2"/>
  <c r="K1021" i="2" s="1"/>
  <c r="L1021" i="2" s="1"/>
  <c r="I1021" i="2"/>
  <c r="H1021" i="2"/>
  <c r="F1021" i="2"/>
  <c r="U1020" i="2"/>
  <c r="T1020" i="2"/>
  <c r="Q1020" i="2"/>
  <c r="P1020" i="2"/>
  <c r="O1020" i="2"/>
  <c r="R1020" i="2" s="1"/>
  <c r="N1020" i="2"/>
  <c r="M1020" i="2"/>
  <c r="J1020" i="2"/>
  <c r="K1020" i="2" s="1"/>
  <c r="L1020" i="2" s="1"/>
  <c r="I1020" i="2"/>
  <c r="H1020" i="2"/>
  <c r="F1020" i="2"/>
  <c r="U1019" i="2"/>
  <c r="T1019" i="2"/>
  <c r="Q1019" i="2"/>
  <c r="P1019" i="2"/>
  <c r="O1019" i="2"/>
  <c r="R1019" i="2" s="1"/>
  <c r="N1019" i="2"/>
  <c r="M1019" i="2"/>
  <c r="J1019" i="2"/>
  <c r="I1019" i="2"/>
  <c r="H1019" i="2"/>
  <c r="F1019" i="2"/>
  <c r="U1018" i="2"/>
  <c r="T1018" i="2"/>
  <c r="Q1018" i="2"/>
  <c r="P1018" i="2"/>
  <c r="O1018" i="2"/>
  <c r="N1018" i="2"/>
  <c r="M1018" i="2"/>
  <c r="J1018" i="2"/>
  <c r="K1018" i="2" s="1"/>
  <c r="L1018" i="2" s="1"/>
  <c r="I1018" i="2"/>
  <c r="H1018" i="2"/>
  <c r="F1018" i="2"/>
  <c r="U1017" i="2"/>
  <c r="T1017" i="2"/>
  <c r="Q1017" i="2"/>
  <c r="P1017" i="2"/>
  <c r="O1017" i="2"/>
  <c r="R1017" i="2" s="1"/>
  <c r="N1017" i="2"/>
  <c r="M1017" i="2"/>
  <c r="J1017" i="2"/>
  <c r="I1017" i="2"/>
  <c r="H1017" i="2"/>
  <c r="F1017" i="2"/>
  <c r="U1016" i="2"/>
  <c r="T1016" i="2"/>
  <c r="Q1016" i="2"/>
  <c r="P1016" i="2"/>
  <c r="O1016" i="2"/>
  <c r="R1016" i="2" s="1"/>
  <c r="N1016" i="2"/>
  <c r="M1016" i="2"/>
  <c r="J1016" i="2"/>
  <c r="K1016" i="2" s="1"/>
  <c r="L1016" i="2" s="1"/>
  <c r="I1016" i="2"/>
  <c r="H1016" i="2"/>
  <c r="F1016" i="2"/>
  <c r="U1015" i="2"/>
  <c r="T1015" i="2"/>
  <c r="Q1015" i="2"/>
  <c r="P1015" i="2"/>
  <c r="O1015" i="2"/>
  <c r="R1015" i="2" s="1"/>
  <c r="N1015" i="2"/>
  <c r="M1015" i="2"/>
  <c r="J1015" i="2"/>
  <c r="K1015" i="2" s="1"/>
  <c r="L1015" i="2" s="1"/>
  <c r="I1015" i="2"/>
  <c r="H1015" i="2"/>
  <c r="F1015" i="2"/>
  <c r="U1014" i="2"/>
  <c r="T1014" i="2"/>
  <c r="Q1014" i="2"/>
  <c r="P1014" i="2"/>
  <c r="O1014" i="2"/>
  <c r="R1014" i="2" s="1"/>
  <c r="N1014" i="2"/>
  <c r="M1014" i="2"/>
  <c r="J1014" i="2"/>
  <c r="K1014" i="2" s="1"/>
  <c r="L1014" i="2" s="1"/>
  <c r="I1014" i="2"/>
  <c r="H1014" i="2"/>
  <c r="F1014" i="2"/>
  <c r="U1013" i="2"/>
  <c r="T1013" i="2"/>
  <c r="Q1013" i="2"/>
  <c r="P1013" i="2"/>
  <c r="O1013" i="2"/>
  <c r="R1013" i="2" s="1"/>
  <c r="N1013" i="2"/>
  <c r="M1013" i="2"/>
  <c r="J1013" i="2"/>
  <c r="K1013" i="2" s="1"/>
  <c r="L1013" i="2" s="1"/>
  <c r="I1013" i="2"/>
  <c r="H1013" i="2"/>
  <c r="F1013" i="2"/>
  <c r="U1012" i="2"/>
  <c r="T1012" i="2"/>
  <c r="Q1012" i="2"/>
  <c r="P1012" i="2"/>
  <c r="O1012" i="2"/>
  <c r="N1012" i="2"/>
  <c r="M1012" i="2"/>
  <c r="J1012" i="2"/>
  <c r="K1012" i="2" s="1"/>
  <c r="L1012" i="2" s="1"/>
  <c r="I1012" i="2"/>
  <c r="H1012" i="2"/>
  <c r="F1012" i="2"/>
  <c r="U1011" i="2"/>
  <c r="T1011" i="2"/>
  <c r="Q1011" i="2"/>
  <c r="P1011" i="2"/>
  <c r="O1011" i="2"/>
  <c r="N1011" i="2"/>
  <c r="M1011" i="2"/>
  <c r="J1011" i="2"/>
  <c r="I1011" i="2"/>
  <c r="H1011" i="2"/>
  <c r="F1011" i="2"/>
  <c r="U1010" i="2"/>
  <c r="T1010" i="2"/>
  <c r="Q1010" i="2"/>
  <c r="P1010" i="2"/>
  <c r="O1010" i="2"/>
  <c r="R1010" i="2" s="1"/>
  <c r="N1010" i="2"/>
  <c r="M1010" i="2"/>
  <c r="J1010" i="2"/>
  <c r="K1010" i="2" s="1"/>
  <c r="L1010" i="2" s="1"/>
  <c r="I1010" i="2"/>
  <c r="H1010" i="2"/>
  <c r="F1010" i="2"/>
  <c r="U1009" i="2"/>
  <c r="T1009" i="2"/>
  <c r="Q1009" i="2"/>
  <c r="P1009" i="2"/>
  <c r="O1009" i="2"/>
  <c r="R1009" i="2" s="1"/>
  <c r="N1009" i="2"/>
  <c r="M1009" i="2"/>
  <c r="J1009" i="2"/>
  <c r="K1009" i="2" s="1"/>
  <c r="L1009" i="2" s="1"/>
  <c r="I1009" i="2"/>
  <c r="H1009" i="2"/>
  <c r="F1009" i="2"/>
  <c r="U1008" i="2"/>
  <c r="T1008" i="2"/>
  <c r="Q1008" i="2"/>
  <c r="P1008" i="2"/>
  <c r="O1008" i="2"/>
  <c r="R1008" i="2" s="1"/>
  <c r="N1008" i="2"/>
  <c r="M1008" i="2"/>
  <c r="J1008" i="2"/>
  <c r="K1008" i="2" s="1"/>
  <c r="L1008" i="2" s="1"/>
  <c r="I1008" i="2"/>
  <c r="H1008" i="2"/>
  <c r="U1007" i="2"/>
  <c r="T1007" i="2"/>
  <c r="Q1007" i="2"/>
  <c r="P1007" i="2"/>
  <c r="O1007" i="2"/>
  <c r="R1007" i="2" s="1"/>
  <c r="N1007" i="2"/>
  <c r="M1007" i="2"/>
  <c r="J1007" i="2"/>
  <c r="K1007" i="2" s="1"/>
  <c r="L1007" i="2" s="1"/>
  <c r="I1007" i="2"/>
  <c r="H1007" i="2"/>
  <c r="U1006" i="2"/>
  <c r="T1006" i="2"/>
  <c r="Q1006" i="2"/>
  <c r="P1006" i="2"/>
  <c r="O1006" i="2"/>
  <c r="N1006" i="2"/>
  <c r="M1006" i="2"/>
  <c r="J1006" i="2"/>
  <c r="K1006" i="2" s="1"/>
  <c r="L1006" i="2" s="1"/>
  <c r="I1006" i="2"/>
  <c r="H1006" i="2"/>
  <c r="U1005" i="2"/>
  <c r="T1005" i="2"/>
  <c r="Q1005" i="2"/>
  <c r="P1005" i="2"/>
  <c r="O1005" i="2"/>
  <c r="N1005" i="2"/>
  <c r="M1005" i="2"/>
  <c r="J1005" i="2"/>
  <c r="K1005" i="2" s="1"/>
  <c r="L1005" i="2" s="1"/>
  <c r="I1005" i="2"/>
  <c r="H1005" i="2"/>
  <c r="U1004" i="2"/>
  <c r="T1004" i="2"/>
  <c r="Q1004" i="2"/>
  <c r="P1004" i="2"/>
  <c r="O1004" i="2"/>
  <c r="R1004" i="2" s="1"/>
  <c r="N1004" i="2"/>
  <c r="M1004" i="2"/>
  <c r="J1004" i="2"/>
  <c r="K1004" i="2" s="1"/>
  <c r="L1004" i="2" s="1"/>
  <c r="I1004" i="2"/>
  <c r="H1004" i="2"/>
  <c r="U1003" i="2"/>
  <c r="T1003" i="2"/>
  <c r="Q1003" i="2"/>
  <c r="P1003" i="2"/>
  <c r="O1003" i="2"/>
  <c r="R1003" i="2" s="1"/>
  <c r="N1003" i="2"/>
  <c r="M1003" i="2"/>
  <c r="J1003" i="2"/>
  <c r="K1003" i="2" s="1"/>
  <c r="L1003" i="2" s="1"/>
  <c r="I1003" i="2"/>
  <c r="H1003" i="2"/>
  <c r="U1002" i="2"/>
  <c r="T1002" i="2"/>
  <c r="Q1002" i="2"/>
  <c r="P1002" i="2"/>
  <c r="O1002" i="2"/>
  <c r="N1002" i="2"/>
  <c r="M1002" i="2"/>
  <c r="J1002" i="2"/>
  <c r="K1002" i="2" s="1"/>
  <c r="L1002" i="2" s="1"/>
  <c r="I1002" i="2"/>
  <c r="H1002" i="2"/>
  <c r="U1001" i="2"/>
  <c r="T1001" i="2"/>
  <c r="Q1001" i="2"/>
  <c r="P1001" i="2"/>
  <c r="O1001" i="2"/>
  <c r="N1001" i="2"/>
  <c r="M1001" i="2"/>
  <c r="J1001" i="2"/>
  <c r="K1001" i="2" s="1"/>
  <c r="L1001" i="2" s="1"/>
  <c r="I1001" i="2"/>
  <c r="H1001" i="2"/>
  <c r="U1000" i="2"/>
  <c r="T1000" i="2"/>
  <c r="Q1000" i="2"/>
  <c r="P1000" i="2"/>
  <c r="O1000" i="2"/>
  <c r="R1000" i="2" s="1"/>
  <c r="N1000" i="2"/>
  <c r="M1000" i="2"/>
  <c r="J1000" i="2"/>
  <c r="K1000" i="2" s="1"/>
  <c r="L1000" i="2" s="1"/>
  <c r="I1000" i="2"/>
  <c r="H1000" i="2"/>
  <c r="U999" i="2"/>
  <c r="T999" i="2"/>
  <c r="Q999" i="2"/>
  <c r="P999" i="2"/>
  <c r="O999" i="2"/>
  <c r="R999" i="2" s="1"/>
  <c r="N999" i="2"/>
  <c r="M999" i="2"/>
  <c r="J999" i="2"/>
  <c r="K999" i="2" s="1"/>
  <c r="L999" i="2" s="1"/>
  <c r="I999" i="2"/>
  <c r="H999" i="2"/>
  <c r="U998" i="2"/>
  <c r="T998" i="2"/>
  <c r="Q998" i="2"/>
  <c r="P998" i="2"/>
  <c r="O998" i="2"/>
  <c r="N998" i="2"/>
  <c r="M998" i="2"/>
  <c r="J998" i="2"/>
  <c r="K998" i="2" s="1"/>
  <c r="L998" i="2" s="1"/>
  <c r="I998" i="2"/>
  <c r="H998" i="2"/>
  <c r="U997" i="2"/>
  <c r="T997" i="2"/>
  <c r="Q997" i="2"/>
  <c r="P997" i="2"/>
  <c r="O997" i="2"/>
  <c r="R997" i="2" s="1"/>
  <c r="N997" i="2"/>
  <c r="M997" i="2"/>
  <c r="J997" i="2"/>
  <c r="K997" i="2" s="1"/>
  <c r="L997" i="2" s="1"/>
  <c r="I997" i="2"/>
  <c r="H997" i="2"/>
  <c r="U996" i="2"/>
  <c r="T996" i="2"/>
  <c r="Q996" i="2"/>
  <c r="P996" i="2"/>
  <c r="O996" i="2"/>
  <c r="R996" i="2" s="1"/>
  <c r="N996" i="2"/>
  <c r="M996" i="2"/>
  <c r="J996" i="2"/>
  <c r="K996" i="2" s="1"/>
  <c r="L996" i="2" s="1"/>
  <c r="I996" i="2"/>
  <c r="H996" i="2"/>
  <c r="U995" i="2"/>
  <c r="T995" i="2"/>
  <c r="Q995" i="2"/>
  <c r="P995" i="2"/>
  <c r="O995" i="2"/>
  <c r="R995" i="2" s="1"/>
  <c r="N995" i="2"/>
  <c r="M995" i="2"/>
  <c r="J995" i="2"/>
  <c r="K995" i="2" s="1"/>
  <c r="L995" i="2" s="1"/>
  <c r="I995" i="2"/>
  <c r="H995" i="2"/>
  <c r="U994" i="2"/>
  <c r="T994" i="2"/>
  <c r="Q994" i="2"/>
  <c r="P994" i="2"/>
  <c r="O994" i="2"/>
  <c r="N994" i="2"/>
  <c r="M994" i="2"/>
  <c r="J994" i="2"/>
  <c r="K994" i="2" s="1"/>
  <c r="L994" i="2" s="1"/>
  <c r="I994" i="2"/>
  <c r="H994" i="2"/>
  <c r="U993" i="2"/>
  <c r="T993" i="2"/>
  <c r="Q993" i="2"/>
  <c r="P993" i="2"/>
  <c r="O993" i="2"/>
  <c r="N993" i="2"/>
  <c r="M993" i="2"/>
  <c r="J993" i="2"/>
  <c r="K993" i="2" s="1"/>
  <c r="L993" i="2" s="1"/>
  <c r="I993" i="2"/>
  <c r="H993" i="2"/>
  <c r="U992" i="2"/>
  <c r="T992" i="2"/>
  <c r="Q992" i="2"/>
  <c r="P992" i="2"/>
  <c r="O992" i="2"/>
  <c r="R992" i="2" s="1"/>
  <c r="N992" i="2"/>
  <c r="M992" i="2"/>
  <c r="J992" i="2"/>
  <c r="K992" i="2" s="1"/>
  <c r="L992" i="2" s="1"/>
  <c r="I992" i="2"/>
  <c r="H992" i="2"/>
  <c r="U991" i="2"/>
  <c r="T991" i="2"/>
  <c r="Q991" i="2"/>
  <c r="P991" i="2"/>
  <c r="O991" i="2"/>
  <c r="R991" i="2" s="1"/>
  <c r="N991" i="2"/>
  <c r="M991" i="2"/>
  <c r="J991" i="2"/>
  <c r="K991" i="2" s="1"/>
  <c r="L991" i="2" s="1"/>
  <c r="I991" i="2"/>
  <c r="H991" i="2"/>
  <c r="U990" i="2"/>
  <c r="T990" i="2"/>
  <c r="Q990" i="2"/>
  <c r="P990" i="2"/>
  <c r="O990" i="2"/>
  <c r="N990" i="2"/>
  <c r="M990" i="2"/>
  <c r="J990" i="2"/>
  <c r="K990" i="2" s="1"/>
  <c r="L990" i="2" s="1"/>
  <c r="I990" i="2"/>
  <c r="H990" i="2"/>
  <c r="U989" i="2"/>
  <c r="T989" i="2"/>
  <c r="Q989" i="2"/>
  <c r="P989" i="2"/>
  <c r="O989" i="2"/>
  <c r="R989" i="2" s="1"/>
  <c r="N989" i="2"/>
  <c r="M989" i="2"/>
  <c r="J989" i="2"/>
  <c r="K989" i="2" s="1"/>
  <c r="L989" i="2" s="1"/>
  <c r="I989" i="2"/>
  <c r="H989" i="2"/>
  <c r="U988" i="2"/>
  <c r="T988" i="2"/>
  <c r="Q988" i="2"/>
  <c r="P988" i="2"/>
  <c r="O988" i="2"/>
  <c r="N988" i="2"/>
  <c r="M988" i="2"/>
  <c r="J988" i="2"/>
  <c r="K988" i="2" s="1"/>
  <c r="L988" i="2" s="1"/>
  <c r="I988" i="2"/>
  <c r="H988" i="2"/>
  <c r="U987" i="2"/>
  <c r="T987" i="2"/>
  <c r="Q987" i="2"/>
  <c r="P987" i="2"/>
  <c r="O987" i="2"/>
  <c r="R987" i="2" s="1"/>
  <c r="N987" i="2"/>
  <c r="M987" i="2"/>
  <c r="J987" i="2"/>
  <c r="K987" i="2" s="1"/>
  <c r="L987" i="2" s="1"/>
  <c r="I987" i="2"/>
  <c r="H987" i="2"/>
  <c r="U986" i="2"/>
  <c r="T986" i="2"/>
  <c r="Q986" i="2"/>
  <c r="P986" i="2"/>
  <c r="O986" i="2"/>
  <c r="N986" i="2"/>
  <c r="M986" i="2"/>
  <c r="J986" i="2"/>
  <c r="K986" i="2" s="1"/>
  <c r="L986" i="2" s="1"/>
  <c r="I986" i="2"/>
  <c r="H986" i="2"/>
  <c r="U985" i="2"/>
  <c r="T985" i="2"/>
  <c r="Q985" i="2"/>
  <c r="P985" i="2"/>
  <c r="O985" i="2"/>
  <c r="N985" i="2"/>
  <c r="M985" i="2"/>
  <c r="J985" i="2"/>
  <c r="K985" i="2" s="1"/>
  <c r="L985" i="2" s="1"/>
  <c r="I985" i="2"/>
  <c r="H985" i="2"/>
  <c r="U984" i="2"/>
  <c r="T984" i="2"/>
  <c r="Q984" i="2"/>
  <c r="P984" i="2"/>
  <c r="O984" i="2"/>
  <c r="R984" i="2" s="1"/>
  <c r="N984" i="2"/>
  <c r="M984" i="2"/>
  <c r="J984" i="2"/>
  <c r="K984" i="2" s="1"/>
  <c r="L984" i="2" s="1"/>
  <c r="I984" i="2"/>
  <c r="H984" i="2"/>
  <c r="U983" i="2"/>
  <c r="T983" i="2"/>
  <c r="Q983" i="2"/>
  <c r="P983" i="2"/>
  <c r="O983" i="2"/>
  <c r="R983" i="2" s="1"/>
  <c r="N983" i="2"/>
  <c r="M983" i="2"/>
  <c r="J983" i="2"/>
  <c r="K983" i="2" s="1"/>
  <c r="L983" i="2" s="1"/>
  <c r="I983" i="2"/>
  <c r="H983" i="2"/>
  <c r="U982" i="2"/>
  <c r="T982" i="2"/>
  <c r="Q982" i="2"/>
  <c r="P982" i="2"/>
  <c r="O982" i="2"/>
  <c r="N982" i="2"/>
  <c r="M982" i="2"/>
  <c r="J982" i="2"/>
  <c r="K982" i="2" s="1"/>
  <c r="L982" i="2" s="1"/>
  <c r="I982" i="2"/>
  <c r="H982" i="2"/>
  <c r="U981" i="2"/>
  <c r="T981" i="2"/>
  <c r="Q981" i="2"/>
  <c r="P981" i="2"/>
  <c r="O981" i="2"/>
  <c r="R981" i="2" s="1"/>
  <c r="N981" i="2"/>
  <c r="M981" i="2"/>
  <c r="J981" i="2"/>
  <c r="K981" i="2" s="1"/>
  <c r="L981" i="2" s="1"/>
  <c r="I981" i="2"/>
  <c r="H981" i="2"/>
  <c r="U980" i="2"/>
  <c r="T980" i="2"/>
  <c r="Q980" i="2"/>
  <c r="P980" i="2"/>
  <c r="O980" i="2"/>
  <c r="R980" i="2" s="1"/>
  <c r="N980" i="2"/>
  <c r="M980" i="2"/>
  <c r="J980" i="2"/>
  <c r="K980" i="2" s="1"/>
  <c r="L980" i="2" s="1"/>
  <c r="I980" i="2"/>
  <c r="H980" i="2"/>
  <c r="U979" i="2"/>
  <c r="T979" i="2"/>
  <c r="Q979" i="2"/>
  <c r="P979" i="2"/>
  <c r="O979" i="2"/>
  <c r="R979" i="2" s="1"/>
  <c r="N979" i="2"/>
  <c r="M979" i="2"/>
  <c r="J979" i="2"/>
  <c r="K979" i="2" s="1"/>
  <c r="L979" i="2" s="1"/>
  <c r="I979" i="2"/>
  <c r="H979" i="2"/>
  <c r="U978" i="2"/>
  <c r="T978" i="2"/>
  <c r="Q978" i="2"/>
  <c r="P978" i="2"/>
  <c r="O978" i="2"/>
  <c r="N978" i="2"/>
  <c r="M978" i="2"/>
  <c r="J978" i="2"/>
  <c r="K978" i="2" s="1"/>
  <c r="L978" i="2" s="1"/>
  <c r="I978" i="2"/>
  <c r="H978" i="2"/>
  <c r="U977" i="2"/>
  <c r="T977" i="2"/>
  <c r="Q977" i="2"/>
  <c r="P977" i="2"/>
  <c r="O977" i="2"/>
  <c r="N977" i="2"/>
  <c r="M977" i="2"/>
  <c r="J977" i="2"/>
  <c r="K977" i="2" s="1"/>
  <c r="L977" i="2" s="1"/>
  <c r="I977" i="2"/>
  <c r="H977" i="2"/>
  <c r="U976" i="2"/>
  <c r="T976" i="2"/>
  <c r="Q976" i="2"/>
  <c r="P976" i="2"/>
  <c r="O976" i="2"/>
  <c r="R976" i="2" s="1"/>
  <c r="N976" i="2"/>
  <c r="M976" i="2"/>
  <c r="J976" i="2"/>
  <c r="K976" i="2" s="1"/>
  <c r="L976" i="2" s="1"/>
  <c r="I976" i="2"/>
  <c r="H976" i="2"/>
  <c r="U975" i="2"/>
  <c r="T975" i="2"/>
  <c r="Q975" i="2"/>
  <c r="P975" i="2"/>
  <c r="O975" i="2"/>
  <c r="R975" i="2" s="1"/>
  <c r="N975" i="2"/>
  <c r="M975" i="2"/>
  <c r="J975" i="2"/>
  <c r="K975" i="2" s="1"/>
  <c r="L975" i="2" s="1"/>
  <c r="I975" i="2"/>
  <c r="H975" i="2"/>
  <c r="U974" i="2"/>
  <c r="T974" i="2"/>
  <c r="Q974" i="2"/>
  <c r="P974" i="2"/>
  <c r="O974" i="2"/>
  <c r="N974" i="2"/>
  <c r="M974" i="2"/>
  <c r="J974" i="2"/>
  <c r="K974" i="2" s="1"/>
  <c r="L974" i="2" s="1"/>
  <c r="I974" i="2"/>
  <c r="H974" i="2"/>
  <c r="U973" i="2"/>
  <c r="T973" i="2"/>
  <c r="Q973" i="2"/>
  <c r="P973" i="2"/>
  <c r="O973" i="2"/>
  <c r="R973" i="2" s="1"/>
  <c r="N973" i="2"/>
  <c r="M973" i="2"/>
  <c r="J973" i="2"/>
  <c r="K973" i="2" s="1"/>
  <c r="L973" i="2" s="1"/>
  <c r="I973" i="2"/>
  <c r="H973" i="2"/>
  <c r="U972" i="2"/>
  <c r="T972" i="2"/>
  <c r="Q972" i="2"/>
  <c r="P972" i="2"/>
  <c r="O972" i="2"/>
  <c r="R972" i="2" s="1"/>
  <c r="N972" i="2"/>
  <c r="M972" i="2"/>
  <c r="J972" i="2"/>
  <c r="K972" i="2" s="1"/>
  <c r="L972" i="2" s="1"/>
  <c r="I972" i="2"/>
  <c r="H972" i="2"/>
  <c r="U971" i="2"/>
  <c r="T971" i="2"/>
  <c r="Q971" i="2"/>
  <c r="P971" i="2"/>
  <c r="O971" i="2"/>
  <c r="R971" i="2" s="1"/>
  <c r="S971" i="2" s="1"/>
  <c r="N971" i="2"/>
  <c r="M971" i="2"/>
  <c r="J971" i="2"/>
  <c r="K971" i="2" s="1"/>
  <c r="L971" i="2" s="1"/>
  <c r="I971" i="2"/>
  <c r="H971" i="2"/>
  <c r="U970" i="2"/>
  <c r="T970" i="2"/>
  <c r="Q970" i="2"/>
  <c r="P970" i="2"/>
  <c r="O970" i="2"/>
  <c r="N970" i="2"/>
  <c r="M970" i="2"/>
  <c r="J970" i="2"/>
  <c r="K970" i="2" s="1"/>
  <c r="L970" i="2" s="1"/>
  <c r="I970" i="2"/>
  <c r="H970" i="2"/>
  <c r="U969" i="2"/>
  <c r="T969" i="2"/>
  <c r="Q969" i="2"/>
  <c r="P969" i="2"/>
  <c r="O969" i="2"/>
  <c r="R969" i="2" s="1"/>
  <c r="N969" i="2"/>
  <c r="M969" i="2"/>
  <c r="J969" i="2"/>
  <c r="K969" i="2" s="1"/>
  <c r="L969" i="2" s="1"/>
  <c r="I969" i="2"/>
  <c r="H969" i="2"/>
  <c r="U968" i="2"/>
  <c r="T968" i="2"/>
  <c r="Q968" i="2"/>
  <c r="P968" i="2"/>
  <c r="O968" i="2"/>
  <c r="R968" i="2" s="1"/>
  <c r="N968" i="2"/>
  <c r="M968" i="2"/>
  <c r="J968" i="2"/>
  <c r="K968" i="2" s="1"/>
  <c r="L968" i="2" s="1"/>
  <c r="I968" i="2"/>
  <c r="H968" i="2"/>
  <c r="U967" i="2"/>
  <c r="T967" i="2"/>
  <c r="Q967" i="2"/>
  <c r="P967" i="2"/>
  <c r="O967" i="2"/>
  <c r="R967" i="2" s="1"/>
  <c r="N967" i="2"/>
  <c r="M967" i="2"/>
  <c r="J967" i="2"/>
  <c r="K967" i="2" s="1"/>
  <c r="L967" i="2" s="1"/>
  <c r="I967" i="2"/>
  <c r="H967" i="2"/>
  <c r="U966" i="2"/>
  <c r="T966" i="2"/>
  <c r="V966" i="2" s="1"/>
  <c r="Q966" i="2"/>
  <c r="P966" i="2"/>
  <c r="O966" i="2"/>
  <c r="N966" i="2"/>
  <c r="M966" i="2"/>
  <c r="J966" i="2"/>
  <c r="K966" i="2" s="1"/>
  <c r="L966" i="2" s="1"/>
  <c r="I966" i="2"/>
  <c r="H966" i="2"/>
  <c r="U965" i="2"/>
  <c r="T965" i="2"/>
  <c r="Q965" i="2"/>
  <c r="P965" i="2"/>
  <c r="O965" i="2"/>
  <c r="R965" i="2" s="1"/>
  <c r="N965" i="2"/>
  <c r="M965" i="2"/>
  <c r="J965" i="2"/>
  <c r="K965" i="2" s="1"/>
  <c r="L965" i="2" s="1"/>
  <c r="I965" i="2"/>
  <c r="H965" i="2"/>
  <c r="U964" i="2"/>
  <c r="T964" i="2"/>
  <c r="Q964" i="2"/>
  <c r="P964" i="2"/>
  <c r="O964" i="2"/>
  <c r="N964" i="2"/>
  <c r="M964" i="2"/>
  <c r="J964" i="2"/>
  <c r="K964" i="2" s="1"/>
  <c r="L964" i="2" s="1"/>
  <c r="I964" i="2"/>
  <c r="H964" i="2"/>
  <c r="U963" i="2"/>
  <c r="T963" i="2"/>
  <c r="Q963" i="2"/>
  <c r="P963" i="2"/>
  <c r="O963" i="2"/>
  <c r="R963" i="2" s="1"/>
  <c r="N963" i="2"/>
  <c r="M963" i="2"/>
  <c r="J963" i="2"/>
  <c r="K963" i="2" s="1"/>
  <c r="L963" i="2" s="1"/>
  <c r="I963" i="2"/>
  <c r="H963" i="2"/>
  <c r="U962" i="2"/>
  <c r="T962" i="2"/>
  <c r="Q962" i="2"/>
  <c r="P962" i="2"/>
  <c r="O962" i="2"/>
  <c r="N962" i="2"/>
  <c r="M962" i="2"/>
  <c r="J962" i="2"/>
  <c r="K962" i="2" s="1"/>
  <c r="L962" i="2" s="1"/>
  <c r="I962" i="2"/>
  <c r="H962" i="2"/>
  <c r="U961" i="2"/>
  <c r="T961" i="2"/>
  <c r="Q961" i="2"/>
  <c r="P961" i="2"/>
  <c r="O961" i="2"/>
  <c r="R961" i="2" s="1"/>
  <c r="N961" i="2"/>
  <c r="M961" i="2"/>
  <c r="J961" i="2"/>
  <c r="K961" i="2" s="1"/>
  <c r="L961" i="2" s="1"/>
  <c r="I961" i="2"/>
  <c r="H961" i="2"/>
  <c r="U960" i="2"/>
  <c r="T960" i="2"/>
  <c r="Q960" i="2"/>
  <c r="P960" i="2"/>
  <c r="O960" i="2"/>
  <c r="N960" i="2"/>
  <c r="M960" i="2"/>
  <c r="J960" i="2"/>
  <c r="K960" i="2" s="1"/>
  <c r="L960" i="2" s="1"/>
  <c r="I960" i="2"/>
  <c r="H960" i="2"/>
  <c r="U959" i="2"/>
  <c r="T959" i="2"/>
  <c r="Q959" i="2"/>
  <c r="P959" i="2"/>
  <c r="O959" i="2"/>
  <c r="R959" i="2" s="1"/>
  <c r="N959" i="2"/>
  <c r="M959" i="2"/>
  <c r="J959" i="2"/>
  <c r="K959" i="2" s="1"/>
  <c r="L959" i="2" s="1"/>
  <c r="I959" i="2"/>
  <c r="H959" i="2"/>
  <c r="U958" i="2"/>
  <c r="T958" i="2"/>
  <c r="Q958" i="2"/>
  <c r="P958" i="2"/>
  <c r="O958" i="2"/>
  <c r="N958" i="2"/>
  <c r="M958" i="2"/>
  <c r="J958" i="2"/>
  <c r="K958" i="2" s="1"/>
  <c r="L958" i="2" s="1"/>
  <c r="I958" i="2"/>
  <c r="H958" i="2"/>
  <c r="U957" i="2"/>
  <c r="T957" i="2"/>
  <c r="Q957" i="2"/>
  <c r="P957" i="2"/>
  <c r="O957" i="2"/>
  <c r="N957" i="2"/>
  <c r="M957" i="2"/>
  <c r="J957" i="2"/>
  <c r="K957" i="2" s="1"/>
  <c r="L957" i="2" s="1"/>
  <c r="I957" i="2"/>
  <c r="H957" i="2"/>
  <c r="U956" i="2"/>
  <c r="T956" i="2"/>
  <c r="Q956" i="2"/>
  <c r="P956" i="2"/>
  <c r="O956" i="2"/>
  <c r="R956" i="2" s="1"/>
  <c r="N956" i="2"/>
  <c r="M956" i="2"/>
  <c r="J956" i="2"/>
  <c r="K956" i="2" s="1"/>
  <c r="L956" i="2" s="1"/>
  <c r="I956" i="2"/>
  <c r="H956" i="2"/>
  <c r="U955" i="2"/>
  <c r="T955" i="2"/>
  <c r="Q955" i="2"/>
  <c r="P955" i="2"/>
  <c r="O955" i="2"/>
  <c r="R955" i="2" s="1"/>
  <c r="N955" i="2"/>
  <c r="M955" i="2"/>
  <c r="J955" i="2"/>
  <c r="K955" i="2" s="1"/>
  <c r="L955" i="2" s="1"/>
  <c r="I955" i="2"/>
  <c r="H955" i="2"/>
  <c r="U954" i="2"/>
  <c r="T954" i="2"/>
  <c r="Q954" i="2"/>
  <c r="P954" i="2"/>
  <c r="O954" i="2"/>
  <c r="N954" i="2"/>
  <c r="M954" i="2"/>
  <c r="J954" i="2"/>
  <c r="K954" i="2" s="1"/>
  <c r="L954" i="2" s="1"/>
  <c r="I954" i="2"/>
  <c r="H954" i="2"/>
  <c r="U953" i="2"/>
  <c r="T953" i="2"/>
  <c r="Q953" i="2"/>
  <c r="P953" i="2"/>
  <c r="O953" i="2"/>
  <c r="N953" i="2"/>
  <c r="M953" i="2"/>
  <c r="J953" i="2"/>
  <c r="K953" i="2" s="1"/>
  <c r="L953" i="2" s="1"/>
  <c r="I953" i="2"/>
  <c r="H953" i="2"/>
  <c r="U952" i="2"/>
  <c r="T952" i="2"/>
  <c r="Q952" i="2"/>
  <c r="P952" i="2"/>
  <c r="O952" i="2"/>
  <c r="R952" i="2" s="1"/>
  <c r="N952" i="2"/>
  <c r="M952" i="2"/>
  <c r="J952" i="2"/>
  <c r="K952" i="2" s="1"/>
  <c r="L952" i="2" s="1"/>
  <c r="I952" i="2"/>
  <c r="H952" i="2"/>
  <c r="U951" i="2"/>
  <c r="T951" i="2"/>
  <c r="Q951" i="2"/>
  <c r="P951" i="2"/>
  <c r="O951" i="2"/>
  <c r="R951" i="2" s="1"/>
  <c r="N951" i="2"/>
  <c r="M951" i="2"/>
  <c r="J951" i="2"/>
  <c r="K951" i="2" s="1"/>
  <c r="L951" i="2" s="1"/>
  <c r="I951" i="2"/>
  <c r="H951" i="2"/>
  <c r="U950" i="2"/>
  <c r="T950" i="2"/>
  <c r="Q950" i="2"/>
  <c r="P950" i="2"/>
  <c r="O950" i="2"/>
  <c r="N950" i="2"/>
  <c r="M950" i="2"/>
  <c r="J950" i="2"/>
  <c r="K950" i="2" s="1"/>
  <c r="L950" i="2" s="1"/>
  <c r="I950" i="2"/>
  <c r="H950" i="2"/>
  <c r="U949" i="2"/>
  <c r="T949" i="2"/>
  <c r="Q949" i="2"/>
  <c r="P949" i="2"/>
  <c r="O949" i="2"/>
  <c r="R949" i="2" s="1"/>
  <c r="N949" i="2"/>
  <c r="M949" i="2"/>
  <c r="J949" i="2"/>
  <c r="K949" i="2" s="1"/>
  <c r="L949" i="2" s="1"/>
  <c r="I949" i="2"/>
  <c r="H949" i="2"/>
  <c r="U948" i="2"/>
  <c r="T948" i="2"/>
  <c r="Q948" i="2"/>
  <c r="P948" i="2"/>
  <c r="O948" i="2"/>
  <c r="R948" i="2" s="1"/>
  <c r="N948" i="2"/>
  <c r="M948" i="2"/>
  <c r="J948" i="2"/>
  <c r="K948" i="2" s="1"/>
  <c r="L948" i="2" s="1"/>
  <c r="I948" i="2"/>
  <c r="H948" i="2"/>
  <c r="U947" i="2"/>
  <c r="T947" i="2"/>
  <c r="Q947" i="2"/>
  <c r="P947" i="2"/>
  <c r="O947" i="2"/>
  <c r="R947" i="2" s="1"/>
  <c r="N947" i="2"/>
  <c r="M947" i="2"/>
  <c r="J947" i="2"/>
  <c r="K947" i="2" s="1"/>
  <c r="L947" i="2" s="1"/>
  <c r="I947" i="2"/>
  <c r="H947" i="2"/>
  <c r="U946" i="2"/>
  <c r="T946" i="2"/>
  <c r="Q946" i="2"/>
  <c r="P946" i="2"/>
  <c r="O946" i="2"/>
  <c r="N946" i="2"/>
  <c r="M946" i="2"/>
  <c r="J946" i="2"/>
  <c r="K946" i="2" s="1"/>
  <c r="L946" i="2" s="1"/>
  <c r="I946" i="2"/>
  <c r="H946" i="2"/>
  <c r="U945" i="2"/>
  <c r="T945" i="2"/>
  <c r="Q945" i="2"/>
  <c r="P945" i="2"/>
  <c r="O945" i="2"/>
  <c r="N945" i="2"/>
  <c r="M945" i="2"/>
  <c r="J945" i="2"/>
  <c r="K945" i="2" s="1"/>
  <c r="L945" i="2" s="1"/>
  <c r="I945" i="2"/>
  <c r="H945" i="2"/>
  <c r="U944" i="2"/>
  <c r="T944" i="2"/>
  <c r="Q944" i="2"/>
  <c r="P944" i="2"/>
  <c r="O944" i="2"/>
  <c r="R944" i="2" s="1"/>
  <c r="N944" i="2"/>
  <c r="M944" i="2"/>
  <c r="J944" i="2"/>
  <c r="K944" i="2" s="1"/>
  <c r="L944" i="2" s="1"/>
  <c r="I944" i="2"/>
  <c r="H944" i="2"/>
  <c r="U943" i="2"/>
  <c r="T943" i="2"/>
  <c r="Q943" i="2"/>
  <c r="P943" i="2"/>
  <c r="O943" i="2"/>
  <c r="N943" i="2"/>
  <c r="M943" i="2"/>
  <c r="J943" i="2"/>
  <c r="K943" i="2" s="1"/>
  <c r="L943" i="2" s="1"/>
  <c r="I943" i="2"/>
  <c r="H943" i="2"/>
  <c r="U942" i="2"/>
  <c r="T942" i="2"/>
  <c r="V942" i="2" s="1"/>
  <c r="Q942" i="2"/>
  <c r="P942" i="2"/>
  <c r="O942" i="2"/>
  <c r="N942" i="2"/>
  <c r="M942" i="2"/>
  <c r="J942" i="2"/>
  <c r="K942" i="2" s="1"/>
  <c r="L942" i="2" s="1"/>
  <c r="I942" i="2"/>
  <c r="H942" i="2"/>
  <c r="U941" i="2"/>
  <c r="T941" i="2"/>
  <c r="Q941" i="2"/>
  <c r="P941" i="2"/>
  <c r="O941" i="2"/>
  <c r="R941" i="2" s="1"/>
  <c r="N941" i="2"/>
  <c r="M941" i="2"/>
  <c r="J941" i="2"/>
  <c r="K941" i="2" s="1"/>
  <c r="L941" i="2" s="1"/>
  <c r="I941" i="2"/>
  <c r="H941" i="2"/>
  <c r="U940" i="2"/>
  <c r="T940" i="2"/>
  <c r="Q940" i="2"/>
  <c r="P940" i="2"/>
  <c r="O940" i="2"/>
  <c r="R940" i="2" s="1"/>
  <c r="N940" i="2"/>
  <c r="M940" i="2"/>
  <c r="J940" i="2"/>
  <c r="K940" i="2" s="1"/>
  <c r="L940" i="2" s="1"/>
  <c r="I940" i="2"/>
  <c r="H940" i="2"/>
  <c r="U939" i="2"/>
  <c r="T939" i="2"/>
  <c r="Q939" i="2"/>
  <c r="P939" i="2"/>
  <c r="O939" i="2"/>
  <c r="R939" i="2" s="1"/>
  <c r="N939" i="2"/>
  <c r="M939" i="2"/>
  <c r="J939" i="2"/>
  <c r="K939" i="2" s="1"/>
  <c r="L939" i="2" s="1"/>
  <c r="I939" i="2"/>
  <c r="H939" i="2"/>
  <c r="U938" i="2"/>
  <c r="T938" i="2"/>
  <c r="Q938" i="2"/>
  <c r="P938" i="2"/>
  <c r="O938" i="2"/>
  <c r="N938" i="2"/>
  <c r="M938" i="2"/>
  <c r="J938" i="2"/>
  <c r="K938" i="2" s="1"/>
  <c r="L938" i="2" s="1"/>
  <c r="I938" i="2"/>
  <c r="H938" i="2"/>
  <c r="U937" i="2"/>
  <c r="T937" i="2"/>
  <c r="Q937" i="2"/>
  <c r="P937" i="2"/>
  <c r="O937" i="2"/>
  <c r="R937" i="2" s="1"/>
  <c r="N937" i="2"/>
  <c r="M937" i="2"/>
  <c r="J937" i="2"/>
  <c r="K937" i="2" s="1"/>
  <c r="L937" i="2" s="1"/>
  <c r="I937" i="2"/>
  <c r="H937" i="2"/>
  <c r="U936" i="2"/>
  <c r="T936" i="2"/>
  <c r="Q936" i="2"/>
  <c r="P936" i="2"/>
  <c r="O936" i="2"/>
  <c r="R936" i="2" s="1"/>
  <c r="N936" i="2"/>
  <c r="M936" i="2"/>
  <c r="J936" i="2"/>
  <c r="K936" i="2" s="1"/>
  <c r="L936" i="2" s="1"/>
  <c r="I936" i="2"/>
  <c r="H936" i="2"/>
  <c r="U935" i="2"/>
  <c r="T935" i="2"/>
  <c r="Q935" i="2"/>
  <c r="P935" i="2"/>
  <c r="O935" i="2"/>
  <c r="R935" i="2" s="1"/>
  <c r="N935" i="2"/>
  <c r="M935" i="2"/>
  <c r="J935" i="2"/>
  <c r="K935" i="2" s="1"/>
  <c r="L935" i="2" s="1"/>
  <c r="I935" i="2"/>
  <c r="H935" i="2"/>
  <c r="U934" i="2"/>
  <c r="T934" i="2"/>
  <c r="Q934" i="2"/>
  <c r="P934" i="2"/>
  <c r="O934" i="2"/>
  <c r="N934" i="2"/>
  <c r="M934" i="2"/>
  <c r="J934" i="2"/>
  <c r="K934" i="2" s="1"/>
  <c r="L934" i="2" s="1"/>
  <c r="I934" i="2"/>
  <c r="H934" i="2"/>
  <c r="U933" i="2"/>
  <c r="T933" i="2"/>
  <c r="Q933" i="2"/>
  <c r="P933" i="2"/>
  <c r="O933" i="2"/>
  <c r="R933" i="2" s="1"/>
  <c r="N933" i="2"/>
  <c r="M933" i="2"/>
  <c r="J933" i="2"/>
  <c r="K933" i="2" s="1"/>
  <c r="L933" i="2" s="1"/>
  <c r="I933" i="2"/>
  <c r="H933" i="2"/>
  <c r="U932" i="2"/>
  <c r="T932" i="2"/>
  <c r="Q932" i="2"/>
  <c r="P932" i="2"/>
  <c r="O932" i="2"/>
  <c r="R932" i="2" s="1"/>
  <c r="N932" i="2"/>
  <c r="M932" i="2"/>
  <c r="J932" i="2"/>
  <c r="K932" i="2" s="1"/>
  <c r="L932" i="2" s="1"/>
  <c r="I932" i="2"/>
  <c r="H932" i="2"/>
  <c r="U931" i="2"/>
  <c r="T931" i="2"/>
  <c r="Q931" i="2"/>
  <c r="P931" i="2"/>
  <c r="O931" i="2"/>
  <c r="R931" i="2" s="1"/>
  <c r="N931" i="2"/>
  <c r="M931" i="2"/>
  <c r="J931" i="2"/>
  <c r="K931" i="2" s="1"/>
  <c r="L931" i="2" s="1"/>
  <c r="I931" i="2"/>
  <c r="H931" i="2"/>
  <c r="U930" i="2"/>
  <c r="T930" i="2"/>
  <c r="Q930" i="2"/>
  <c r="P930" i="2"/>
  <c r="O930" i="2"/>
  <c r="N930" i="2"/>
  <c r="M930" i="2"/>
  <c r="J930" i="2"/>
  <c r="K930" i="2" s="1"/>
  <c r="L930" i="2" s="1"/>
  <c r="I930" i="2"/>
  <c r="H930" i="2"/>
  <c r="U929" i="2"/>
  <c r="T929" i="2"/>
  <c r="Q929" i="2"/>
  <c r="P929" i="2"/>
  <c r="O929" i="2"/>
  <c r="R929" i="2" s="1"/>
  <c r="N929" i="2"/>
  <c r="M929" i="2"/>
  <c r="J929" i="2"/>
  <c r="K929" i="2" s="1"/>
  <c r="L929" i="2" s="1"/>
  <c r="I929" i="2"/>
  <c r="H929" i="2"/>
  <c r="U928" i="2"/>
  <c r="T928" i="2"/>
  <c r="Q928" i="2"/>
  <c r="P928" i="2"/>
  <c r="O928" i="2"/>
  <c r="R928" i="2" s="1"/>
  <c r="N928" i="2"/>
  <c r="M928" i="2"/>
  <c r="J928" i="2"/>
  <c r="K928" i="2" s="1"/>
  <c r="L928" i="2" s="1"/>
  <c r="I928" i="2"/>
  <c r="H928" i="2"/>
  <c r="U927" i="2"/>
  <c r="T927" i="2"/>
  <c r="Q927" i="2"/>
  <c r="P927" i="2"/>
  <c r="O927" i="2"/>
  <c r="R927" i="2" s="1"/>
  <c r="N927" i="2"/>
  <c r="M927" i="2"/>
  <c r="J927" i="2"/>
  <c r="K927" i="2" s="1"/>
  <c r="L927" i="2" s="1"/>
  <c r="I927" i="2"/>
  <c r="H927" i="2"/>
  <c r="U926" i="2"/>
  <c r="T926" i="2"/>
  <c r="Q926" i="2"/>
  <c r="P926" i="2"/>
  <c r="O926" i="2"/>
  <c r="R926" i="2" s="1"/>
  <c r="N926" i="2"/>
  <c r="M926" i="2"/>
  <c r="J926" i="2"/>
  <c r="K926" i="2" s="1"/>
  <c r="L926" i="2" s="1"/>
  <c r="I926" i="2"/>
  <c r="H926" i="2"/>
  <c r="U925" i="2"/>
  <c r="T925" i="2"/>
  <c r="Q925" i="2"/>
  <c r="P925" i="2"/>
  <c r="O925" i="2"/>
  <c r="N925" i="2"/>
  <c r="M925" i="2"/>
  <c r="J925" i="2"/>
  <c r="K925" i="2" s="1"/>
  <c r="L925" i="2" s="1"/>
  <c r="I925" i="2"/>
  <c r="H925" i="2"/>
  <c r="U924" i="2"/>
  <c r="T924" i="2"/>
  <c r="Q924" i="2"/>
  <c r="P924" i="2"/>
  <c r="O924" i="2"/>
  <c r="R924" i="2" s="1"/>
  <c r="N924" i="2"/>
  <c r="M924" i="2"/>
  <c r="J924" i="2"/>
  <c r="K924" i="2" s="1"/>
  <c r="L924" i="2" s="1"/>
  <c r="I924" i="2"/>
  <c r="H924" i="2"/>
  <c r="U923" i="2"/>
  <c r="T923" i="2"/>
  <c r="Q923" i="2"/>
  <c r="P923" i="2"/>
  <c r="O923" i="2"/>
  <c r="R923" i="2" s="1"/>
  <c r="N923" i="2"/>
  <c r="M923" i="2"/>
  <c r="J923" i="2"/>
  <c r="K923" i="2" s="1"/>
  <c r="L923" i="2" s="1"/>
  <c r="I923" i="2"/>
  <c r="H923" i="2"/>
  <c r="U922" i="2"/>
  <c r="T922" i="2"/>
  <c r="Q922" i="2"/>
  <c r="P922" i="2"/>
  <c r="O922" i="2"/>
  <c r="R922" i="2" s="1"/>
  <c r="N922" i="2"/>
  <c r="M922" i="2"/>
  <c r="J922" i="2"/>
  <c r="K922" i="2" s="1"/>
  <c r="L922" i="2" s="1"/>
  <c r="I922" i="2"/>
  <c r="H922" i="2"/>
  <c r="U921" i="2"/>
  <c r="T921" i="2"/>
  <c r="Q921" i="2"/>
  <c r="P921" i="2"/>
  <c r="O921" i="2"/>
  <c r="N921" i="2"/>
  <c r="M921" i="2"/>
  <c r="J921" i="2"/>
  <c r="K921" i="2" s="1"/>
  <c r="L921" i="2" s="1"/>
  <c r="I921" i="2"/>
  <c r="H921" i="2"/>
  <c r="U920" i="2"/>
  <c r="T920" i="2"/>
  <c r="Q920" i="2"/>
  <c r="P920" i="2"/>
  <c r="O920" i="2"/>
  <c r="N920" i="2"/>
  <c r="M920" i="2"/>
  <c r="J920" i="2"/>
  <c r="K920" i="2" s="1"/>
  <c r="L920" i="2" s="1"/>
  <c r="I920" i="2"/>
  <c r="H920" i="2"/>
  <c r="U919" i="2"/>
  <c r="T919" i="2"/>
  <c r="Q919" i="2"/>
  <c r="P919" i="2"/>
  <c r="O919" i="2"/>
  <c r="R919" i="2" s="1"/>
  <c r="N919" i="2"/>
  <c r="M919" i="2"/>
  <c r="J919" i="2"/>
  <c r="K919" i="2" s="1"/>
  <c r="L919" i="2" s="1"/>
  <c r="I919" i="2"/>
  <c r="H919" i="2"/>
  <c r="U918" i="2"/>
  <c r="T918" i="2"/>
  <c r="Q918" i="2"/>
  <c r="P918" i="2"/>
  <c r="O918" i="2"/>
  <c r="R918" i="2" s="1"/>
  <c r="N918" i="2"/>
  <c r="M918" i="2"/>
  <c r="J918" i="2"/>
  <c r="K918" i="2" s="1"/>
  <c r="L918" i="2" s="1"/>
  <c r="I918" i="2"/>
  <c r="H918" i="2"/>
  <c r="U917" i="2"/>
  <c r="T917" i="2"/>
  <c r="Q917" i="2"/>
  <c r="P917" i="2"/>
  <c r="O917" i="2"/>
  <c r="R917" i="2" s="1"/>
  <c r="N917" i="2"/>
  <c r="M917" i="2"/>
  <c r="J917" i="2"/>
  <c r="K917" i="2" s="1"/>
  <c r="L917" i="2" s="1"/>
  <c r="I917" i="2"/>
  <c r="H917" i="2"/>
  <c r="U916" i="2"/>
  <c r="T916" i="2"/>
  <c r="Q916" i="2"/>
  <c r="P916" i="2"/>
  <c r="O916" i="2"/>
  <c r="N916" i="2"/>
  <c r="M916" i="2"/>
  <c r="J916" i="2"/>
  <c r="K916" i="2" s="1"/>
  <c r="L916" i="2" s="1"/>
  <c r="I916" i="2"/>
  <c r="H916" i="2"/>
  <c r="U915" i="2"/>
  <c r="T915" i="2"/>
  <c r="Q915" i="2"/>
  <c r="P915" i="2"/>
  <c r="O915" i="2"/>
  <c r="R915" i="2" s="1"/>
  <c r="N915" i="2"/>
  <c r="M915" i="2"/>
  <c r="J915" i="2"/>
  <c r="K915" i="2" s="1"/>
  <c r="L915" i="2" s="1"/>
  <c r="I915" i="2"/>
  <c r="H915" i="2"/>
  <c r="U914" i="2"/>
  <c r="T914" i="2"/>
  <c r="Q914" i="2"/>
  <c r="P914" i="2"/>
  <c r="O914" i="2"/>
  <c r="R914" i="2" s="1"/>
  <c r="N914" i="2"/>
  <c r="M914" i="2"/>
  <c r="J914" i="2"/>
  <c r="K914" i="2" s="1"/>
  <c r="L914" i="2" s="1"/>
  <c r="I914" i="2"/>
  <c r="H914" i="2"/>
  <c r="U913" i="2"/>
  <c r="T913" i="2"/>
  <c r="Q913" i="2"/>
  <c r="P913" i="2"/>
  <c r="O913" i="2"/>
  <c r="R913" i="2" s="1"/>
  <c r="N913" i="2"/>
  <c r="M913" i="2"/>
  <c r="J913" i="2"/>
  <c r="K913" i="2" s="1"/>
  <c r="L913" i="2" s="1"/>
  <c r="I913" i="2"/>
  <c r="H913" i="2"/>
  <c r="U912" i="2"/>
  <c r="T912" i="2"/>
  <c r="Q912" i="2"/>
  <c r="P912" i="2"/>
  <c r="O912" i="2"/>
  <c r="R912" i="2" s="1"/>
  <c r="N912" i="2"/>
  <c r="M912" i="2"/>
  <c r="J912" i="2"/>
  <c r="K912" i="2" s="1"/>
  <c r="L912" i="2" s="1"/>
  <c r="I912" i="2"/>
  <c r="H912" i="2"/>
  <c r="U911" i="2"/>
  <c r="T911" i="2"/>
  <c r="Q911" i="2"/>
  <c r="P911" i="2"/>
  <c r="O911" i="2"/>
  <c r="N911" i="2"/>
  <c r="M911" i="2"/>
  <c r="J911" i="2"/>
  <c r="K911" i="2" s="1"/>
  <c r="L911" i="2" s="1"/>
  <c r="I911" i="2"/>
  <c r="H911" i="2"/>
  <c r="U910" i="2"/>
  <c r="T910" i="2"/>
  <c r="Q910" i="2"/>
  <c r="P910" i="2"/>
  <c r="O910" i="2"/>
  <c r="R910" i="2" s="1"/>
  <c r="N910" i="2"/>
  <c r="M910" i="2"/>
  <c r="J910" i="2"/>
  <c r="K910" i="2" s="1"/>
  <c r="L910" i="2" s="1"/>
  <c r="I910" i="2"/>
  <c r="H910" i="2"/>
  <c r="U909" i="2"/>
  <c r="T909" i="2"/>
  <c r="Q909" i="2"/>
  <c r="P909" i="2"/>
  <c r="O909" i="2"/>
  <c r="R909" i="2" s="1"/>
  <c r="N909" i="2"/>
  <c r="M909" i="2"/>
  <c r="J909" i="2"/>
  <c r="K909" i="2" s="1"/>
  <c r="L909" i="2" s="1"/>
  <c r="I909" i="2"/>
  <c r="H909" i="2"/>
  <c r="U908" i="2"/>
  <c r="T908" i="2"/>
  <c r="Q908" i="2"/>
  <c r="P908" i="2"/>
  <c r="O908" i="2"/>
  <c r="R908" i="2" s="1"/>
  <c r="N908" i="2"/>
  <c r="M908" i="2"/>
  <c r="J908" i="2"/>
  <c r="K908" i="2" s="1"/>
  <c r="L908" i="2" s="1"/>
  <c r="I908" i="2"/>
  <c r="H908" i="2"/>
  <c r="U907" i="2"/>
  <c r="T907" i="2"/>
  <c r="Q907" i="2"/>
  <c r="P907" i="2"/>
  <c r="O907" i="2"/>
  <c r="N907" i="2"/>
  <c r="M907" i="2"/>
  <c r="J907" i="2"/>
  <c r="K907" i="2" s="1"/>
  <c r="L907" i="2" s="1"/>
  <c r="I907" i="2"/>
  <c r="H907" i="2"/>
  <c r="U906" i="2"/>
  <c r="T906" i="2"/>
  <c r="Q906" i="2"/>
  <c r="P906" i="2"/>
  <c r="O906" i="2"/>
  <c r="N906" i="2"/>
  <c r="M906" i="2"/>
  <c r="J906" i="2"/>
  <c r="K906" i="2" s="1"/>
  <c r="L906" i="2" s="1"/>
  <c r="I906" i="2"/>
  <c r="H906" i="2"/>
  <c r="U905" i="2"/>
  <c r="T905" i="2"/>
  <c r="Q905" i="2"/>
  <c r="P905" i="2"/>
  <c r="O905" i="2"/>
  <c r="R905" i="2" s="1"/>
  <c r="N905" i="2"/>
  <c r="M905" i="2"/>
  <c r="J905" i="2"/>
  <c r="K905" i="2" s="1"/>
  <c r="L905" i="2" s="1"/>
  <c r="I905" i="2"/>
  <c r="H905" i="2"/>
  <c r="U904" i="2"/>
  <c r="T904" i="2"/>
  <c r="Q904" i="2"/>
  <c r="P904" i="2"/>
  <c r="O904" i="2"/>
  <c r="N904" i="2"/>
  <c r="M904" i="2"/>
  <c r="J904" i="2"/>
  <c r="K904" i="2" s="1"/>
  <c r="L904" i="2" s="1"/>
  <c r="I904" i="2"/>
  <c r="H904" i="2"/>
  <c r="U903" i="2"/>
  <c r="T903" i="2"/>
  <c r="Q903" i="2"/>
  <c r="P903" i="2"/>
  <c r="O903" i="2"/>
  <c r="R903" i="2" s="1"/>
  <c r="N903" i="2"/>
  <c r="M903" i="2"/>
  <c r="J903" i="2"/>
  <c r="K903" i="2" s="1"/>
  <c r="L903" i="2" s="1"/>
  <c r="I903" i="2"/>
  <c r="H903" i="2"/>
  <c r="U902" i="2"/>
  <c r="T902" i="2"/>
  <c r="Q902" i="2"/>
  <c r="P902" i="2"/>
  <c r="O902" i="2"/>
  <c r="R902" i="2" s="1"/>
  <c r="N902" i="2"/>
  <c r="M902" i="2"/>
  <c r="J902" i="2"/>
  <c r="K902" i="2" s="1"/>
  <c r="L902" i="2" s="1"/>
  <c r="I902" i="2"/>
  <c r="H902" i="2"/>
  <c r="U901" i="2"/>
  <c r="T901" i="2"/>
  <c r="Q901" i="2"/>
  <c r="P901" i="2"/>
  <c r="O901" i="2"/>
  <c r="N901" i="2"/>
  <c r="M901" i="2"/>
  <c r="J901" i="2"/>
  <c r="K901" i="2" s="1"/>
  <c r="L901" i="2" s="1"/>
  <c r="I901" i="2"/>
  <c r="H901" i="2"/>
  <c r="U900" i="2"/>
  <c r="T900" i="2"/>
  <c r="Q900" i="2"/>
  <c r="P900" i="2"/>
  <c r="O900" i="2"/>
  <c r="R900" i="2" s="1"/>
  <c r="N900" i="2"/>
  <c r="M900" i="2"/>
  <c r="J900" i="2"/>
  <c r="K900" i="2" s="1"/>
  <c r="L900" i="2" s="1"/>
  <c r="I900" i="2"/>
  <c r="H900" i="2"/>
  <c r="U899" i="2"/>
  <c r="T899" i="2"/>
  <c r="Q899" i="2"/>
  <c r="P899" i="2"/>
  <c r="O899" i="2"/>
  <c r="R899" i="2" s="1"/>
  <c r="N899" i="2"/>
  <c r="M899" i="2"/>
  <c r="J899" i="2"/>
  <c r="K899" i="2" s="1"/>
  <c r="L899" i="2" s="1"/>
  <c r="I899" i="2"/>
  <c r="H899" i="2"/>
  <c r="U898" i="2"/>
  <c r="T898" i="2"/>
  <c r="Q898" i="2"/>
  <c r="P898" i="2"/>
  <c r="O898" i="2"/>
  <c r="R898" i="2" s="1"/>
  <c r="N898" i="2"/>
  <c r="M898" i="2"/>
  <c r="J898" i="2"/>
  <c r="K898" i="2" s="1"/>
  <c r="L898" i="2" s="1"/>
  <c r="I898" i="2"/>
  <c r="H898" i="2"/>
  <c r="U897" i="2"/>
  <c r="T897" i="2"/>
  <c r="Q897" i="2"/>
  <c r="P897" i="2"/>
  <c r="O897" i="2"/>
  <c r="N897" i="2"/>
  <c r="M897" i="2"/>
  <c r="J897" i="2"/>
  <c r="K897" i="2" s="1"/>
  <c r="L897" i="2" s="1"/>
  <c r="I897" i="2"/>
  <c r="H897" i="2"/>
  <c r="U896" i="2"/>
  <c r="T896" i="2"/>
  <c r="Q896" i="2"/>
  <c r="P896" i="2"/>
  <c r="O896" i="2"/>
  <c r="R896" i="2" s="1"/>
  <c r="N896" i="2"/>
  <c r="M896" i="2"/>
  <c r="J896" i="2"/>
  <c r="K896" i="2" s="1"/>
  <c r="L896" i="2" s="1"/>
  <c r="I896" i="2"/>
  <c r="H896" i="2"/>
  <c r="U895" i="2"/>
  <c r="T895" i="2"/>
  <c r="Q895" i="2"/>
  <c r="P895" i="2"/>
  <c r="O895" i="2"/>
  <c r="N895" i="2"/>
  <c r="M895" i="2"/>
  <c r="J895" i="2"/>
  <c r="K895" i="2" s="1"/>
  <c r="L895" i="2" s="1"/>
  <c r="I895" i="2"/>
  <c r="H895" i="2"/>
  <c r="U894" i="2"/>
  <c r="T894" i="2"/>
  <c r="Q894" i="2"/>
  <c r="P894" i="2"/>
  <c r="O894" i="2"/>
  <c r="R894" i="2" s="1"/>
  <c r="N894" i="2"/>
  <c r="M894" i="2"/>
  <c r="J894" i="2"/>
  <c r="K894" i="2" s="1"/>
  <c r="L894" i="2" s="1"/>
  <c r="I894" i="2"/>
  <c r="H894" i="2"/>
  <c r="U893" i="2"/>
  <c r="T893" i="2"/>
  <c r="Q893" i="2"/>
  <c r="P893" i="2"/>
  <c r="O893" i="2"/>
  <c r="N893" i="2"/>
  <c r="M893" i="2"/>
  <c r="J893" i="2"/>
  <c r="K893" i="2" s="1"/>
  <c r="L893" i="2" s="1"/>
  <c r="I893" i="2"/>
  <c r="H893" i="2"/>
  <c r="U892" i="2"/>
  <c r="T892" i="2"/>
  <c r="Q892" i="2"/>
  <c r="P892" i="2"/>
  <c r="O892" i="2"/>
  <c r="R892" i="2" s="1"/>
  <c r="N892" i="2"/>
  <c r="M892" i="2"/>
  <c r="J892" i="2"/>
  <c r="K892" i="2" s="1"/>
  <c r="L892" i="2" s="1"/>
  <c r="I892" i="2"/>
  <c r="H892" i="2"/>
  <c r="U891" i="2"/>
  <c r="T891" i="2"/>
  <c r="Q891" i="2"/>
  <c r="P891" i="2"/>
  <c r="O891" i="2"/>
  <c r="N891" i="2"/>
  <c r="M891" i="2"/>
  <c r="J891" i="2"/>
  <c r="K891" i="2" s="1"/>
  <c r="L891" i="2" s="1"/>
  <c r="I891" i="2"/>
  <c r="H891" i="2"/>
  <c r="U890" i="2"/>
  <c r="T890" i="2"/>
  <c r="Q890" i="2"/>
  <c r="P890" i="2"/>
  <c r="O890" i="2"/>
  <c r="R890" i="2" s="1"/>
  <c r="N890" i="2"/>
  <c r="M890" i="2"/>
  <c r="J890" i="2"/>
  <c r="K890" i="2" s="1"/>
  <c r="L890" i="2" s="1"/>
  <c r="I890" i="2"/>
  <c r="H890" i="2"/>
  <c r="U889" i="2"/>
  <c r="T889" i="2"/>
  <c r="Q889" i="2"/>
  <c r="P889" i="2"/>
  <c r="O889" i="2"/>
  <c r="R889" i="2" s="1"/>
  <c r="N889" i="2"/>
  <c r="M889" i="2"/>
  <c r="J889" i="2"/>
  <c r="K889" i="2" s="1"/>
  <c r="L889" i="2" s="1"/>
  <c r="I889" i="2"/>
  <c r="H889" i="2"/>
  <c r="U888" i="2"/>
  <c r="T888" i="2"/>
  <c r="Q888" i="2"/>
  <c r="P888" i="2"/>
  <c r="O888" i="2"/>
  <c r="R888" i="2" s="1"/>
  <c r="N888" i="2"/>
  <c r="M888" i="2"/>
  <c r="J888" i="2"/>
  <c r="K888" i="2" s="1"/>
  <c r="L888" i="2" s="1"/>
  <c r="I888" i="2"/>
  <c r="H888" i="2"/>
  <c r="U887" i="2"/>
  <c r="T887" i="2"/>
  <c r="Q887" i="2"/>
  <c r="P887" i="2"/>
  <c r="O887" i="2"/>
  <c r="N887" i="2"/>
  <c r="M887" i="2"/>
  <c r="J887" i="2"/>
  <c r="K887" i="2" s="1"/>
  <c r="L887" i="2" s="1"/>
  <c r="I887" i="2"/>
  <c r="H887" i="2"/>
  <c r="U886" i="2"/>
  <c r="T886" i="2"/>
  <c r="Q886" i="2"/>
  <c r="P886" i="2"/>
  <c r="O886" i="2"/>
  <c r="R886" i="2" s="1"/>
  <c r="N886" i="2"/>
  <c r="M886" i="2"/>
  <c r="J886" i="2"/>
  <c r="K886" i="2" s="1"/>
  <c r="L886" i="2" s="1"/>
  <c r="I886" i="2"/>
  <c r="H886" i="2"/>
  <c r="U885" i="2"/>
  <c r="T885" i="2"/>
  <c r="Q885" i="2"/>
  <c r="P885" i="2"/>
  <c r="O885" i="2"/>
  <c r="N885" i="2"/>
  <c r="M885" i="2"/>
  <c r="J885" i="2"/>
  <c r="K885" i="2" s="1"/>
  <c r="L885" i="2" s="1"/>
  <c r="I885" i="2"/>
  <c r="H885" i="2"/>
  <c r="U884" i="2"/>
  <c r="T884" i="2"/>
  <c r="Q884" i="2"/>
  <c r="P884" i="2"/>
  <c r="O884" i="2"/>
  <c r="N884" i="2"/>
  <c r="M884" i="2"/>
  <c r="J884" i="2"/>
  <c r="K884" i="2" s="1"/>
  <c r="L884" i="2" s="1"/>
  <c r="I884" i="2"/>
  <c r="H884" i="2"/>
  <c r="U883" i="2"/>
  <c r="T883" i="2"/>
  <c r="Q883" i="2"/>
  <c r="P883" i="2"/>
  <c r="O883" i="2"/>
  <c r="N883" i="2"/>
  <c r="M883" i="2"/>
  <c r="J883" i="2"/>
  <c r="K883" i="2" s="1"/>
  <c r="L883" i="2" s="1"/>
  <c r="I883" i="2"/>
  <c r="H883" i="2"/>
  <c r="U882" i="2"/>
  <c r="T882" i="2"/>
  <c r="Q882" i="2"/>
  <c r="P882" i="2"/>
  <c r="O882" i="2"/>
  <c r="R882" i="2" s="1"/>
  <c r="N882" i="2"/>
  <c r="M882" i="2"/>
  <c r="J882" i="2"/>
  <c r="K882" i="2" s="1"/>
  <c r="L882" i="2" s="1"/>
  <c r="I882" i="2"/>
  <c r="H882" i="2"/>
  <c r="U881" i="2"/>
  <c r="T881" i="2"/>
  <c r="Q881" i="2"/>
  <c r="P881" i="2"/>
  <c r="O881" i="2"/>
  <c r="N881" i="2"/>
  <c r="M881" i="2"/>
  <c r="J881" i="2"/>
  <c r="K881" i="2" s="1"/>
  <c r="L881" i="2" s="1"/>
  <c r="I881" i="2"/>
  <c r="H881" i="2"/>
  <c r="U880" i="2"/>
  <c r="T880" i="2"/>
  <c r="Q880" i="2"/>
  <c r="P880" i="2"/>
  <c r="O880" i="2"/>
  <c r="N880" i="2"/>
  <c r="M880" i="2"/>
  <c r="J880" i="2"/>
  <c r="K880" i="2" s="1"/>
  <c r="L880" i="2" s="1"/>
  <c r="I880" i="2"/>
  <c r="H880" i="2"/>
  <c r="U879" i="2"/>
  <c r="T879" i="2"/>
  <c r="Q879" i="2"/>
  <c r="P879" i="2"/>
  <c r="O879" i="2"/>
  <c r="N879" i="2"/>
  <c r="M879" i="2"/>
  <c r="J879" i="2"/>
  <c r="K879" i="2" s="1"/>
  <c r="L879" i="2" s="1"/>
  <c r="I879" i="2"/>
  <c r="H879" i="2"/>
  <c r="U878" i="2"/>
  <c r="T878" i="2"/>
  <c r="Q878" i="2"/>
  <c r="P878" i="2"/>
  <c r="O878" i="2"/>
  <c r="R878" i="2" s="1"/>
  <c r="N878" i="2"/>
  <c r="M878" i="2"/>
  <c r="J878" i="2"/>
  <c r="K878" i="2" s="1"/>
  <c r="L878" i="2" s="1"/>
  <c r="I878" i="2"/>
  <c r="H878" i="2"/>
  <c r="U877" i="2"/>
  <c r="T877" i="2"/>
  <c r="Q877" i="2"/>
  <c r="P877" i="2"/>
  <c r="O877" i="2"/>
  <c r="R877" i="2" s="1"/>
  <c r="N877" i="2"/>
  <c r="M877" i="2"/>
  <c r="J877" i="2"/>
  <c r="K877" i="2" s="1"/>
  <c r="L877" i="2" s="1"/>
  <c r="I877" i="2"/>
  <c r="H877" i="2"/>
  <c r="U876" i="2"/>
  <c r="T876" i="2"/>
  <c r="Q876" i="2"/>
  <c r="P876" i="2"/>
  <c r="O876" i="2"/>
  <c r="N876" i="2"/>
  <c r="M876" i="2"/>
  <c r="J876" i="2"/>
  <c r="K876" i="2" s="1"/>
  <c r="L876" i="2" s="1"/>
  <c r="I876" i="2"/>
  <c r="H876" i="2"/>
  <c r="U875" i="2"/>
  <c r="T875" i="2"/>
  <c r="Q875" i="2"/>
  <c r="P875" i="2"/>
  <c r="O875" i="2"/>
  <c r="N875" i="2"/>
  <c r="M875" i="2"/>
  <c r="J875" i="2"/>
  <c r="K875" i="2" s="1"/>
  <c r="L875" i="2" s="1"/>
  <c r="I875" i="2"/>
  <c r="H875" i="2"/>
  <c r="U874" i="2"/>
  <c r="T874" i="2"/>
  <c r="Q874" i="2"/>
  <c r="P874" i="2"/>
  <c r="O874" i="2"/>
  <c r="R874" i="2" s="1"/>
  <c r="N874" i="2"/>
  <c r="M874" i="2"/>
  <c r="J874" i="2"/>
  <c r="K874" i="2" s="1"/>
  <c r="L874" i="2" s="1"/>
  <c r="I874" i="2"/>
  <c r="H874" i="2"/>
  <c r="U873" i="2"/>
  <c r="T873" i="2"/>
  <c r="Q873" i="2"/>
  <c r="P873" i="2"/>
  <c r="O873" i="2"/>
  <c r="R873" i="2" s="1"/>
  <c r="N873" i="2"/>
  <c r="M873" i="2"/>
  <c r="J873" i="2"/>
  <c r="K873" i="2" s="1"/>
  <c r="L873" i="2" s="1"/>
  <c r="I873" i="2"/>
  <c r="H873" i="2"/>
  <c r="U872" i="2"/>
  <c r="T872" i="2"/>
  <c r="Q872" i="2"/>
  <c r="P872" i="2"/>
  <c r="O872" i="2"/>
  <c r="N872" i="2"/>
  <c r="M872" i="2"/>
  <c r="J872" i="2"/>
  <c r="K872" i="2" s="1"/>
  <c r="L872" i="2" s="1"/>
  <c r="I872" i="2"/>
  <c r="H872" i="2"/>
  <c r="U871" i="2"/>
  <c r="T871" i="2"/>
  <c r="Q871" i="2"/>
  <c r="P871" i="2"/>
  <c r="O871" i="2"/>
  <c r="N871" i="2"/>
  <c r="M871" i="2"/>
  <c r="J871" i="2"/>
  <c r="K871" i="2" s="1"/>
  <c r="L871" i="2" s="1"/>
  <c r="I871" i="2"/>
  <c r="H871" i="2"/>
  <c r="U870" i="2"/>
  <c r="T870" i="2"/>
  <c r="Q870" i="2"/>
  <c r="P870" i="2"/>
  <c r="O870" i="2"/>
  <c r="R870" i="2" s="1"/>
  <c r="N870" i="2"/>
  <c r="M870" i="2"/>
  <c r="J870" i="2"/>
  <c r="K870" i="2" s="1"/>
  <c r="L870" i="2" s="1"/>
  <c r="I870" i="2"/>
  <c r="H870" i="2"/>
  <c r="U869" i="2"/>
  <c r="T869" i="2"/>
  <c r="Q869" i="2"/>
  <c r="P869" i="2"/>
  <c r="O869" i="2"/>
  <c r="R869" i="2" s="1"/>
  <c r="N869" i="2"/>
  <c r="M869" i="2"/>
  <c r="J869" i="2"/>
  <c r="K869" i="2" s="1"/>
  <c r="L869" i="2" s="1"/>
  <c r="I869" i="2"/>
  <c r="H869" i="2"/>
  <c r="U868" i="2"/>
  <c r="T868" i="2"/>
  <c r="Q868" i="2"/>
  <c r="P868" i="2"/>
  <c r="O868" i="2"/>
  <c r="R868" i="2" s="1"/>
  <c r="N868" i="2"/>
  <c r="M868" i="2"/>
  <c r="J868" i="2"/>
  <c r="K868" i="2" s="1"/>
  <c r="L868" i="2" s="1"/>
  <c r="I868" i="2"/>
  <c r="H868" i="2"/>
  <c r="U867" i="2"/>
  <c r="T867" i="2"/>
  <c r="Q867" i="2"/>
  <c r="P867" i="2"/>
  <c r="O867" i="2"/>
  <c r="N867" i="2"/>
  <c r="M867" i="2"/>
  <c r="J867" i="2"/>
  <c r="K867" i="2" s="1"/>
  <c r="L867" i="2" s="1"/>
  <c r="I867" i="2"/>
  <c r="H867" i="2"/>
  <c r="U866" i="2"/>
  <c r="T866" i="2"/>
  <c r="Q866" i="2"/>
  <c r="P866" i="2"/>
  <c r="O866" i="2"/>
  <c r="R866" i="2" s="1"/>
  <c r="N866" i="2"/>
  <c r="M866" i="2"/>
  <c r="J866" i="2"/>
  <c r="K866" i="2" s="1"/>
  <c r="L866" i="2" s="1"/>
  <c r="I866" i="2"/>
  <c r="H866" i="2"/>
  <c r="U865" i="2"/>
  <c r="T865" i="2"/>
  <c r="Q865" i="2"/>
  <c r="P865" i="2"/>
  <c r="O865" i="2"/>
  <c r="R865" i="2" s="1"/>
  <c r="N865" i="2"/>
  <c r="M865" i="2"/>
  <c r="J865" i="2"/>
  <c r="K865" i="2" s="1"/>
  <c r="L865" i="2" s="1"/>
  <c r="I865" i="2"/>
  <c r="H865" i="2"/>
  <c r="U864" i="2"/>
  <c r="T864" i="2"/>
  <c r="Q864" i="2"/>
  <c r="P864" i="2"/>
  <c r="O864" i="2"/>
  <c r="N864" i="2"/>
  <c r="M864" i="2"/>
  <c r="J864" i="2"/>
  <c r="K864" i="2" s="1"/>
  <c r="L864" i="2" s="1"/>
  <c r="I864" i="2"/>
  <c r="H864" i="2"/>
  <c r="U863" i="2"/>
  <c r="T863" i="2"/>
  <c r="Q863" i="2"/>
  <c r="P863" i="2"/>
  <c r="O863" i="2"/>
  <c r="N863" i="2"/>
  <c r="M863" i="2"/>
  <c r="J863" i="2"/>
  <c r="K863" i="2" s="1"/>
  <c r="L863" i="2" s="1"/>
  <c r="I863" i="2"/>
  <c r="H863" i="2"/>
  <c r="U862" i="2"/>
  <c r="T862" i="2"/>
  <c r="Q862" i="2"/>
  <c r="P862" i="2"/>
  <c r="O862" i="2"/>
  <c r="R862" i="2" s="1"/>
  <c r="N862" i="2"/>
  <c r="M862" i="2"/>
  <c r="J862" i="2"/>
  <c r="K862" i="2" s="1"/>
  <c r="L862" i="2" s="1"/>
  <c r="I862" i="2"/>
  <c r="H862" i="2"/>
  <c r="U861" i="2"/>
  <c r="T861" i="2"/>
  <c r="Q861" i="2"/>
  <c r="P861" i="2"/>
  <c r="O861" i="2"/>
  <c r="N861" i="2"/>
  <c r="M861" i="2"/>
  <c r="J861" i="2"/>
  <c r="K861" i="2" s="1"/>
  <c r="L861" i="2" s="1"/>
  <c r="I861" i="2"/>
  <c r="H861" i="2"/>
  <c r="U860" i="2"/>
  <c r="T860" i="2"/>
  <c r="Q860" i="2"/>
  <c r="P860" i="2"/>
  <c r="O860" i="2"/>
  <c r="N860" i="2"/>
  <c r="M860" i="2"/>
  <c r="J860" i="2"/>
  <c r="K860" i="2" s="1"/>
  <c r="L860" i="2" s="1"/>
  <c r="I860" i="2"/>
  <c r="H860" i="2"/>
  <c r="U859" i="2"/>
  <c r="T859" i="2"/>
  <c r="Q859" i="2"/>
  <c r="P859" i="2"/>
  <c r="O859" i="2"/>
  <c r="N859" i="2"/>
  <c r="M859" i="2"/>
  <c r="J859" i="2"/>
  <c r="K859" i="2" s="1"/>
  <c r="L859" i="2" s="1"/>
  <c r="I859" i="2"/>
  <c r="H859" i="2"/>
  <c r="U858" i="2"/>
  <c r="T858" i="2"/>
  <c r="Q858" i="2"/>
  <c r="P858" i="2"/>
  <c r="O858" i="2"/>
  <c r="R858" i="2" s="1"/>
  <c r="N858" i="2"/>
  <c r="M858" i="2"/>
  <c r="J858" i="2"/>
  <c r="K858" i="2" s="1"/>
  <c r="L858" i="2" s="1"/>
  <c r="I858" i="2"/>
  <c r="H858" i="2"/>
  <c r="U857" i="2"/>
  <c r="T857" i="2"/>
  <c r="Q857" i="2"/>
  <c r="P857" i="2"/>
  <c r="O857" i="2"/>
  <c r="R857" i="2" s="1"/>
  <c r="N857" i="2"/>
  <c r="M857" i="2"/>
  <c r="J857" i="2"/>
  <c r="K857" i="2" s="1"/>
  <c r="L857" i="2" s="1"/>
  <c r="I857" i="2"/>
  <c r="H857" i="2"/>
  <c r="U856" i="2"/>
  <c r="T856" i="2"/>
  <c r="Q856" i="2"/>
  <c r="P856" i="2"/>
  <c r="O856" i="2"/>
  <c r="N856" i="2"/>
  <c r="M856" i="2"/>
  <c r="J856" i="2"/>
  <c r="K856" i="2" s="1"/>
  <c r="L856" i="2" s="1"/>
  <c r="I856" i="2"/>
  <c r="H856" i="2"/>
  <c r="U855" i="2"/>
  <c r="T855" i="2"/>
  <c r="Q855" i="2"/>
  <c r="P855" i="2"/>
  <c r="O855" i="2"/>
  <c r="N855" i="2"/>
  <c r="M855" i="2"/>
  <c r="J855" i="2"/>
  <c r="K855" i="2" s="1"/>
  <c r="L855" i="2" s="1"/>
  <c r="I855" i="2"/>
  <c r="H855" i="2"/>
  <c r="U854" i="2"/>
  <c r="T854" i="2"/>
  <c r="Q854" i="2"/>
  <c r="P854" i="2"/>
  <c r="O854" i="2"/>
  <c r="R854" i="2" s="1"/>
  <c r="N854" i="2"/>
  <c r="M854" i="2"/>
  <c r="J854" i="2"/>
  <c r="K854" i="2" s="1"/>
  <c r="L854" i="2" s="1"/>
  <c r="I854" i="2"/>
  <c r="H854" i="2"/>
  <c r="U853" i="2"/>
  <c r="T853" i="2"/>
  <c r="Q853" i="2"/>
  <c r="P853" i="2"/>
  <c r="O853" i="2"/>
  <c r="R853" i="2" s="1"/>
  <c r="N853" i="2"/>
  <c r="M853" i="2"/>
  <c r="J853" i="2"/>
  <c r="K853" i="2" s="1"/>
  <c r="L853" i="2" s="1"/>
  <c r="I853" i="2"/>
  <c r="H853" i="2"/>
  <c r="U852" i="2"/>
  <c r="T852" i="2"/>
  <c r="Q852" i="2"/>
  <c r="P852" i="2"/>
  <c r="O852" i="2"/>
  <c r="N852" i="2"/>
  <c r="M852" i="2"/>
  <c r="J852" i="2"/>
  <c r="K852" i="2" s="1"/>
  <c r="L852" i="2" s="1"/>
  <c r="I852" i="2"/>
  <c r="H852" i="2"/>
  <c r="U851" i="2"/>
  <c r="T851" i="2"/>
  <c r="Q851" i="2"/>
  <c r="P851" i="2"/>
  <c r="O851" i="2"/>
  <c r="N851" i="2"/>
  <c r="M851" i="2"/>
  <c r="J851" i="2"/>
  <c r="K851" i="2" s="1"/>
  <c r="L851" i="2" s="1"/>
  <c r="I851" i="2"/>
  <c r="H851" i="2"/>
  <c r="U850" i="2"/>
  <c r="T850" i="2"/>
  <c r="Q850" i="2"/>
  <c r="P850" i="2"/>
  <c r="O850" i="2"/>
  <c r="R850" i="2" s="1"/>
  <c r="N850" i="2"/>
  <c r="M850" i="2"/>
  <c r="J850" i="2"/>
  <c r="K850" i="2" s="1"/>
  <c r="L850" i="2" s="1"/>
  <c r="I850" i="2"/>
  <c r="H850" i="2"/>
  <c r="U849" i="2"/>
  <c r="T849" i="2"/>
  <c r="Q849" i="2"/>
  <c r="P849" i="2"/>
  <c r="O849" i="2"/>
  <c r="R849" i="2" s="1"/>
  <c r="N849" i="2"/>
  <c r="M849" i="2"/>
  <c r="J849" i="2"/>
  <c r="K849" i="2" s="1"/>
  <c r="L849" i="2" s="1"/>
  <c r="I849" i="2"/>
  <c r="H849" i="2"/>
  <c r="U848" i="2"/>
  <c r="T848" i="2"/>
  <c r="Q848" i="2"/>
  <c r="P848" i="2"/>
  <c r="O848" i="2"/>
  <c r="R848" i="2" s="1"/>
  <c r="N848" i="2"/>
  <c r="M848" i="2"/>
  <c r="J848" i="2"/>
  <c r="K848" i="2" s="1"/>
  <c r="L848" i="2" s="1"/>
  <c r="I848" i="2"/>
  <c r="H848" i="2"/>
  <c r="U847" i="2"/>
  <c r="T847" i="2"/>
  <c r="Q847" i="2"/>
  <c r="P847" i="2"/>
  <c r="O847" i="2"/>
  <c r="N847" i="2"/>
  <c r="M847" i="2"/>
  <c r="J847" i="2"/>
  <c r="K847" i="2" s="1"/>
  <c r="L847" i="2" s="1"/>
  <c r="I847" i="2"/>
  <c r="H847" i="2"/>
  <c r="U846" i="2"/>
  <c r="T846" i="2"/>
  <c r="V846" i="2" s="1"/>
  <c r="Q846" i="2"/>
  <c r="P846" i="2"/>
  <c r="O846" i="2"/>
  <c r="R846" i="2" s="1"/>
  <c r="N846" i="2"/>
  <c r="M846" i="2"/>
  <c r="J846" i="2"/>
  <c r="K846" i="2" s="1"/>
  <c r="L846" i="2" s="1"/>
  <c r="I846" i="2"/>
  <c r="H846" i="2"/>
  <c r="U845" i="2"/>
  <c r="T845" i="2"/>
  <c r="Q845" i="2"/>
  <c r="P845" i="2"/>
  <c r="O845" i="2"/>
  <c r="R845" i="2" s="1"/>
  <c r="N845" i="2"/>
  <c r="M845" i="2"/>
  <c r="J845" i="2"/>
  <c r="K845" i="2" s="1"/>
  <c r="L845" i="2" s="1"/>
  <c r="I845" i="2"/>
  <c r="H845" i="2"/>
  <c r="U844" i="2"/>
  <c r="T844" i="2"/>
  <c r="Q844" i="2"/>
  <c r="P844" i="2"/>
  <c r="O844" i="2"/>
  <c r="N844" i="2"/>
  <c r="M844" i="2"/>
  <c r="J844" i="2"/>
  <c r="K844" i="2" s="1"/>
  <c r="L844" i="2" s="1"/>
  <c r="I844" i="2"/>
  <c r="H844" i="2"/>
  <c r="U843" i="2"/>
  <c r="T843" i="2"/>
  <c r="Q843" i="2"/>
  <c r="P843" i="2"/>
  <c r="O843" i="2"/>
  <c r="N843" i="2"/>
  <c r="M843" i="2"/>
  <c r="J843" i="2"/>
  <c r="K843" i="2" s="1"/>
  <c r="L843" i="2" s="1"/>
  <c r="I843" i="2"/>
  <c r="H843" i="2"/>
  <c r="U842" i="2"/>
  <c r="T842" i="2"/>
  <c r="Q842" i="2"/>
  <c r="P842" i="2"/>
  <c r="O842" i="2"/>
  <c r="R842" i="2" s="1"/>
  <c r="N842" i="2"/>
  <c r="M842" i="2"/>
  <c r="J842" i="2"/>
  <c r="K842" i="2" s="1"/>
  <c r="L842" i="2" s="1"/>
  <c r="I842" i="2"/>
  <c r="H842" i="2"/>
  <c r="U841" i="2"/>
  <c r="T841" i="2"/>
  <c r="Q841" i="2"/>
  <c r="P841" i="2"/>
  <c r="O841" i="2"/>
  <c r="N841" i="2"/>
  <c r="M841" i="2"/>
  <c r="J841" i="2"/>
  <c r="K841" i="2" s="1"/>
  <c r="L841" i="2" s="1"/>
  <c r="I841" i="2"/>
  <c r="H841" i="2"/>
  <c r="U840" i="2"/>
  <c r="T840" i="2"/>
  <c r="Q840" i="2"/>
  <c r="P840" i="2"/>
  <c r="O840" i="2"/>
  <c r="N840" i="2"/>
  <c r="M840" i="2"/>
  <c r="J840" i="2"/>
  <c r="K840" i="2" s="1"/>
  <c r="L840" i="2" s="1"/>
  <c r="I840" i="2"/>
  <c r="H840" i="2"/>
  <c r="U839" i="2"/>
  <c r="T839" i="2"/>
  <c r="Q839" i="2"/>
  <c r="P839" i="2"/>
  <c r="O839" i="2"/>
  <c r="N839" i="2"/>
  <c r="M839" i="2"/>
  <c r="J839" i="2"/>
  <c r="K839" i="2" s="1"/>
  <c r="L839" i="2" s="1"/>
  <c r="I839" i="2"/>
  <c r="H839" i="2"/>
  <c r="U838" i="2"/>
  <c r="T838" i="2"/>
  <c r="Q838" i="2"/>
  <c r="P838" i="2"/>
  <c r="O838" i="2"/>
  <c r="R838" i="2" s="1"/>
  <c r="N838" i="2"/>
  <c r="M838" i="2"/>
  <c r="J838" i="2"/>
  <c r="K838" i="2" s="1"/>
  <c r="L838" i="2" s="1"/>
  <c r="I838" i="2"/>
  <c r="H838" i="2"/>
  <c r="U837" i="2"/>
  <c r="T837" i="2"/>
  <c r="Q837" i="2"/>
  <c r="P837" i="2"/>
  <c r="O837" i="2"/>
  <c r="R837" i="2" s="1"/>
  <c r="N837" i="2"/>
  <c r="M837" i="2"/>
  <c r="J837" i="2"/>
  <c r="K837" i="2" s="1"/>
  <c r="L837" i="2" s="1"/>
  <c r="I837" i="2"/>
  <c r="H837" i="2"/>
  <c r="U836" i="2"/>
  <c r="T836" i="2"/>
  <c r="Q836" i="2"/>
  <c r="P836" i="2"/>
  <c r="O836" i="2"/>
  <c r="N836" i="2"/>
  <c r="M836" i="2"/>
  <c r="J836" i="2"/>
  <c r="K836" i="2" s="1"/>
  <c r="L836" i="2" s="1"/>
  <c r="I836" i="2"/>
  <c r="H836" i="2"/>
  <c r="U835" i="2"/>
  <c r="T835" i="2"/>
  <c r="Q835" i="2"/>
  <c r="P835" i="2"/>
  <c r="O835" i="2"/>
  <c r="N835" i="2"/>
  <c r="M835" i="2"/>
  <c r="J835" i="2"/>
  <c r="K835" i="2" s="1"/>
  <c r="L835" i="2" s="1"/>
  <c r="I835" i="2"/>
  <c r="H835" i="2"/>
  <c r="U834" i="2"/>
  <c r="T834" i="2"/>
  <c r="V834" i="2" s="1"/>
  <c r="Q834" i="2"/>
  <c r="P834" i="2"/>
  <c r="O834" i="2"/>
  <c r="R834" i="2" s="1"/>
  <c r="N834" i="2"/>
  <c r="M834" i="2"/>
  <c r="J834" i="2"/>
  <c r="K834" i="2" s="1"/>
  <c r="L834" i="2" s="1"/>
  <c r="I834" i="2"/>
  <c r="H834" i="2"/>
  <c r="U833" i="2"/>
  <c r="T833" i="2"/>
  <c r="Q833" i="2"/>
  <c r="P833" i="2"/>
  <c r="O833" i="2"/>
  <c r="R833" i="2" s="1"/>
  <c r="N833" i="2"/>
  <c r="M833" i="2"/>
  <c r="J833" i="2"/>
  <c r="K833" i="2" s="1"/>
  <c r="L833" i="2" s="1"/>
  <c r="I833" i="2"/>
  <c r="H833" i="2"/>
  <c r="U832" i="2"/>
  <c r="T832" i="2"/>
  <c r="Q832" i="2"/>
  <c r="P832" i="2"/>
  <c r="O832" i="2"/>
  <c r="R832" i="2" s="1"/>
  <c r="N832" i="2"/>
  <c r="M832" i="2"/>
  <c r="J832" i="2"/>
  <c r="K832" i="2" s="1"/>
  <c r="L832" i="2" s="1"/>
  <c r="I832" i="2"/>
  <c r="H832" i="2"/>
  <c r="U831" i="2"/>
  <c r="T831" i="2"/>
  <c r="Q831" i="2"/>
  <c r="P831" i="2"/>
  <c r="O831" i="2"/>
  <c r="N831" i="2"/>
  <c r="M831" i="2"/>
  <c r="J831" i="2"/>
  <c r="K831" i="2" s="1"/>
  <c r="L831" i="2" s="1"/>
  <c r="I831" i="2"/>
  <c r="H831" i="2"/>
  <c r="U830" i="2"/>
  <c r="T830" i="2"/>
  <c r="Q830" i="2"/>
  <c r="P830" i="2"/>
  <c r="O830" i="2"/>
  <c r="R830" i="2" s="1"/>
  <c r="N830" i="2"/>
  <c r="M830" i="2"/>
  <c r="J830" i="2"/>
  <c r="K830" i="2" s="1"/>
  <c r="L830" i="2" s="1"/>
  <c r="I830" i="2"/>
  <c r="H830" i="2"/>
  <c r="U829" i="2"/>
  <c r="T829" i="2"/>
  <c r="Q829" i="2"/>
  <c r="P829" i="2"/>
  <c r="O829" i="2"/>
  <c r="R829" i="2" s="1"/>
  <c r="N829" i="2"/>
  <c r="M829" i="2"/>
  <c r="J829" i="2"/>
  <c r="K829" i="2" s="1"/>
  <c r="L829" i="2" s="1"/>
  <c r="I829" i="2"/>
  <c r="H829" i="2"/>
  <c r="U828" i="2"/>
  <c r="T828" i="2"/>
  <c r="Q828" i="2"/>
  <c r="P828" i="2"/>
  <c r="O828" i="2"/>
  <c r="R828" i="2" s="1"/>
  <c r="N828" i="2"/>
  <c r="M828" i="2"/>
  <c r="J828" i="2"/>
  <c r="K828" i="2" s="1"/>
  <c r="L828" i="2" s="1"/>
  <c r="I828" i="2"/>
  <c r="H828" i="2"/>
  <c r="U827" i="2"/>
  <c r="T827" i="2"/>
  <c r="Q827" i="2"/>
  <c r="P827" i="2"/>
  <c r="O827" i="2"/>
  <c r="N827" i="2"/>
  <c r="M827" i="2"/>
  <c r="J827" i="2"/>
  <c r="K827" i="2" s="1"/>
  <c r="L827" i="2" s="1"/>
  <c r="I827" i="2"/>
  <c r="H827" i="2"/>
  <c r="U826" i="2"/>
  <c r="T826" i="2"/>
  <c r="Q826" i="2"/>
  <c r="P826" i="2"/>
  <c r="O826" i="2"/>
  <c r="R826" i="2" s="1"/>
  <c r="N826" i="2"/>
  <c r="M826" i="2"/>
  <c r="J826" i="2"/>
  <c r="K826" i="2" s="1"/>
  <c r="L826" i="2" s="1"/>
  <c r="I826" i="2"/>
  <c r="H826" i="2"/>
  <c r="U825" i="2"/>
  <c r="T825" i="2"/>
  <c r="Q825" i="2"/>
  <c r="P825" i="2"/>
  <c r="O825" i="2"/>
  <c r="R825" i="2" s="1"/>
  <c r="N825" i="2"/>
  <c r="M825" i="2"/>
  <c r="J825" i="2"/>
  <c r="K825" i="2" s="1"/>
  <c r="L825" i="2" s="1"/>
  <c r="I825" i="2"/>
  <c r="H825" i="2"/>
  <c r="U824" i="2"/>
  <c r="T824" i="2"/>
  <c r="Q824" i="2"/>
  <c r="P824" i="2"/>
  <c r="O824" i="2"/>
  <c r="R824" i="2" s="1"/>
  <c r="N824" i="2"/>
  <c r="M824" i="2"/>
  <c r="J824" i="2"/>
  <c r="K824" i="2" s="1"/>
  <c r="L824" i="2" s="1"/>
  <c r="I824" i="2"/>
  <c r="H824" i="2"/>
  <c r="U823" i="2"/>
  <c r="T823" i="2"/>
  <c r="Q823" i="2"/>
  <c r="P823" i="2"/>
  <c r="O823" i="2"/>
  <c r="N823" i="2"/>
  <c r="M823" i="2"/>
  <c r="J823" i="2"/>
  <c r="K823" i="2" s="1"/>
  <c r="L823" i="2" s="1"/>
  <c r="I823" i="2"/>
  <c r="H823" i="2"/>
  <c r="U822" i="2"/>
  <c r="T822" i="2"/>
  <c r="Q822" i="2"/>
  <c r="P822" i="2"/>
  <c r="O822" i="2"/>
  <c r="R822" i="2" s="1"/>
  <c r="N822" i="2"/>
  <c r="M822" i="2"/>
  <c r="J822" i="2"/>
  <c r="K822" i="2" s="1"/>
  <c r="L822" i="2" s="1"/>
  <c r="I822" i="2"/>
  <c r="H822" i="2"/>
  <c r="U821" i="2"/>
  <c r="T821" i="2"/>
  <c r="Q821" i="2"/>
  <c r="P821" i="2"/>
  <c r="O821" i="2"/>
  <c r="R821" i="2" s="1"/>
  <c r="N821" i="2"/>
  <c r="M821" i="2"/>
  <c r="J821" i="2"/>
  <c r="K821" i="2" s="1"/>
  <c r="L821" i="2" s="1"/>
  <c r="I821" i="2"/>
  <c r="H821" i="2"/>
  <c r="U820" i="2"/>
  <c r="T820" i="2"/>
  <c r="Q820" i="2"/>
  <c r="P820" i="2"/>
  <c r="O820" i="2"/>
  <c r="N820" i="2"/>
  <c r="M820" i="2"/>
  <c r="J820" i="2"/>
  <c r="K820" i="2" s="1"/>
  <c r="L820" i="2" s="1"/>
  <c r="I820" i="2"/>
  <c r="H820" i="2"/>
  <c r="U819" i="2"/>
  <c r="T819" i="2"/>
  <c r="Q819" i="2"/>
  <c r="P819" i="2"/>
  <c r="O819" i="2"/>
  <c r="N819" i="2"/>
  <c r="M819" i="2"/>
  <c r="J819" i="2"/>
  <c r="K819" i="2" s="1"/>
  <c r="L819" i="2" s="1"/>
  <c r="I819" i="2"/>
  <c r="H819" i="2"/>
  <c r="U818" i="2"/>
  <c r="T818" i="2"/>
  <c r="Q818" i="2"/>
  <c r="P818" i="2"/>
  <c r="O818" i="2"/>
  <c r="R818" i="2" s="1"/>
  <c r="N818" i="2"/>
  <c r="M818" i="2"/>
  <c r="J818" i="2"/>
  <c r="K818" i="2" s="1"/>
  <c r="L818" i="2" s="1"/>
  <c r="I818" i="2"/>
  <c r="H818" i="2"/>
  <c r="U817" i="2"/>
  <c r="T817" i="2"/>
  <c r="Q817" i="2"/>
  <c r="P817" i="2"/>
  <c r="O817" i="2"/>
  <c r="R817" i="2" s="1"/>
  <c r="N817" i="2"/>
  <c r="M817" i="2"/>
  <c r="J817" i="2"/>
  <c r="K817" i="2" s="1"/>
  <c r="L817" i="2" s="1"/>
  <c r="I817" i="2"/>
  <c r="H817" i="2"/>
  <c r="U816" i="2"/>
  <c r="T816" i="2"/>
  <c r="Q816" i="2"/>
  <c r="P816" i="2"/>
  <c r="O816" i="2"/>
  <c r="N816" i="2"/>
  <c r="M816" i="2"/>
  <c r="J816" i="2"/>
  <c r="K816" i="2" s="1"/>
  <c r="L816" i="2" s="1"/>
  <c r="I816" i="2"/>
  <c r="H816" i="2"/>
  <c r="U815" i="2"/>
  <c r="T815" i="2"/>
  <c r="Q815" i="2"/>
  <c r="P815" i="2"/>
  <c r="O815" i="2"/>
  <c r="N815" i="2"/>
  <c r="M815" i="2"/>
  <c r="J815" i="2"/>
  <c r="K815" i="2" s="1"/>
  <c r="L815" i="2" s="1"/>
  <c r="I815" i="2"/>
  <c r="H815" i="2"/>
  <c r="U814" i="2"/>
  <c r="T814" i="2"/>
  <c r="Q814" i="2"/>
  <c r="P814" i="2"/>
  <c r="O814" i="2"/>
  <c r="R814" i="2" s="1"/>
  <c r="N814" i="2"/>
  <c r="M814" i="2"/>
  <c r="J814" i="2"/>
  <c r="K814" i="2" s="1"/>
  <c r="L814" i="2" s="1"/>
  <c r="I814" i="2"/>
  <c r="H814" i="2"/>
  <c r="U813" i="2"/>
  <c r="T813" i="2"/>
  <c r="Q813" i="2"/>
  <c r="P813" i="2"/>
  <c r="O813" i="2"/>
  <c r="R813" i="2" s="1"/>
  <c r="N813" i="2"/>
  <c r="M813" i="2"/>
  <c r="J813" i="2"/>
  <c r="K813" i="2" s="1"/>
  <c r="L813" i="2" s="1"/>
  <c r="I813" i="2"/>
  <c r="H813" i="2"/>
  <c r="U812" i="2"/>
  <c r="T812" i="2"/>
  <c r="Q812" i="2"/>
  <c r="P812" i="2"/>
  <c r="O812" i="2"/>
  <c r="N812" i="2"/>
  <c r="M812" i="2"/>
  <c r="J812" i="2"/>
  <c r="K812" i="2" s="1"/>
  <c r="L812" i="2" s="1"/>
  <c r="I812" i="2"/>
  <c r="H812" i="2"/>
  <c r="U811" i="2"/>
  <c r="T811" i="2"/>
  <c r="Q811" i="2"/>
  <c r="P811" i="2"/>
  <c r="O811" i="2"/>
  <c r="N811" i="2"/>
  <c r="M811" i="2"/>
  <c r="J811" i="2"/>
  <c r="K811" i="2" s="1"/>
  <c r="L811" i="2" s="1"/>
  <c r="I811" i="2"/>
  <c r="H811" i="2"/>
  <c r="U810" i="2"/>
  <c r="T810" i="2"/>
  <c r="Q810" i="2"/>
  <c r="P810" i="2"/>
  <c r="O810" i="2"/>
  <c r="R810" i="2" s="1"/>
  <c r="N810" i="2"/>
  <c r="M810" i="2"/>
  <c r="J810" i="2"/>
  <c r="K810" i="2" s="1"/>
  <c r="L810" i="2" s="1"/>
  <c r="I810" i="2"/>
  <c r="H810" i="2"/>
  <c r="U809" i="2"/>
  <c r="T809" i="2"/>
  <c r="Q809" i="2"/>
  <c r="P809" i="2"/>
  <c r="O809" i="2"/>
  <c r="R809" i="2" s="1"/>
  <c r="N809" i="2"/>
  <c r="M809" i="2"/>
  <c r="J809" i="2"/>
  <c r="K809" i="2" s="1"/>
  <c r="L809" i="2" s="1"/>
  <c r="I809" i="2"/>
  <c r="H809" i="2"/>
  <c r="U808" i="2"/>
  <c r="T808" i="2"/>
  <c r="Q808" i="2"/>
  <c r="P808" i="2"/>
  <c r="O808" i="2"/>
  <c r="N808" i="2"/>
  <c r="M808" i="2"/>
  <c r="J808" i="2"/>
  <c r="K808" i="2" s="1"/>
  <c r="L808" i="2" s="1"/>
  <c r="I808" i="2"/>
  <c r="H808" i="2"/>
  <c r="U807" i="2"/>
  <c r="T807" i="2"/>
  <c r="Q807" i="2"/>
  <c r="P807" i="2"/>
  <c r="O807" i="2"/>
  <c r="N807" i="2"/>
  <c r="M807" i="2"/>
  <c r="J807" i="2"/>
  <c r="K807" i="2" s="1"/>
  <c r="L807" i="2" s="1"/>
  <c r="I807" i="2"/>
  <c r="H807" i="2"/>
  <c r="U806" i="2"/>
  <c r="T806" i="2"/>
  <c r="Q806" i="2"/>
  <c r="P806" i="2"/>
  <c r="O806" i="2"/>
  <c r="R806" i="2" s="1"/>
  <c r="N806" i="2"/>
  <c r="M806" i="2"/>
  <c r="J806" i="2"/>
  <c r="K806" i="2" s="1"/>
  <c r="L806" i="2" s="1"/>
  <c r="I806" i="2"/>
  <c r="H806" i="2"/>
  <c r="U805" i="2"/>
  <c r="T805" i="2"/>
  <c r="Q805" i="2"/>
  <c r="P805" i="2"/>
  <c r="O805" i="2"/>
  <c r="R805" i="2" s="1"/>
  <c r="N805" i="2"/>
  <c r="M805" i="2"/>
  <c r="J805" i="2"/>
  <c r="K805" i="2" s="1"/>
  <c r="L805" i="2" s="1"/>
  <c r="I805" i="2"/>
  <c r="H805" i="2"/>
  <c r="U804" i="2"/>
  <c r="T804" i="2"/>
  <c r="Q804" i="2"/>
  <c r="P804" i="2"/>
  <c r="O804" i="2"/>
  <c r="R804" i="2" s="1"/>
  <c r="N804" i="2"/>
  <c r="M804" i="2"/>
  <c r="J804" i="2"/>
  <c r="K804" i="2" s="1"/>
  <c r="L804" i="2" s="1"/>
  <c r="I804" i="2"/>
  <c r="H804" i="2"/>
  <c r="U803" i="2"/>
  <c r="T803" i="2"/>
  <c r="Q803" i="2"/>
  <c r="P803" i="2"/>
  <c r="O803" i="2"/>
  <c r="N803" i="2"/>
  <c r="M803" i="2"/>
  <c r="J803" i="2"/>
  <c r="K803" i="2" s="1"/>
  <c r="L803" i="2" s="1"/>
  <c r="I803" i="2"/>
  <c r="H803" i="2"/>
  <c r="U802" i="2"/>
  <c r="T802" i="2"/>
  <c r="Q802" i="2"/>
  <c r="P802" i="2"/>
  <c r="O802" i="2"/>
  <c r="R802" i="2" s="1"/>
  <c r="N802" i="2"/>
  <c r="M802" i="2"/>
  <c r="J802" i="2"/>
  <c r="K802" i="2" s="1"/>
  <c r="L802" i="2" s="1"/>
  <c r="I802" i="2"/>
  <c r="H802" i="2"/>
  <c r="U801" i="2"/>
  <c r="T801" i="2"/>
  <c r="Q801" i="2"/>
  <c r="P801" i="2"/>
  <c r="O801" i="2"/>
  <c r="R801" i="2" s="1"/>
  <c r="N801" i="2"/>
  <c r="M801" i="2"/>
  <c r="J801" i="2"/>
  <c r="K801" i="2" s="1"/>
  <c r="L801" i="2" s="1"/>
  <c r="I801" i="2"/>
  <c r="H801" i="2"/>
  <c r="U800" i="2"/>
  <c r="T800" i="2"/>
  <c r="Q800" i="2"/>
  <c r="P800" i="2"/>
  <c r="O800" i="2"/>
  <c r="R800" i="2" s="1"/>
  <c r="N800" i="2"/>
  <c r="M800" i="2"/>
  <c r="J800" i="2"/>
  <c r="K800" i="2" s="1"/>
  <c r="L800" i="2" s="1"/>
  <c r="I800" i="2"/>
  <c r="H800" i="2"/>
  <c r="U799" i="2"/>
  <c r="T799" i="2"/>
  <c r="Q799" i="2"/>
  <c r="P799" i="2"/>
  <c r="O799" i="2"/>
  <c r="N799" i="2"/>
  <c r="M799" i="2"/>
  <c r="J799" i="2"/>
  <c r="K799" i="2" s="1"/>
  <c r="L799" i="2" s="1"/>
  <c r="I799" i="2"/>
  <c r="H799" i="2"/>
  <c r="U798" i="2"/>
  <c r="T798" i="2"/>
  <c r="V798" i="2" s="1"/>
  <c r="Q798" i="2"/>
  <c r="P798" i="2"/>
  <c r="O798" i="2"/>
  <c r="R798" i="2" s="1"/>
  <c r="N798" i="2"/>
  <c r="M798" i="2"/>
  <c r="J798" i="2"/>
  <c r="K798" i="2" s="1"/>
  <c r="L798" i="2" s="1"/>
  <c r="I798" i="2"/>
  <c r="H798" i="2"/>
  <c r="U797" i="2"/>
  <c r="T797" i="2"/>
  <c r="Q797" i="2"/>
  <c r="P797" i="2"/>
  <c r="O797" i="2"/>
  <c r="R797" i="2" s="1"/>
  <c r="N797" i="2"/>
  <c r="M797" i="2"/>
  <c r="J797" i="2"/>
  <c r="K797" i="2" s="1"/>
  <c r="L797" i="2" s="1"/>
  <c r="I797" i="2"/>
  <c r="H797" i="2"/>
  <c r="U796" i="2"/>
  <c r="T796" i="2"/>
  <c r="Q796" i="2"/>
  <c r="P796" i="2"/>
  <c r="O796" i="2"/>
  <c r="N796" i="2"/>
  <c r="M796" i="2"/>
  <c r="J796" i="2"/>
  <c r="K796" i="2" s="1"/>
  <c r="L796" i="2" s="1"/>
  <c r="I796" i="2"/>
  <c r="H796" i="2"/>
  <c r="U795" i="2"/>
  <c r="T795" i="2"/>
  <c r="Q795" i="2"/>
  <c r="P795" i="2"/>
  <c r="O795" i="2"/>
  <c r="N795" i="2"/>
  <c r="M795" i="2"/>
  <c r="J795" i="2"/>
  <c r="K795" i="2" s="1"/>
  <c r="L795" i="2" s="1"/>
  <c r="I795" i="2"/>
  <c r="H795" i="2"/>
  <c r="U794" i="2"/>
  <c r="T794" i="2"/>
  <c r="Q794" i="2"/>
  <c r="P794" i="2"/>
  <c r="O794" i="2"/>
  <c r="R794" i="2" s="1"/>
  <c r="N794" i="2"/>
  <c r="M794" i="2"/>
  <c r="J794" i="2"/>
  <c r="K794" i="2" s="1"/>
  <c r="L794" i="2" s="1"/>
  <c r="I794" i="2"/>
  <c r="H794" i="2"/>
  <c r="U793" i="2"/>
  <c r="T793" i="2"/>
  <c r="Q793" i="2"/>
  <c r="P793" i="2"/>
  <c r="O793" i="2"/>
  <c r="R793" i="2" s="1"/>
  <c r="N793" i="2"/>
  <c r="M793" i="2"/>
  <c r="J793" i="2"/>
  <c r="K793" i="2" s="1"/>
  <c r="L793" i="2" s="1"/>
  <c r="I793" i="2"/>
  <c r="H793" i="2"/>
  <c r="U792" i="2"/>
  <c r="T792" i="2"/>
  <c r="Q792" i="2"/>
  <c r="P792" i="2"/>
  <c r="O792" i="2"/>
  <c r="N792" i="2"/>
  <c r="M792" i="2"/>
  <c r="J792" i="2"/>
  <c r="K792" i="2" s="1"/>
  <c r="L792" i="2" s="1"/>
  <c r="I792" i="2"/>
  <c r="H792" i="2"/>
  <c r="U791" i="2"/>
  <c r="T791" i="2"/>
  <c r="Q791" i="2"/>
  <c r="P791" i="2"/>
  <c r="O791" i="2"/>
  <c r="N791" i="2"/>
  <c r="M791" i="2"/>
  <c r="J791" i="2"/>
  <c r="K791" i="2" s="1"/>
  <c r="L791" i="2" s="1"/>
  <c r="I791" i="2"/>
  <c r="H791" i="2"/>
  <c r="U790" i="2"/>
  <c r="T790" i="2"/>
  <c r="Q790" i="2"/>
  <c r="P790" i="2"/>
  <c r="O790" i="2"/>
  <c r="R790" i="2" s="1"/>
  <c r="N790" i="2"/>
  <c r="M790" i="2"/>
  <c r="J790" i="2"/>
  <c r="K790" i="2" s="1"/>
  <c r="L790" i="2" s="1"/>
  <c r="I790" i="2"/>
  <c r="H790" i="2"/>
  <c r="U789" i="2"/>
  <c r="T789" i="2"/>
  <c r="Q789" i="2"/>
  <c r="P789" i="2"/>
  <c r="O789" i="2"/>
  <c r="R789" i="2" s="1"/>
  <c r="N789" i="2"/>
  <c r="M789" i="2"/>
  <c r="J789" i="2"/>
  <c r="K789" i="2" s="1"/>
  <c r="L789" i="2" s="1"/>
  <c r="I789" i="2"/>
  <c r="H789" i="2"/>
  <c r="U788" i="2"/>
  <c r="T788" i="2"/>
  <c r="Q788" i="2"/>
  <c r="P788" i="2"/>
  <c r="O788" i="2"/>
  <c r="N788" i="2"/>
  <c r="M788" i="2"/>
  <c r="J788" i="2"/>
  <c r="K788" i="2" s="1"/>
  <c r="L788" i="2" s="1"/>
  <c r="I788" i="2"/>
  <c r="H788" i="2"/>
  <c r="U787" i="2"/>
  <c r="T787" i="2"/>
  <c r="Q787" i="2"/>
  <c r="P787" i="2"/>
  <c r="O787" i="2"/>
  <c r="N787" i="2"/>
  <c r="M787" i="2"/>
  <c r="J787" i="2"/>
  <c r="K787" i="2" s="1"/>
  <c r="L787" i="2" s="1"/>
  <c r="I787" i="2"/>
  <c r="H787" i="2"/>
  <c r="U786" i="2"/>
  <c r="T786" i="2"/>
  <c r="Q786" i="2"/>
  <c r="P786" i="2"/>
  <c r="O786" i="2"/>
  <c r="R786" i="2" s="1"/>
  <c r="N786" i="2"/>
  <c r="M786" i="2"/>
  <c r="J786" i="2"/>
  <c r="K786" i="2" s="1"/>
  <c r="L786" i="2" s="1"/>
  <c r="I786" i="2"/>
  <c r="H786" i="2"/>
  <c r="U785" i="2"/>
  <c r="T785" i="2"/>
  <c r="Q785" i="2"/>
  <c r="P785" i="2"/>
  <c r="O785" i="2"/>
  <c r="R785" i="2" s="1"/>
  <c r="N785" i="2"/>
  <c r="M785" i="2"/>
  <c r="J785" i="2"/>
  <c r="K785" i="2" s="1"/>
  <c r="L785" i="2" s="1"/>
  <c r="I785" i="2"/>
  <c r="H785" i="2"/>
  <c r="U784" i="2"/>
  <c r="T784" i="2"/>
  <c r="Q784" i="2"/>
  <c r="P784" i="2"/>
  <c r="O784" i="2"/>
  <c r="N784" i="2"/>
  <c r="M784" i="2"/>
  <c r="J784" i="2"/>
  <c r="K784" i="2" s="1"/>
  <c r="L784" i="2" s="1"/>
  <c r="I784" i="2"/>
  <c r="H784" i="2"/>
  <c r="U783" i="2"/>
  <c r="T783" i="2"/>
  <c r="Q783" i="2"/>
  <c r="P783" i="2"/>
  <c r="O783" i="2"/>
  <c r="N783" i="2"/>
  <c r="M783" i="2"/>
  <c r="J783" i="2"/>
  <c r="K783" i="2" s="1"/>
  <c r="L783" i="2" s="1"/>
  <c r="I783" i="2"/>
  <c r="H783" i="2"/>
  <c r="U782" i="2"/>
  <c r="T782" i="2"/>
  <c r="Q782" i="2"/>
  <c r="P782" i="2"/>
  <c r="O782" i="2"/>
  <c r="R782" i="2" s="1"/>
  <c r="N782" i="2"/>
  <c r="M782" i="2"/>
  <c r="J782" i="2"/>
  <c r="K782" i="2" s="1"/>
  <c r="L782" i="2" s="1"/>
  <c r="I782" i="2"/>
  <c r="H782" i="2"/>
  <c r="U781" i="2"/>
  <c r="T781" i="2"/>
  <c r="Q781" i="2"/>
  <c r="P781" i="2"/>
  <c r="O781" i="2"/>
  <c r="R781" i="2" s="1"/>
  <c r="N781" i="2"/>
  <c r="M781" i="2"/>
  <c r="J781" i="2"/>
  <c r="K781" i="2" s="1"/>
  <c r="L781" i="2" s="1"/>
  <c r="I781" i="2"/>
  <c r="H781" i="2"/>
  <c r="U780" i="2"/>
  <c r="T780" i="2"/>
  <c r="Q780" i="2"/>
  <c r="P780" i="2"/>
  <c r="O780" i="2"/>
  <c r="R780" i="2" s="1"/>
  <c r="N780" i="2"/>
  <c r="M780" i="2"/>
  <c r="J780" i="2"/>
  <c r="K780" i="2" s="1"/>
  <c r="L780" i="2" s="1"/>
  <c r="I780" i="2"/>
  <c r="H780" i="2"/>
  <c r="U779" i="2"/>
  <c r="T779" i="2"/>
  <c r="Q779" i="2"/>
  <c r="P779" i="2"/>
  <c r="O779" i="2"/>
  <c r="N779" i="2"/>
  <c r="M779" i="2"/>
  <c r="J779" i="2"/>
  <c r="K779" i="2" s="1"/>
  <c r="L779" i="2" s="1"/>
  <c r="I779" i="2"/>
  <c r="H779" i="2"/>
  <c r="U778" i="2"/>
  <c r="T778" i="2"/>
  <c r="Q778" i="2"/>
  <c r="P778" i="2"/>
  <c r="O778" i="2"/>
  <c r="R778" i="2" s="1"/>
  <c r="N778" i="2"/>
  <c r="M778" i="2"/>
  <c r="J778" i="2"/>
  <c r="K778" i="2" s="1"/>
  <c r="L778" i="2" s="1"/>
  <c r="I778" i="2"/>
  <c r="H778" i="2"/>
  <c r="U777" i="2"/>
  <c r="T777" i="2"/>
  <c r="Q777" i="2"/>
  <c r="P777" i="2"/>
  <c r="O777" i="2"/>
  <c r="R777" i="2" s="1"/>
  <c r="N777" i="2"/>
  <c r="M777" i="2"/>
  <c r="J777" i="2"/>
  <c r="K777" i="2" s="1"/>
  <c r="L777" i="2" s="1"/>
  <c r="I777" i="2"/>
  <c r="H777" i="2"/>
  <c r="U776" i="2"/>
  <c r="T776" i="2"/>
  <c r="Q776" i="2"/>
  <c r="P776" i="2"/>
  <c r="O776" i="2"/>
  <c r="R776" i="2" s="1"/>
  <c r="N776" i="2"/>
  <c r="M776" i="2"/>
  <c r="J776" i="2"/>
  <c r="K776" i="2" s="1"/>
  <c r="L776" i="2" s="1"/>
  <c r="I776" i="2"/>
  <c r="H776" i="2"/>
  <c r="U775" i="2"/>
  <c r="T775" i="2"/>
  <c r="Q775" i="2"/>
  <c r="P775" i="2"/>
  <c r="O775" i="2"/>
  <c r="N775" i="2"/>
  <c r="M775" i="2"/>
  <c r="J775" i="2"/>
  <c r="K775" i="2" s="1"/>
  <c r="L775" i="2" s="1"/>
  <c r="I775" i="2"/>
  <c r="H775" i="2"/>
  <c r="U774" i="2"/>
  <c r="T774" i="2"/>
  <c r="Q774" i="2"/>
  <c r="P774" i="2"/>
  <c r="O774" i="2"/>
  <c r="R774" i="2" s="1"/>
  <c r="N774" i="2"/>
  <c r="M774" i="2"/>
  <c r="J774" i="2"/>
  <c r="K774" i="2" s="1"/>
  <c r="L774" i="2" s="1"/>
  <c r="I774" i="2"/>
  <c r="H774" i="2"/>
  <c r="U773" i="2"/>
  <c r="T773" i="2"/>
  <c r="Q773" i="2"/>
  <c r="P773" i="2"/>
  <c r="O773" i="2"/>
  <c r="N773" i="2"/>
  <c r="M773" i="2"/>
  <c r="J773" i="2"/>
  <c r="K773" i="2" s="1"/>
  <c r="L773" i="2" s="1"/>
  <c r="I773" i="2"/>
  <c r="H773" i="2"/>
  <c r="U772" i="2"/>
  <c r="T772" i="2"/>
  <c r="Q772" i="2"/>
  <c r="P772" i="2"/>
  <c r="O772" i="2"/>
  <c r="N772" i="2"/>
  <c r="M772" i="2"/>
  <c r="J772" i="2"/>
  <c r="K772" i="2" s="1"/>
  <c r="L772" i="2" s="1"/>
  <c r="I772" i="2"/>
  <c r="H772" i="2"/>
  <c r="U771" i="2"/>
  <c r="T771" i="2"/>
  <c r="Q771" i="2"/>
  <c r="P771" i="2"/>
  <c r="O771" i="2"/>
  <c r="N771" i="2"/>
  <c r="M771" i="2"/>
  <c r="J771" i="2"/>
  <c r="K771" i="2" s="1"/>
  <c r="L771" i="2" s="1"/>
  <c r="I771" i="2"/>
  <c r="H771" i="2"/>
  <c r="U770" i="2"/>
  <c r="T770" i="2"/>
  <c r="Q770" i="2"/>
  <c r="P770" i="2"/>
  <c r="O770" i="2"/>
  <c r="R770" i="2" s="1"/>
  <c r="N770" i="2"/>
  <c r="M770" i="2"/>
  <c r="J770" i="2"/>
  <c r="K770" i="2" s="1"/>
  <c r="L770" i="2" s="1"/>
  <c r="I770" i="2"/>
  <c r="H770" i="2"/>
  <c r="U769" i="2"/>
  <c r="T769" i="2"/>
  <c r="Q769" i="2"/>
  <c r="P769" i="2"/>
  <c r="O769" i="2"/>
  <c r="N769" i="2"/>
  <c r="M769" i="2"/>
  <c r="J769" i="2"/>
  <c r="K769" i="2" s="1"/>
  <c r="L769" i="2" s="1"/>
  <c r="I769" i="2"/>
  <c r="H769" i="2"/>
  <c r="U768" i="2"/>
  <c r="T768" i="2"/>
  <c r="Q768" i="2"/>
  <c r="P768" i="2"/>
  <c r="O768" i="2"/>
  <c r="R768" i="2" s="1"/>
  <c r="N768" i="2"/>
  <c r="M768" i="2"/>
  <c r="J768" i="2"/>
  <c r="K768" i="2" s="1"/>
  <c r="L768" i="2" s="1"/>
  <c r="I768" i="2"/>
  <c r="H768" i="2"/>
  <c r="U767" i="2"/>
  <c r="T767" i="2"/>
  <c r="Q767" i="2"/>
  <c r="P767" i="2"/>
  <c r="O767" i="2"/>
  <c r="N767" i="2"/>
  <c r="M767" i="2"/>
  <c r="J767" i="2"/>
  <c r="K767" i="2" s="1"/>
  <c r="L767" i="2" s="1"/>
  <c r="I767" i="2"/>
  <c r="H767" i="2"/>
  <c r="U766" i="2"/>
  <c r="T766" i="2"/>
  <c r="Q766" i="2"/>
  <c r="P766" i="2"/>
  <c r="O766" i="2"/>
  <c r="R766" i="2" s="1"/>
  <c r="N766" i="2"/>
  <c r="M766" i="2"/>
  <c r="J766" i="2"/>
  <c r="K766" i="2" s="1"/>
  <c r="L766" i="2" s="1"/>
  <c r="I766" i="2"/>
  <c r="H766" i="2"/>
  <c r="U765" i="2"/>
  <c r="T765" i="2"/>
  <c r="Q765" i="2"/>
  <c r="P765" i="2"/>
  <c r="O765" i="2"/>
  <c r="N765" i="2"/>
  <c r="M765" i="2"/>
  <c r="J765" i="2"/>
  <c r="K765" i="2" s="1"/>
  <c r="L765" i="2" s="1"/>
  <c r="I765" i="2"/>
  <c r="H765" i="2"/>
  <c r="U764" i="2"/>
  <c r="T764" i="2"/>
  <c r="Q764" i="2"/>
  <c r="P764" i="2"/>
  <c r="O764" i="2"/>
  <c r="R764" i="2" s="1"/>
  <c r="N764" i="2"/>
  <c r="M764" i="2"/>
  <c r="J764" i="2"/>
  <c r="K764" i="2" s="1"/>
  <c r="L764" i="2" s="1"/>
  <c r="I764" i="2"/>
  <c r="H764" i="2"/>
  <c r="U763" i="2"/>
  <c r="T763" i="2"/>
  <c r="Q763" i="2"/>
  <c r="P763" i="2"/>
  <c r="O763" i="2"/>
  <c r="N763" i="2"/>
  <c r="M763" i="2"/>
  <c r="J763" i="2"/>
  <c r="K763" i="2" s="1"/>
  <c r="L763" i="2" s="1"/>
  <c r="I763" i="2"/>
  <c r="H763" i="2"/>
  <c r="U762" i="2"/>
  <c r="T762" i="2"/>
  <c r="Q762" i="2"/>
  <c r="P762" i="2"/>
  <c r="O762" i="2"/>
  <c r="R762" i="2" s="1"/>
  <c r="N762" i="2"/>
  <c r="M762" i="2"/>
  <c r="J762" i="2"/>
  <c r="K762" i="2" s="1"/>
  <c r="L762" i="2" s="1"/>
  <c r="I762" i="2"/>
  <c r="H762" i="2"/>
  <c r="U761" i="2"/>
  <c r="T761" i="2"/>
  <c r="Q761" i="2"/>
  <c r="P761" i="2"/>
  <c r="O761" i="2"/>
  <c r="N761" i="2"/>
  <c r="M761" i="2"/>
  <c r="J761" i="2"/>
  <c r="K761" i="2" s="1"/>
  <c r="L761" i="2" s="1"/>
  <c r="I761" i="2"/>
  <c r="H761" i="2"/>
  <c r="U760" i="2"/>
  <c r="T760" i="2"/>
  <c r="Q760" i="2"/>
  <c r="P760" i="2"/>
  <c r="O760" i="2"/>
  <c r="R760" i="2" s="1"/>
  <c r="N760" i="2"/>
  <c r="M760" i="2"/>
  <c r="J760" i="2"/>
  <c r="K760" i="2" s="1"/>
  <c r="L760" i="2" s="1"/>
  <c r="I760" i="2"/>
  <c r="H760" i="2"/>
  <c r="U759" i="2"/>
  <c r="T759" i="2"/>
  <c r="Q759" i="2"/>
  <c r="P759" i="2"/>
  <c r="O759" i="2"/>
  <c r="N759" i="2"/>
  <c r="M759" i="2"/>
  <c r="J759" i="2"/>
  <c r="K759" i="2" s="1"/>
  <c r="L759" i="2" s="1"/>
  <c r="I759" i="2"/>
  <c r="H759" i="2"/>
  <c r="U758" i="2"/>
  <c r="T758" i="2"/>
  <c r="Q758" i="2"/>
  <c r="P758" i="2"/>
  <c r="O758" i="2"/>
  <c r="R758" i="2" s="1"/>
  <c r="N758" i="2"/>
  <c r="M758" i="2"/>
  <c r="J758" i="2"/>
  <c r="K758" i="2" s="1"/>
  <c r="L758" i="2" s="1"/>
  <c r="I758" i="2"/>
  <c r="H758" i="2"/>
  <c r="U757" i="2"/>
  <c r="T757" i="2"/>
  <c r="Q757" i="2"/>
  <c r="P757" i="2"/>
  <c r="O757" i="2"/>
  <c r="R757" i="2" s="1"/>
  <c r="N757" i="2"/>
  <c r="M757" i="2"/>
  <c r="J757" i="2"/>
  <c r="K757" i="2" s="1"/>
  <c r="L757" i="2" s="1"/>
  <c r="I757" i="2"/>
  <c r="H757" i="2"/>
  <c r="U756" i="2"/>
  <c r="T756" i="2"/>
  <c r="Q756" i="2"/>
  <c r="P756" i="2"/>
  <c r="O756" i="2"/>
  <c r="R756" i="2" s="1"/>
  <c r="N756" i="2"/>
  <c r="M756" i="2"/>
  <c r="J756" i="2"/>
  <c r="K756" i="2" s="1"/>
  <c r="L756" i="2" s="1"/>
  <c r="I756" i="2"/>
  <c r="H756" i="2"/>
  <c r="U755" i="2"/>
  <c r="T755" i="2"/>
  <c r="Q755" i="2"/>
  <c r="P755" i="2"/>
  <c r="O755" i="2"/>
  <c r="N755" i="2"/>
  <c r="M755" i="2"/>
  <c r="J755" i="2"/>
  <c r="K755" i="2" s="1"/>
  <c r="L755" i="2" s="1"/>
  <c r="I755" i="2"/>
  <c r="H755" i="2"/>
  <c r="U754" i="2"/>
  <c r="T754" i="2"/>
  <c r="Q754" i="2"/>
  <c r="P754" i="2"/>
  <c r="O754" i="2"/>
  <c r="R754" i="2" s="1"/>
  <c r="N754" i="2"/>
  <c r="M754" i="2"/>
  <c r="J754" i="2"/>
  <c r="K754" i="2" s="1"/>
  <c r="L754" i="2" s="1"/>
  <c r="I754" i="2"/>
  <c r="H754" i="2"/>
  <c r="U753" i="2"/>
  <c r="T753" i="2"/>
  <c r="Q753" i="2"/>
  <c r="P753" i="2"/>
  <c r="O753" i="2"/>
  <c r="R753" i="2" s="1"/>
  <c r="N753" i="2"/>
  <c r="M753" i="2"/>
  <c r="J753" i="2"/>
  <c r="K753" i="2" s="1"/>
  <c r="L753" i="2" s="1"/>
  <c r="I753" i="2"/>
  <c r="H753" i="2"/>
  <c r="U752" i="2"/>
  <c r="T752" i="2"/>
  <c r="Q752" i="2"/>
  <c r="P752" i="2"/>
  <c r="O752" i="2"/>
  <c r="R752" i="2" s="1"/>
  <c r="N752" i="2"/>
  <c r="M752" i="2"/>
  <c r="J752" i="2"/>
  <c r="K752" i="2" s="1"/>
  <c r="L752" i="2" s="1"/>
  <c r="I752" i="2"/>
  <c r="H752" i="2"/>
  <c r="U751" i="2"/>
  <c r="T751" i="2"/>
  <c r="Q751" i="2"/>
  <c r="P751" i="2"/>
  <c r="O751" i="2"/>
  <c r="R751" i="2" s="1"/>
  <c r="N751" i="2"/>
  <c r="M751" i="2"/>
  <c r="J751" i="2"/>
  <c r="K751" i="2" s="1"/>
  <c r="L751" i="2" s="1"/>
  <c r="I751" i="2"/>
  <c r="H751" i="2"/>
  <c r="U750" i="2"/>
  <c r="T750" i="2"/>
  <c r="Q750" i="2"/>
  <c r="P750" i="2"/>
  <c r="O750" i="2"/>
  <c r="R750" i="2" s="1"/>
  <c r="N750" i="2"/>
  <c r="M750" i="2"/>
  <c r="J750" i="2"/>
  <c r="K750" i="2" s="1"/>
  <c r="L750" i="2" s="1"/>
  <c r="I750" i="2"/>
  <c r="H750" i="2"/>
  <c r="U749" i="2"/>
  <c r="T749" i="2"/>
  <c r="Q749" i="2"/>
  <c r="P749" i="2"/>
  <c r="O749" i="2"/>
  <c r="R749" i="2" s="1"/>
  <c r="N749" i="2"/>
  <c r="M749" i="2"/>
  <c r="J749" i="2"/>
  <c r="K749" i="2" s="1"/>
  <c r="L749" i="2" s="1"/>
  <c r="I749" i="2"/>
  <c r="H749" i="2"/>
  <c r="U748" i="2"/>
  <c r="T748" i="2"/>
  <c r="Q748" i="2"/>
  <c r="P748" i="2"/>
  <c r="O748" i="2"/>
  <c r="R748" i="2" s="1"/>
  <c r="N748" i="2"/>
  <c r="M748" i="2"/>
  <c r="J748" i="2"/>
  <c r="K748" i="2" s="1"/>
  <c r="L748" i="2" s="1"/>
  <c r="I748" i="2"/>
  <c r="H748" i="2"/>
  <c r="U747" i="2"/>
  <c r="T747" i="2"/>
  <c r="Q747" i="2"/>
  <c r="P747" i="2"/>
  <c r="O747" i="2"/>
  <c r="R747" i="2" s="1"/>
  <c r="N747" i="2"/>
  <c r="M747" i="2"/>
  <c r="J747" i="2"/>
  <c r="K747" i="2" s="1"/>
  <c r="L747" i="2" s="1"/>
  <c r="I747" i="2"/>
  <c r="H747" i="2"/>
  <c r="U746" i="2"/>
  <c r="T746" i="2"/>
  <c r="Q746" i="2"/>
  <c r="P746" i="2"/>
  <c r="O746" i="2"/>
  <c r="R746" i="2" s="1"/>
  <c r="N746" i="2"/>
  <c r="M746" i="2"/>
  <c r="J746" i="2"/>
  <c r="K746" i="2" s="1"/>
  <c r="L746" i="2" s="1"/>
  <c r="I746" i="2"/>
  <c r="H746" i="2"/>
  <c r="U745" i="2"/>
  <c r="T745" i="2"/>
  <c r="Q745" i="2"/>
  <c r="P745" i="2"/>
  <c r="O745" i="2"/>
  <c r="R745" i="2" s="1"/>
  <c r="N745" i="2"/>
  <c r="M745" i="2"/>
  <c r="J745" i="2"/>
  <c r="K745" i="2" s="1"/>
  <c r="L745" i="2" s="1"/>
  <c r="I745" i="2"/>
  <c r="H745" i="2"/>
  <c r="U744" i="2"/>
  <c r="T744" i="2"/>
  <c r="Q744" i="2"/>
  <c r="P744" i="2"/>
  <c r="O744" i="2"/>
  <c r="N744" i="2"/>
  <c r="M744" i="2"/>
  <c r="J744" i="2"/>
  <c r="K744" i="2" s="1"/>
  <c r="L744" i="2" s="1"/>
  <c r="I744" i="2"/>
  <c r="H744" i="2"/>
  <c r="U743" i="2"/>
  <c r="T743" i="2"/>
  <c r="Q743" i="2"/>
  <c r="P743" i="2"/>
  <c r="O743" i="2"/>
  <c r="N743" i="2"/>
  <c r="M743" i="2"/>
  <c r="J743" i="2"/>
  <c r="K743" i="2" s="1"/>
  <c r="L743" i="2" s="1"/>
  <c r="I743" i="2"/>
  <c r="H743" i="2"/>
  <c r="U742" i="2"/>
  <c r="T742" i="2"/>
  <c r="Q742" i="2"/>
  <c r="P742" i="2"/>
  <c r="O742" i="2"/>
  <c r="R742" i="2" s="1"/>
  <c r="N742" i="2"/>
  <c r="M742" i="2"/>
  <c r="J742" i="2"/>
  <c r="K742" i="2" s="1"/>
  <c r="L742" i="2" s="1"/>
  <c r="I742" i="2"/>
  <c r="H742" i="2"/>
  <c r="U741" i="2"/>
  <c r="T741" i="2"/>
  <c r="Q741" i="2"/>
  <c r="P741" i="2"/>
  <c r="O741" i="2"/>
  <c r="N741" i="2"/>
  <c r="M741" i="2"/>
  <c r="J741" i="2"/>
  <c r="K741" i="2" s="1"/>
  <c r="L741" i="2" s="1"/>
  <c r="I741" i="2"/>
  <c r="H741" i="2"/>
  <c r="U740" i="2"/>
  <c r="T740" i="2"/>
  <c r="Q740" i="2"/>
  <c r="P740" i="2"/>
  <c r="O740" i="2"/>
  <c r="N740" i="2"/>
  <c r="M740" i="2"/>
  <c r="J740" i="2"/>
  <c r="K740" i="2" s="1"/>
  <c r="L740" i="2" s="1"/>
  <c r="I740" i="2"/>
  <c r="H740" i="2"/>
  <c r="U739" i="2"/>
  <c r="T739" i="2"/>
  <c r="Q739" i="2"/>
  <c r="P739" i="2"/>
  <c r="O739" i="2"/>
  <c r="N739" i="2"/>
  <c r="M739" i="2"/>
  <c r="J739" i="2"/>
  <c r="K739" i="2" s="1"/>
  <c r="L739" i="2" s="1"/>
  <c r="I739" i="2"/>
  <c r="H739" i="2"/>
  <c r="U738" i="2"/>
  <c r="T738" i="2"/>
  <c r="Q738" i="2"/>
  <c r="P738" i="2"/>
  <c r="O738" i="2"/>
  <c r="R738" i="2" s="1"/>
  <c r="N738" i="2"/>
  <c r="M738" i="2"/>
  <c r="J738" i="2"/>
  <c r="K738" i="2" s="1"/>
  <c r="L738" i="2" s="1"/>
  <c r="I738" i="2"/>
  <c r="H738" i="2"/>
  <c r="U737" i="2"/>
  <c r="T737" i="2"/>
  <c r="Q737" i="2"/>
  <c r="P737" i="2"/>
  <c r="O737" i="2"/>
  <c r="N737" i="2"/>
  <c r="M737" i="2"/>
  <c r="J737" i="2"/>
  <c r="K737" i="2" s="1"/>
  <c r="L737" i="2" s="1"/>
  <c r="I737" i="2"/>
  <c r="H737" i="2"/>
  <c r="U736" i="2"/>
  <c r="T736" i="2"/>
  <c r="Q736" i="2"/>
  <c r="P736" i="2"/>
  <c r="O736" i="2"/>
  <c r="N736" i="2"/>
  <c r="M736" i="2"/>
  <c r="J736" i="2"/>
  <c r="K736" i="2" s="1"/>
  <c r="L736" i="2" s="1"/>
  <c r="I736" i="2"/>
  <c r="H736" i="2"/>
  <c r="U735" i="2"/>
  <c r="T735" i="2"/>
  <c r="Q735" i="2"/>
  <c r="P735" i="2"/>
  <c r="O735" i="2"/>
  <c r="R735" i="2" s="1"/>
  <c r="N735" i="2"/>
  <c r="M735" i="2"/>
  <c r="J735" i="2"/>
  <c r="K735" i="2" s="1"/>
  <c r="L735" i="2" s="1"/>
  <c r="I735" i="2"/>
  <c r="H735" i="2"/>
  <c r="U734" i="2"/>
  <c r="T734" i="2"/>
  <c r="Q734" i="2"/>
  <c r="P734" i="2"/>
  <c r="O734" i="2"/>
  <c r="R734" i="2" s="1"/>
  <c r="N734" i="2"/>
  <c r="M734" i="2"/>
  <c r="J734" i="2"/>
  <c r="K734" i="2" s="1"/>
  <c r="L734" i="2" s="1"/>
  <c r="I734" i="2"/>
  <c r="H734" i="2"/>
  <c r="U733" i="2"/>
  <c r="T733" i="2"/>
  <c r="Q733" i="2"/>
  <c r="P733" i="2"/>
  <c r="O733" i="2"/>
  <c r="R733" i="2" s="1"/>
  <c r="N733" i="2"/>
  <c r="M733" i="2"/>
  <c r="J733" i="2"/>
  <c r="K733" i="2" s="1"/>
  <c r="L733" i="2" s="1"/>
  <c r="I733" i="2"/>
  <c r="H733" i="2"/>
  <c r="U732" i="2"/>
  <c r="T732" i="2"/>
  <c r="Q732" i="2"/>
  <c r="P732" i="2"/>
  <c r="O732" i="2"/>
  <c r="N732" i="2"/>
  <c r="M732" i="2"/>
  <c r="J732" i="2"/>
  <c r="K732" i="2" s="1"/>
  <c r="L732" i="2" s="1"/>
  <c r="I732" i="2"/>
  <c r="H732" i="2"/>
  <c r="U731" i="2"/>
  <c r="T731" i="2"/>
  <c r="Q731" i="2"/>
  <c r="P731" i="2"/>
  <c r="O731" i="2"/>
  <c r="N731" i="2"/>
  <c r="M731" i="2"/>
  <c r="J731" i="2"/>
  <c r="K731" i="2" s="1"/>
  <c r="L731" i="2" s="1"/>
  <c r="I731" i="2"/>
  <c r="H731" i="2"/>
  <c r="U730" i="2"/>
  <c r="T730" i="2"/>
  <c r="Q730" i="2"/>
  <c r="P730" i="2"/>
  <c r="O730" i="2"/>
  <c r="R730" i="2" s="1"/>
  <c r="N730" i="2"/>
  <c r="M730" i="2"/>
  <c r="J730" i="2"/>
  <c r="K730" i="2" s="1"/>
  <c r="L730" i="2" s="1"/>
  <c r="I730" i="2"/>
  <c r="H730" i="2"/>
  <c r="U729" i="2"/>
  <c r="T729" i="2"/>
  <c r="Q729" i="2"/>
  <c r="P729" i="2"/>
  <c r="O729" i="2"/>
  <c r="N729" i="2"/>
  <c r="M729" i="2"/>
  <c r="J729" i="2"/>
  <c r="K729" i="2" s="1"/>
  <c r="L729" i="2" s="1"/>
  <c r="I729" i="2"/>
  <c r="H729" i="2"/>
  <c r="U728" i="2"/>
  <c r="T728" i="2"/>
  <c r="Q728" i="2"/>
  <c r="P728" i="2"/>
  <c r="O728" i="2"/>
  <c r="N728" i="2"/>
  <c r="M728" i="2"/>
  <c r="J728" i="2"/>
  <c r="K728" i="2" s="1"/>
  <c r="L728" i="2" s="1"/>
  <c r="I728" i="2"/>
  <c r="H728" i="2"/>
  <c r="U727" i="2"/>
  <c r="T727" i="2"/>
  <c r="Q727" i="2"/>
  <c r="P727" i="2"/>
  <c r="O727" i="2"/>
  <c r="N727" i="2"/>
  <c r="M727" i="2"/>
  <c r="J727" i="2"/>
  <c r="K727" i="2" s="1"/>
  <c r="L727" i="2" s="1"/>
  <c r="I727" i="2"/>
  <c r="H727" i="2"/>
  <c r="U726" i="2"/>
  <c r="T726" i="2"/>
  <c r="Q726" i="2"/>
  <c r="P726" i="2"/>
  <c r="O726" i="2"/>
  <c r="R726" i="2" s="1"/>
  <c r="N726" i="2"/>
  <c r="M726" i="2"/>
  <c r="J726" i="2"/>
  <c r="K726" i="2" s="1"/>
  <c r="L726" i="2" s="1"/>
  <c r="I726" i="2"/>
  <c r="H726" i="2"/>
  <c r="U725" i="2"/>
  <c r="T725" i="2"/>
  <c r="Q725" i="2"/>
  <c r="P725" i="2"/>
  <c r="O725" i="2"/>
  <c r="N725" i="2"/>
  <c r="M725" i="2"/>
  <c r="J725" i="2"/>
  <c r="K725" i="2" s="1"/>
  <c r="L725" i="2" s="1"/>
  <c r="I725" i="2"/>
  <c r="H725" i="2"/>
  <c r="U724" i="2"/>
  <c r="T724" i="2"/>
  <c r="Q724" i="2"/>
  <c r="P724" i="2"/>
  <c r="O724" i="2"/>
  <c r="R724" i="2" s="1"/>
  <c r="N724" i="2"/>
  <c r="M724" i="2"/>
  <c r="J724" i="2"/>
  <c r="K724" i="2" s="1"/>
  <c r="L724" i="2" s="1"/>
  <c r="I724" i="2"/>
  <c r="H724" i="2"/>
  <c r="U723" i="2"/>
  <c r="T723" i="2"/>
  <c r="Q723" i="2"/>
  <c r="P723" i="2"/>
  <c r="O723" i="2"/>
  <c r="R723" i="2" s="1"/>
  <c r="N723" i="2"/>
  <c r="M723" i="2"/>
  <c r="J723" i="2"/>
  <c r="K723" i="2" s="1"/>
  <c r="L723" i="2" s="1"/>
  <c r="I723" i="2"/>
  <c r="H723" i="2"/>
  <c r="U722" i="2"/>
  <c r="T722" i="2"/>
  <c r="Q722" i="2"/>
  <c r="P722" i="2"/>
  <c r="O722" i="2"/>
  <c r="R722" i="2" s="1"/>
  <c r="N722" i="2"/>
  <c r="M722" i="2"/>
  <c r="J722" i="2"/>
  <c r="K722" i="2" s="1"/>
  <c r="L722" i="2" s="1"/>
  <c r="I722" i="2"/>
  <c r="H722" i="2"/>
  <c r="U721" i="2"/>
  <c r="T721" i="2"/>
  <c r="Q721" i="2"/>
  <c r="P721" i="2"/>
  <c r="O721" i="2"/>
  <c r="R721" i="2" s="1"/>
  <c r="N721" i="2"/>
  <c r="M721" i="2"/>
  <c r="J721" i="2"/>
  <c r="K721" i="2" s="1"/>
  <c r="L721" i="2" s="1"/>
  <c r="I721" i="2"/>
  <c r="H721" i="2"/>
  <c r="U720" i="2"/>
  <c r="T720" i="2"/>
  <c r="Q720" i="2"/>
  <c r="P720" i="2"/>
  <c r="O720" i="2"/>
  <c r="N720" i="2"/>
  <c r="M720" i="2"/>
  <c r="J720" i="2"/>
  <c r="K720" i="2" s="1"/>
  <c r="L720" i="2" s="1"/>
  <c r="I720" i="2"/>
  <c r="H720" i="2"/>
  <c r="U719" i="2"/>
  <c r="T719" i="2"/>
  <c r="Q719" i="2"/>
  <c r="P719" i="2"/>
  <c r="O719" i="2"/>
  <c r="N719" i="2"/>
  <c r="M719" i="2"/>
  <c r="J719" i="2"/>
  <c r="K719" i="2" s="1"/>
  <c r="L719" i="2" s="1"/>
  <c r="I719" i="2"/>
  <c r="H719" i="2"/>
  <c r="U718" i="2"/>
  <c r="T718" i="2"/>
  <c r="Q718" i="2"/>
  <c r="P718" i="2"/>
  <c r="O718" i="2"/>
  <c r="R718" i="2" s="1"/>
  <c r="N718" i="2"/>
  <c r="M718" i="2"/>
  <c r="J718" i="2"/>
  <c r="K718" i="2" s="1"/>
  <c r="L718" i="2" s="1"/>
  <c r="I718" i="2"/>
  <c r="H718" i="2"/>
  <c r="U717" i="2"/>
  <c r="T717" i="2"/>
  <c r="Q717" i="2"/>
  <c r="P717" i="2"/>
  <c r="O717" i="2"/>
  <c r="N717" i="2"/>
  <c r="M717" i="2"/>
  <c r="J717" i="2"/>
  <c r="K717" i="2" s="1"/>
  <c r="L717" i="2" s="1"/>
  <c r="I717" i="2"/>
  <c r="H717" i="2"/>
  <c r="U716" i="2"/>
  <c r="T716" i="2"/>
  <c r="Q716" i="2"/>
  <c r="P716" i="2"/>
  <c r="O716" i="2"/>
  <c r="N716" i="2"/>
  <c r="M716" i="2"/>
  <c r="J716" i="2"/>
  <c r="K716" i="2" s="1"/>
  <c r="L716" i="2" s="1"/>
  <c r="I716" i="2"/>
  <c r="H716" i="2"/>
  <c r="U715" i="2"/>
  <c r="T715" i="2"/>
  <c r="Q715" i="2"/>
  <c r="P715" i="2"/>
  <c r="O715" i="2"/>
  <c r="N715" i="2"/>
  <c r="M715" i="2"/>
  <c r="J715" i="2"/>
  <c r="K715" i="2" s="1"/>
  <c r="L715" i="2" s="1"/>
  <c r="I715" i="2"/>
  <c r="H715" i="2"/>
  <c r="U714" i="2"/>
  <c r="T714" i="2"/>
  <c r="Q714" i="2"/>
  <c r="P714" i="2"/>
  <c r="O714" i="2"/>
  <c r="R714" i="2" s="1"/>
  <c r="N714" i="2"/>
  <c r="M714" i="2"/>
  <c r="J714" i="2"/>
  <c r="K714" i="2" s="1"/>
  <c r="L714" i="2" s="1"/>
  <c r="I714" i="2"/>
  <c r="H714" i="2"/>
  <c r="U713" i="2"/>
  <c r="T713" i="2"/>
  <c r="Q713" i="2"/>
  <c r="P713" i="2"/>
  <c r="O713" i="2"/>
  <c r="N713" i="2"/>
  <c r="M713" i="2"/>
  <c r="J713" i="2"/>
  <c r="K713" i="2" s="1"/>
  <c r="L713" i="2" s="1"/>
  <c r="I713" i="2"/>
  <c r="H713" i="2"/>
  <c r="U712" i="2"/>
  <c r="T712" i="2"/>
  <c r="Q712" i="2"/>
  <c r="P712" i="2"/>
  <c r="O712" i="2"/>
  <c r="N712" i="2"/>
  <c r="M712" i="2"/>
  <c r="J712" i="2"/>
  <c r="K712" i="2" s="1"/>
  <c r="L712" i="2" s="1"/>
  <c r="I712" i="2"/>
  <c r="H712" i="2"/>
  <c r="U711" i="2"/>
  <c r="T711" i="2"/>
  <c r="Q711" i="2"/>
  <c r="P711" i="2"/>
  <c r="O711" i="2"/>
  <c r="N711" i="2"/>
  <c r="M711" i="2"/>
  <c r="J711" i="2"/>
  <c r="K711" i="2" s="1"/>
  <c r="L711" i="2" s="1"/>
  <c r="I711" i="2"/>
  <c r="H711" i="2"/>
  <c r="U710" i="2"/>
  <c r="T710" i="2"/>
  <c r="Q710" i="2"/>
  <c r="P710" i="2"/>
  <c r="O710" i="2"/>
  <c r="R710" i="2" s="1"/>
  <c r="N710" i="2"/>
  <c r="M710" i="2"/>
  <c r="J710" i="2"/>
  <c r="K710" i="2" s="1"/>
  <c r="L710" i="2" s="1"/>
  <c r="I710" i="2"/>
  <c r="H710" i="2"/>
  <c r="U709" i="2"/>
  <c r="T709" i="2"/>
  <c r="Q709" i="2"/>
  <c r="P709" i="2"/>
  <c r="O709" i="2"/>
  <c r="N709" i="2"/>
  <c r="M709" i="2"/>
  <c r="J709" i="2"/>
  <c r="K709" i="2" s="1"/>
  <c r="L709" i="2" s="1"/>
  <c r="I709" i="2"/>
  <c r="H709" i="2"/>
  <c r="U708" i="2"/>
  <c r="T708" i="2"/>
  <c r="Q708" i="2"/>
  <c r="P708" i="2"/>
  <c r="O708" i="2"/>
  <c r="N708" i="2"/>
  <c r="M708" i="2"/>
  <c r="J708" i="2"/>
  <c r="K708" i="2" s="1"/>
  <c r="L708" i="2" s="1"/>
  <c r="I708" i="2"/>
  <c r="H708" i="2"/>
  <c r="U707" i="2"/>
  <c r="T707" i="2"/>
  <c r="Q707" i="2"/>
  <c r="P707" i="2"/>
  <c r="O707" i="2"/>
  <c r="N707" i="2"/>
  <c r="M707" i="2"/>
  <c r="J707" i="2"/>
  <c r="K707" i="2" s="1"/>
  <c r="L707" i="2" s="1"/>
  <c r="I707" i="2"/>
  <c r="H707" i="2"/>
  <c r="U706" i="2"/>
  <c r="T706" i="2"/>
  <c r="Q706" i="2"/>
  <c r="P706" i="2"/>
  <c r="O706" i="2"/>
  <c r="R706" i="2" s="1"/>
  <c r="N706" i="2"/>
  <c r="M706" i="2"/>
  <c r="J706" i="2"/>
  <c r="K706" i="2" s="1"/>
  <c r="L706" i="2" s="1"/>
  <c r="I706" i="2"/>
  <c r="H706" i="2"/>
  <c r="U705" i="2"/>
  <c r="T705" i="2"/>
  <c r="Q705" i="2"/>
  <c r="P705" i="2"/>
  <c r="O705" i="2"/>
  <c r="N705" i="2"/>
  <c r="M705" i="2"/>
  <c r="J705" i="2"/>
  <c r="K705" i="2" s="1"/>
  <c r="L705" i="2" s="1"/>
  <c r="I705" i="2"/>
  <c r="H705" i="2"/>
  <c r="U704" i="2"/>
  <c r="T704" i="2"/>
  <c r="Q704" i="2"/>
  <c r="P704" i="2"/>
  <c r="O704" i="2"/>
  <c r="N704" i="2"/>
  <c r="M704" i="2"/>
  <c r="J704" i="2"/>
  <c r="K704" i="2" s="1"/>
  <c r="L704" i="2" s="1"/>
  <c r="I704" i="2"/>
  <c r="H704" i="2"/>
  <c r="U703" i="2"/>
  <c r="T703" i="2"/>
  <c r="Q703" i="2"/>
  <c r="P703" i="2"/>
  <c r="O703" i="2"/>
  <c r="N703" i="2"/>
  <c r="M703" i="2"/>
  <c r="J703" i="2"/>
  <c r="K703" i="2" s="1"/>
  <c r="L703" i="2" s="1"/>
  <c r="I703" i="2"/>
  <c r="H703" i="2"/>
  <c r="U702" i="2"/>
  <c r="T702" i="2"/>
  <c r="Q702" i="2"/>
  <c r="P702" i="2"/>
  <c r="O702" i="2"/>
  <c r="N702" i="2"/>
  <c r="M702" i="2"/>
  <c r="J702" i="2"/>
  <c r="K702" i="2" s="1"/>
  <c r="L702" i="2" s="1"/>
  <c r="I702" i="2"/>
  <c r="H702" i="2"/>
  <c r="U701" i="2"/>
  <c r="T701" i="2"/>
  <c r="Q701" i="2"/>
  <c r="P701" i="2"/>
  <c r="O701" i="2"/>
  <c r="N701" i="2"/>
  <c r="M701" i="2"/>
  <c r="J701" i="2"/>
  <c r="K701" i="2" s="1"/>
  <c r="L701" i="2" s="1"/>
  <c r="I701" i="2"/>
  <c r="H701" i="2"/>
  <c r="U700" i="2"/>
  <c r="T700" i="2"/>
  <c r="Q700" i="2"/>
  <c r="P700" i="2"/>
  <c r="O700" i="2"/>
  <c r="N700" i="2"/>
  <c r="M700" i="2"/>
  <c r="J700" i="2"/>
  <c r="K700" i="2" s="1"/>
  <c r="L700" i="2" s="1"/>
  <c r="I700" i="2"/>
  <c r="H700" i="2"/>
  <c r="U699" i="2"/>
  <c r="T699" i="2"/>
  <c r="Q699" i="2"/>
  <c r="P699" i="2"/>
  <c r="O699" i="2"/>
  <c r="N699" i="2"/>
  <c r="M699" i="2"/>
  <c r="J699" i="2"/>
  <c r="K699" i="2" s="1"/>
  <c r="L699" i="2" s="1"/>
  <c r="I699" i="2"/>
  <c r="H699" i="2"/>
  <c r="U698" i="2"/>
  <c r="T698" i="2"/>
  <c r="Q698" i="2"/>
  <c r="P698" i="2"/>
  <c r="O698" i="2"/>
  <c r="R698" i="2" s="1"/>
  <c r="N698" i="2"/>
  <c r="M698" i="2"/>
  <c r="J698" i="2"/>
  <c r="K698" i="2" s="1"/>
  <c r="L698" i="2" s="1"/>
  <c r="I698" i="2"/>
  <c r="H698" i="2"/>
  <c r="U697" i="2"/>
  <c r="T697" i="2"/>
  <c r="Q697" i="2"/>
  <c r="P697" i="2"/>
  <c r="O697" i="2"/>
  <c r="N697" i="2"/>
  <c r="M697" i="2"/>
  <c r="J697" i="2"/>
  <c r="K697" i="2" s="1"/>
  <c r="L697" i="2" s="1"/>
  <c r="I697" i="2"/>
  <c r="H697" i="2"/>
  <c r="U696" i="2"/>
  <c r="T696" i="2"/>
  <c r="Q696" i="2"/>
  <c r="P696" i="2"/>
  <c r="O696" i="2"/>
  <c r="N696" i="2"/>
  <c r="M696" i="2"/>
  <c r="J696" i="2"/>
  <c r="K696" i="2" s="1"/>
  <c r="L696" i="2" s="1"/>
  <c r="I696" i="2"/>
  <c r="H696" i="2"/>
  <c r="U695" i="2"/>
  <c r="T695" i="2"/>
  <c r="Q695" i="2"/>
  <c r="P695" i="2"/>
  <c r="O695" i="2"/>
  <c r="N695" i="2"/>
  <c r="M695" i="2"/>
  <c r="J695" i="2"/>
  <c r="K695" i="2" s="1"/>
  <c r="L695" i="2" s="1"/>
  <c r="I695" i="2"/>
  <c r="H695" i="2"/>
  <c r="U694" i="2"/>
  <c r="T694" i="2"/>
  <c r="Q694" i="2"/>
  <c r="P694" i="2"/>
  <c r="O694" i="2"/>
  <c r="R694" i="2" s="1"/>
  <c r="N694" i="2"/>
  <c r="M694" i="2"/>
  <c r="J694" i="2"/>
  <c r="K694" i="2" s="1"/>
  <c r="L694" i="2" s="1"/>
  <c r="I694" i="2"/>
  <c r="H694" i="2"/>
  <c r="U693" i="2"/>
  <c r="T693" i="2"/>
  <c r="Q693" i="2"/>
  <c r="P693" i="2"/>
  <c r="O693" i="2"/>
  <c r="N693" i="2"/>
  <c r="M693" i="2"/>
  <c r="J693" i="2"/>
  <c r="K693" i="2" s="1"/>
  <c r="L693" i="2" s="1"/>
  <c r="I693" i="2"/>
  <c r="H693" i="2"/>
  <c r="U692" i="2"/>
  <c r="T692" i="2"/>
  <c r="Q692" i="2"/>
  <c r="P692" i="2"/>
  <c r="O692" i="2"/>
  <c r="N692" i="2"/>
  <c r="M692" i="2"/>
  <c r="J692" i="2"/>
  <c r="K692" i="2" s="1"/>
  <c r="L692" i="2" s="1"/>
  <c r="I692" i="2"/>
  <c r="H692" i="2"/>
  <c r="U691" i="2"/>
  <c r="T691" i="2"/>
  <c r="Q691" i="2"/>
  <c r="P691" i="2"/>
  <c r="O691" i="2"/>
  <c r="N691" i="2"/>
  <c r="M691" i="2"/>
  <c r="J691" i="2"/>
  <c r="K691" i="2" s="1"/>
  <c r="L691" i="2" s="1"/>
  <c r="I691" i="2"/>
  <c r="H691" i="2"/>
  <c r="U690" i="2"/>
  <c r="T690" i="2"/>
  <c r="Q690" i="2"/>
  <c r="P690" i="2"/>
  <c r="O690" i="2"/>
  <c r="R690" i="2" s="1"/>
  <c r="N690" i="2"/>
  <c r="M690" i="2"/>
  <c r="J690" i="2"/>
  <c r="K690" i="2" s="1"/>
  <c r="L690" i="2" s="1"/>
  <c r="I690" i="2"/>
  <c r="H690" i="2"/>
  <c r="U689" i="2"/>
  <c r="T689" i="2"/>
  <c r="Q689" i="2"/>
  <c r="P689" i="2"/>
  <c r="O689" i="2"/>
  <c r="N689" i="2"/>
  <c r="M689" i="2"/>
  <c r="J689" i="2"/>
  <c r="K689" i="2" s="1"/>
  <c r="L689" i="2" s="1"/>
  <c r="I689" i="2"/>
  <c r="H689" i="2"/>
  <c r="U688" i="2"/>
  <c r="T688" i="2"/>
  <c r="Q688" i="2"/>
  <c r="P688" i="2"/>
  <c r="O688" i="2"/>
  <c r="N688" i="2"/>
  <c r="M688" i="2"/>
  <c r="J688" i="2"/>
  <c r="K688" i="2" s="1"/>
  <c r="L688" i="2" s="1"/>
  <c r="I688" i="2"/>
  <c r="H688" i="2"/>
  <c r="U687" i="2"/>
  <c r="T687" i="2"/>
  <c r="Q687" i="2"/>
  <c r="P687" i="2"/>
  <c r="O687" i="2"/>
  <c r="N687" i="2"/>
  <c r="M687" i="2"/>
  <c r="J687" i="2"/>
  <c r="K687" i="2" s="1"/>
  <c r="L687" i="2" s="1"/>
  <c r="I687" i="2"/>
  <c r="H687" i="2"/>
  <c r="U686" i="2"/>
  <c r="T686" i="2"/>
  <c r="Q686" i="2"/>
  <c r="P686" i="2"/>
  <c r="O686" i="2"/>
  <c r="R686" i="2" s="1"/>
  <c r="N686" i="2"/>
  <c r="M686" i="2"/>
  <c r="J686" i="2"/>
  <c r="K686" i="2" s="1"/>
  <c r="L686" i="2" s="1"/>
  <c r="I686" i="2"/>
  <c r="H686" i="2"/>
  <c r="U685" i="2"/>
  <c r="T685" i="2"/>
  <c r="Q685" i="2"/>
  <c r="P685" i="2"/>
  <c r="O685" i="2"/>
  <c r="N685" i="2"/>
  <c r="M685" i="2"/>
  <c r="J685" i="2"/>
  <c r="K685" i="2" s="1"/>
  <c r="L685" i="2" s="1"/>
  <c r="I685" i="2"/>
  <c r="H685" i="2"/>
  <c r="U684" i="2"/>
  <c r="T684" i="2"/>
  <c r="Q684" i="2"/>
  <c r="P684" i="2"/>
  <c r="O684" i="2"/>
  <c r="N684" i="2"/>
  <c r="M684" i="2"/>
  <c r="J684" i="2"/>
  <c r="K684" i="2" s="1"/>
  <c r="L684" i="2" s="1"/>
  <c r="I684" i="2"/>
  <c r="H684" i="2"/>
  <c r="U683" i="2"/>
  <c r="T683" i="2"/>
  <c r="Q683" i="2"/>
  <c r="P683" i="2"/>
  <c r="O683" i="2"/>
  <c r="N683" i="2"/>
  <c r="M683" i="2"/>
  <c r="J683" i="2"/>
  <c r="K683" i="2" s="1"/>
  <c r="L683" i="2" s="1"/>
  <c r="I683" i="2"/>
  <c r="H683" i="2"/>
  <c r="U682" i="2"/>
  <c r="T682" i="2"/>
  <c r="Q682" i="2"/>
  <c r="P682" i="2"/>
  <c r="O682" i="2"/>
  <c r="R682" i="2" s="1"/>
  <c r="N682" i="2"/>
  <c r="M682" i="2"/>
  <c r="J682" i="2"/>
  <c r="K682" i="2" s="1"/>
  <c r="L682" i="2" s="1"/>
  <c r="I682" i="2"/>
  <c r="H682" i="2"/>
  <c r="U681" i="2"/>
  <c r="T681" i="2"/>
  <c r="Q681" i="2"/>
  <c r="P681" i="2"/>
  <c r="O681" i="2"/>
  <c r="N681" i="2"/>
  <c r="M681" i="2"/>
  <c r="J681" i="2"/>
  <c r="K681" i="2" s="1"/>
  <c r="L681" i="2" s="1"/>
  <c r="I681" i="2"/>
  <c r="H681" i="2"/>
  <c r="U680" i="2"/>
  <c r="T680" i="2"/>
  <c r="Q680" i="2"/>
  <c r="P680" i="2"/>
  <c r="O680" i="2"/>
  <c r="R680" i="2" s="1"/>
  <c r="N680" i="2"/>
  <c r="M680" i="2"/>
  <c r="J680" i="2"/>
  <c r="K680" i="2" s="1"/>
  <c r="L680" i="2" s="1"/>
  <c r="I680" i="2"/>
  <c r="H680" i="2"/>
  <c r="U679" i="2"/>
  <c r="T679" i="2"/>
  <c r="Q679" i="2"/>
  <c r="P679" i="2"/>
  <c r="O679" i="2"/>
  <c r="N679" i="2"/>
  <c r="M679" i="2"/>
  <c r="J679" i="2"/>
  <c r="K679" i="2" s="1"/>
  <c r="L679" i="2" s="1"/>
  <c r="I679" i="2"/>
  <c r="H679" i="2"/>
  <c r="U678" i="2"/>
  <c r="T678" i="2"/>
  <c r="Q678" i="2"/>
  <c r="P678" i="2"/>
  <c r="O678" i="2"/>
  <c r="R678" i="2" s="1"/>
  <c r="N678" i="2"/>
  <c r="M678" i="2"/>
  <c r="J678" i="2"/>
  <c r="K678" i="2" s="1"/>
  <c r="L678" i="2" s="1"/>
  <c r="I678" i="2"/>
  <c r="H678" i="2"/>
  <c r="U677" i="2"/>
  <c r="T677" i="2"/>
  <c r="Q677" i="2"/>
  <c r="P677" i="2"/>
  <c r="O677" i="2"/>
  <c r="N677" i="2"/>
  <c r="M677" i="2"/>
  <c r="J677" i="2"/>
  <c r="K677" i="2" s="1"/>
  <c r="L677" i="2" s="1"/>
  <c r="I677" i="2"/>
  <c r="H677" i="2"/>
  <c r="U676" i="2"/>
  <c r="T676" i="2"/>
  <c r="Q676" i="2"/>
  <c r="P676" i="2"/>
  <c r="O676" i="2"/>
  <c r="N676" i="2"/>
  <c r="M676" i="2"/>
  <c r="J676" i="2"/>
  <c r="K676" i="2" s="1"/>
  <c r="L676" i="2" s="1"/>
  <c r="I676" i="2"/>
  <c r="H676" i="2"/>
  <c r="U675" i="2"/>
  <c r="T675" i="2"/>
  <c r="Q675" i="2"/>
  <c r="P675" i="2"/>
  <c r="O675" i="2"/>
  <c r="N675" i="2"/>
  <c r="M675" i="2"/>
  <c r="J675" i="2"/>
  <c r="K675" i="2" s="1"/>
  <c r="L675" i="2" s="1"/>
  <c r="I675" i="2"/>
  <c r="H675" i="2"/>
  <c r="U674" i="2"/>
  <c r="T674" i="2"/>
  <c r="Q674" i="2"/>
  <c r="P674" i="2"/>
  <c r="O674" i="2"/>
  <c r="N674" i="2"/>
  <c r="M674" i="2"/>
  <c r="J674" i="2"/>
  <c r="K674" i="2" s="1"/>
  <c r="L674" i="2" s="1"/>
  <c r="I674" i="2"/>
  <c r="H674" i="2"/>
  <c r="U673" i="2"/>
  <c r="T673" i="2"/>
  <c r="Q673" i="2"/>
  <c r="P673" i="2"/>
  <c r="O673" i="2"/>
  <c r="N673" i="2"/>
  <c r="M673" i="2"/>
  <c r="J673" i="2"/>
  <c r="K673" i="2" s="1"/>
  <c r="L673" i="2" s="1"/>
  <c r="I673" i="2"/>
  <c r="H673" i="2"/>
  <c r="U672" i="2"/>
  <c r="T672" i="2"/>
  <c r="Q672" i="2"/>
  <c r="P672" i="2"/>
  <c r="O672" i="2"/>
  <c r="N672" i="2"/>
  <c r="M672" i="2"/>
  <c r="J672" i="2"/>
  <c r="K672" i="2" s="1"/>
  <c r="L672" i="2" s="1"/>
  <c r="I672" i="2"/>
  <c r="H672" i="2"/>
  <c r="U671" i="2"/>
  <c r="T671" i="2"/>
  <c r="Q671" i="2"/>
  <c r="P671" i="2"/>
  <c r="O671" i="2"/>
  <c r="N671" i="2"/>
  <c r="M671" i="2"/>
  <c r="J671" i="2"/>
  <c r="K671" i="2" s="1"/>
  <c r="L671" i="2" s="1"/>
  <c r="I671" i="2"/>
  <c r="H671" i="2"/>
  <c r="U670" i="2"/>
  <c r="T670" i="2"/>
  <c r="Q670" i="2"/>
  <c r="P670" i="2"/>
  <c r="O670" i="2"/>
  <c r="R670" i="2" s="1"/>
  <c r="N670" i="2"/>
  <c r="M670" i="2"/>
  <c r="J670" i="2"/>
  <c r="K670" i="2" s="1"/>
  <c r="L670" i="2" s="1"/>
  <c r="I670" i="2"/>
  <c r="H670" i="2"/>
  <c r="U669" i="2"/>
  <c r="T669" i="2"/>
  <c r="Q669" i="2"/>
  <c r="P669" i="2"/>
  <c r="O669" i="2"/>
  <c r="N669" i="2"/>
  <c r="M669" i="2"/>
  <c r="J669" i="2"/>
  <c r="K669" i="2" s="1"/>
  <c r="L669" i="2" s="1"/>
  <c r="I669" i="2"/>
  <c r="H669" i="2"/>
  <c r="U668" i="2"/>
  <c r="T668" i="2"/>
  <c r="Q668" i="2"/>
  <c r="P668" i="2"/>
  <c r="O668" i="2"/>
  <c r="R668" i="2" s="1"/>
  <c r="N668" i="2"/>
  <c r="M668" i="2"/>
  <c r="J668" i="2"/>
  <c r="K668" i="2" s="1"/>
  <c r="L668" i="2" s="1"/>
  <c r="I668" i="2"/>
  <c r="H668" i="2"/>
  <c r="U667" i="2"/>
  <c r="T667" i="2"/>
  <c r="Q667" i="2"/>
  <c r="P667" i="2"/>
  <c r="O667" i="2"/>
  <c r="N667" i="2"/>
  <c r="M667" i="2"/>
  <c r="J667" i="2"/>
  <c r="K667" i="2" s="1"/>
  <c r="L667" i="2" s="1"/>
  <c r="I667" i="2"/>
  <c r="H667" i="2"/>
  <c r="U666" i="2"/>
  <c r="T666" i="2"/>
  <c r="Q666" i="2"/>
  <c r="P666" i="2"/>
  <c r="O666" i="2"/>
  <c r="R666" i="2" s="1"/>
  <c r="N666" i="2"/>
  <c r="M666" i="2"/>
  <c r="J666" i="2"/>
  <c r="K666" i="2" s="1"/>
  <c r="L666" i="2" s="1"/>
  <c r="I666" i="2"/>
  <c r="H666" i="2"/>
  <c r="U665" i="2"/>
  <c r="T665" i="2"/>
  <c r="Q665" i="2"/>
  <c r="P665" i="2"/>
  <c r="O665" i="2"/>
  <c r="N665" i="2"/>
  <c r="M665" i="2"/>
  <c r="J665" i="2"/>
  <c r="K665" i="2" s="1"/>
  <c r="L665" i="2" s="1"/>
  <c r="I665" i="2"/>
  <c r="H665" i="2"/>
  <c r="U664" i="2"/>
  <c r="T664" i="2"/>
  <c r="Q664" i="2"/>
  <c r="P664" i="2"/>
  <c r="O664" i="2"/>
  <c r="R664" i="2" s="1"/>
  <c r="N664" i="2"/>
  <c r="M664" i="2"/>
  <c r="J664" i="2"/>
  <c r="K664" i="2" s="1"/>
  <c r="L664" i="2" s="1"/>
  <c r="I664" i="2"/>
  <c r="H664" i="2"/>
  <c r="U663" i="2"/>
  <c r="T663" i="2"/>
  <c r="Q663" i="2"/>
  <c r="P663" i="2"/>
  <c r="O663" i="2"/>
  <c r="N663" i="2"/>
  <c r="M663" i="2"/>
  <c r="J663" i="2"/>
  <c r="K663" i="2" s="1"/>
  <c r="L663" i="2" s="1"/>
  <c r="I663" i="2"/>
  <c r="H663" i="2"/>
  <c r="U662" i="2"/>
  <c r="T662" i="2"/>
  <c r="Q662" i="2"/>
  <c r="P662" i="2"/>
  <c r="O662" i="2"/>
  <c r="R662" i="2" s="1"/>
  <c r="N662" i="2"/>
  <c r="M662" i="2"/>
  <c r="J662" i="2"/>
  <c r="K662" i="2" s="1"/>
  <c r="L662" i="2" s="1"/>
  <c r="I662" i="2"/>
  <c r="H662" i="2"/>
  <c r="U661" i="2"/>
  <c r="T661" i="2"/>
  <c r="Q661" i="2"/>
  <c r="P661" i="2"/>
  <c r="O661" i="2"/>
  <c r="N661" i="2"/>
  <c r="M661" i="2"/>
  <c r="J661" i="2"/>
  <c r="K661" i="2" s="1"/>
  <c r="L661" i="2" s="1"/>
  <c r="I661" i="2"/>
  <c r="H661" i="2"/>
  <c r="U660" i="2"/>
  <c r="T660" i="2"/>
  <c r="Q660" i="2"/>
  <c r="P660" i="2"/>
  <c r="O660" i="2"/>
  <c r="N660" i="2"/>
  <c r="M660" i="2"/>
  <c r="J660" i="2"/>
  <c r="K660" i="2" s="1"/>
  <c r="L660" i="2" s="1"/>
  <c r="I660" i="2"/>
  <c r="H660" i="2"/>
  <c r="U659" i="2"/>
  <c r="T659" i="2"/>
  <c r="Q659" i="2"/>
  <c r="P659" i="2"/>
  <c r="O659" i="2"/>
  <c r="N659" i="2"/>
  <c r="M659" i="2"/>
  <c r="J659" i="2"/>
  <c r="K659" i="2" s="1"/>
  <c r="L659" i="2" s="1"/>
  <c r="I659" i="2"/>
  <c r="H659" i="2"/>
  <c r="U658" i="2"/>
  <c r="T658" i="2"/>
  <c r="Q658" i="2"/>
  <c r="P658" i="2"/>
  <c r="O658" i="2"/>
  <c r="N658" i="2"/>
  <c r="M658" i="2"/>
  <c r="J658" i="2"/>
  <c r="K658" i="2" s="1"/>
  <c r="L658" i="2" s="1"/>
  <c r="I658" i="2"/>
  <c r="H658" i="2"/>
  <c r="U657" i="2"/>
  <c r="T657" i="2"/>
  <c r="Q657" i="2"/>
  <c r="P657" i="2"/>
  <c r="O657" i="2"/>
  <c r="N657" i="2"/>
  <c r="M657" i="2"/>
  <c r="J657" i="2"/>
  <c r="K657" i="2" s="1"/>
  <c r="L657" i="2" s="1"/>
  <c r="I657" i="2"/>
  <c r="H657" i="2"/>
  <c r="U656" i="2"/>
  <c r="T656" i="2"/>
  <c r="Q656" i="2"/>
  <c r="P656" i="2"/>
  <c r="O656" i="2"/>
  <c r="N656" i="2"/>
  <c r="M656" i="2"/>
  <c r="J656" i="2"/>
  <c r="K656" i="2" s="1"/>
  <c r="L656" i="2" s="1"/>
  <c r="I656" i="2"/>
  <c r="H656" i="2"/>
  <c r="U655" i="2"/>
  <c r="T655" i="2"/>
  <c r="Q655" i="2"/>
  <c r="P655" i="2"/>
  <c r="O655" i="2"/>
  <c r="N655" i="2"/>
  <c r="M655" i="2"/>
  <c r="J655" i="2"/>
  <c r="K655" i="2" s="1"/>
  <c r="L655" i="2" s="1"/>
  <c r="I655" i="2"/>
  <c r="H655" i="2"/>
  <c r="U654" i="2"/>
  <c r="T654" i="2"/>
  <c r="Q654" i="2"/>
  <c r="P654" i="2"/>
  <c r="O654" i="2"/>
  <c r="R654" i="2" s="1"/>
  <c r="N654" i="2"/>
  <c r="M654" i="2"/>
  <c r="J654" i="2"/>
  <c r="K654" i="2" s="1"/>
  <c r="L654" i="2" s="1"/>
  <c r="I654" i="2"/>
  <c r="H654" i="2"/>
  <c r="U653" i="2"/>
  <c r="T653" i="2"/>
  <c r="Q653" i="2"/>
  <c r="P653" i="2"/>
  <c r="O653" i="2"/>
  <c r="N653" i="2"/>
  <c r="M653" i="2"/>
  <c r="J653" i="2"/>
  <c r="K653" i="2" s="1"/>
  <c r="L653" i="2" s="1"/>
  <c r="I653" i="2"/>
  <c r="H653" i="2"/>
  <c r="U652" i="2"/>
  <c r="T652" i="2"/>
  <c r="Q652" i="2"/>
  <c r="P652" i="2"/>
  <c r="O652" i="2"/>
  <c r="N652" i="2"/>
  <c r="M652" i="2"/>
  <c r="J652" i="2"/>
  <c r="K652" i="2" s="1"/>
  <c r="L652" i="2" s="1"/>
  <c r="I652" i="2"/>
  <c r="H652" i="2"/>
  <c r="U651" i="2"/>
  <c r="T651" i="2"/>
  <c r="Q651" i="2"/>
  <c r="P651" i="2"/>
  <c r="O651" i="2"/>
  <c r="N651" i="2"/>
  <c r="M651" i="2"/>
  <c r="J651" i="2"/>
  <c r="K651" i="2" s="1"/>
  <c r="L651" i="2" s="1"/>
  <c r="I651" i="2"/>
  <c r="H651" i="2"/>
  <c r="U650" i="2"/>
  <c r="T650" i="2"/>
  <c r="Q650" i="2"/>
  <c r="P650" i="2"/>
  <c r="O650" i="2"/>
  <c r="R650" i="2" s="1"/>
  <c r="N650" i="2"/>
  <c r="M650" i="2"/>
  <c r="J650" i="2"/>
  <c r="K650" i="2" s="1"/>
  <c r="L650" i="2" s="1"/>
  <c r="I650" i="2"/>
  <c r="H650" i="2"/>
  <c r="U649" i="2"/>
  <c r="T649" i="2"/>
  <c r="Q649" i="2"/>
  <c r="P649" i="2"/>
  <c r="O649" i="2"/>
  <c r="N649" i="2"/>
  <c r="M649" i="2"/>
  <c r="J649" i="2"/>
  <c r="K649" i="2" s="1"/>
  <c r="L649" i="2" s="1"/>
  <c r="I649" i="2"/>
  <c r="H649" i="2"/>
  <c r="U648" i="2"/>
  <c r="T648" i="2"/>
  <c r="Q648" i="2"/>
  <c r="P648" i="2"/>
  <c r="O648" i="2"/>
  <c r="R648" i="2" s="1"/>
  <c r="N648" i="2"/>
  <c r="M648" i="2"/>
  <c r="J648" i="2"/>
  <c r="K648" i="2" s="1"/>
  <c r="L648" i="2" s="1"/>
  <c r="I648" i="2"/>
  <c r="H648" i="2"/>
  <c r="U647" i="2"/>
  <c r="T647" i="2"/>
  <c r="Q647" i="2"/>
  <c r="P647" i="2"/>
  <c r="O647" i="2"/>
  <c r="N647" i="2"/>
  <c r="M647" i="2"/>
  <c r="J647" i="2"/>
  <c r="K647" i="2" s="1"/>
  <c r="L647" i="2" s="1"/>
  <c r="I647" i="2"/>
  <c r="H647" i="2"/>
  <c r="U646" i="2"/>
  <c r="T646" i="2"/>
  <c r="Q646" i="2"/>
  <c r="P646" i="2"/>
  <c r="O646" i="2"/>
  <c r="R646" i="2" s="1"/>
  <c r="N646" i="2"/>
  <c r="M646" i="2"/>
  <c r="J646" i="2"/>
  <c r="K646" i="2" s="1"/>
  <c r="L646" i="2" s="1"/>
  <c r="I646" i="2"/>
  <c r="H646" i="2"/>
  <c r="U645" i="2"/>
  <c r="T645" i="2"/>
  <c r="Q645" i="2"/>
  <c r="P645" i="2"/>
  <c r="O645" i="2"/>
  <c r="N645" i="2"/>
  <c r="M645" i="2"/>
  <c r="J645" i="2"/>
  <c r="K645" i="2" s="1"/>
  <c r="L645" i="2" s="1"/>
  <c r="I645" i="2"/>
  <c r="H645" i="2"/>
  <c r="U644" i="2"/>
  <c r="T644" i="2"/>
  <c r="Q644" i="2"/>
  <c r="P644" i="2"/>
  <c r="O644" i="2"/>
  <c r="N644" i="2"/>
  <c r="M644" i="2"/>
  <c r="J644" i="2"/>
  <c r="K644" i="2" s="1"/>
  <c r="L644" i="2" s="1"/>
  <c r="I644" i="2"/>
  <c r="H644" i="2"/>
  <c r="U643" i="2"/>
  <c r="T643" i="2"/>
  <c r="Q643" i="2"/>
  <c r="P643" i="2"/>
  <c r="O643" i="2"/>
  <c r="N643" i="2"/>
  <c r="M643" i="2"/>
  <c r="J643" i="2"/>
  <c r="K643" i="2" s="1"/>
  <c r="L643" i="2" s="1"/>
  <c r="I643" i="2"/>
  <c r="H643" i="2"/>
  <c r="U642" i="2"/>
  <c r="T642" i="2"/>
  <c r="Q642" i="2"/>
  <c r="P642" i="2"/>
  <c r="O642" i="2"/>
  <c r="R642" i="2" s="1"/>
  <c r="N642" i="2"/>
  <c r="M642" i="2"/>
  <c r="J642" i="2"/>
  <c r="K642" i="2" s="1"/>
  <c r="L642" i="2" s="1"/>
  <c r="I642" i="2"/>
  <c r="H642" i="2"/>
  <c r="U641" i="2"/>
  <c r="T641" i="2"/>
  <c r="Q641" i="2"/>
  <c r="P641" i="2"/>
  <c r="O641" i="2"/>
  <c r="N641" i="2"/>
  <c r="M641" i="2"/>
  <c r="J641" i="2"/>
  <c r="K641" i="2" s="1"/>
  <c r="L641" i="2" s="1"/>
  <c r="I641" i="2"/>
  <c r="H641" i="2"/>
  <c r="U640" i="2"/>
  <c r="T640" i="2"/>
  <c r="Q640" i="2"/>
  <c r="P640" i="2"/>
  <c r="O640" i="2"/>
  <c r="N640" i="2"/>
  <c r="M640" i="2"/>
  <c r="J640" i="2"/>
  <c r="K640" i="2" s="1"/>
  <c r="L640" i="2" s="1"/>
  <c r="I640" i="2"/>
  <c r="H640" i="2"/>
  <c r="U639" i="2"/>
  <c r="T639" i="2"/>
  <c r="Q639" i="2"/>
  <c r="P639" i="2"/>
  <c r="O639" i="2"/>
  <c r="N639" i="2"/>
  <c r="M639" i="2"/>
  <c r="J639" i="2"/>
  <c r="K639" i="2" s="1"/>
  <c r="L639" i="2" s="1"/>
  <c r="I639" i="2"/>
  <c r="H639" i="2"/>
  <c r="U638" i="2"/>
  <c r="T638" i="2"/>
  <c r="Q638" i="2"/>
  <c r="P638" i="2"/>
  <c r="O638" i="2"/>
  <c r="R638" i="2" s="1"/>
  <c r="N638" i="2"/>
  <c r="M638" i="2"/>
  <c r="J638" i="2"/>
  <c r="K638" i="2" s="1"/>
  <c r="L638" i="2" s="1"/>
  <c r="I638" i="2"/>
  <c r="H638" i="2"/>
  <c r="U637" i="2"/>
  <c r="T637" i="2"/>
  <c r="Q637" i="2"/>
  <c r="P637" i="2"/>
  <c r="O637" i="2"/>
  <c r="N637" i="2"/>
  <c r="M637" i="2"/>
  <c r="J637" i="2"/>
  <c r="K637" i="2" s="1"/>
  <c r="L637" i="2" s="1"/>
  <c r="I637" i="2"/>
  <c r="H637" i="2"/>
  <c r="U636" i="2"/>
  <c r="T636" i="2"/>
  <c r="Q636" i="2"/>
  <c r="P636" i="2"/>
  <c r="O636" i="2"/>
  <c r="R636" i="2" s="1"/>
  <c r="N636" i="2"/>
  <c r="M636" i="2"/>
  <c r="J636" i="2"/>
  <c r="K636" i="2" s="1"/>
  <c r="L636" i="2" s="1"/>
  <c r="I636" i="2"/>
  <c r="H636" i="2"/>
  <c r="U635" i="2"/>
  <c r="T635" i="2"/>
  <c r="Q635" i="2"/>
  <c r="P635" i="2"/>
  <c r="O635" i="2"/>
  <c r="N635" i="2"/>
  <c r="M635" i="2"/>
  <c r="J635" i="2"/>
  <c r="K635" i="2" s="1"/>
  <c r="L635" i="2" s="1"/>
  <c r="I635" i="2"/>
  <c r="H635" i="2"/>
  <c r="U634" i="2"/>
  <c r="T634" i="2"/>
  <c r="Q634" i="2"/>
  <c r="P634" i="2"/>
  <c r="O634" i="2"/>
  <c r="R634" i="2" s="1"/>
  <c r="N634" i="2"/>
  <c r="M634" i="2"/>
  <c r="J634" i="2"/>
  <c r="K634" i="2" s="1"/>
  <c r="L634" i="2" s="1"/>
  <c r="I634" i="2"/>
  <c r="H634" i="2"/>
  <c r="U633" i="2"/>
  <c r="T633" i="2"/>
  <c r="Q633" i="2"/>
  <c r="P633" i="2"/>
  <c r="O633" i="2"/>
  <c r="N633" i="2"/>
  <c r="M633" i="2"/>
  <c r="J633" i="2"/>
  <c r="K633" i="2" s="1"/>
  <c r="L633" i="2" s="1"/>
  <c r="I633" i="2"/>
  <c r="H633" i="2"/>
  <c r="U632" i="2"/>
  <c r="T632" i="2"/>
  <c r="Q632" i="2"/>
  <c r="P632" i="2"/>
  <c r="O632" i="2"/>
  <c r="R632" i="2" s="1"/>
  <c r="N632" i="2"/>
  <c r="M632" i="2"/>
  <c r="J632" i="2"/>
  <c r="K632" i="2" s="1"/>
  <c r="L632" i="2" s="1"/>
  <c r="I632" i="2"/>
  <c r="H632" i="2"/>
  <c r="U631" i="2"/>
  <c r="T631" i="2"/>
  <c r="Q631" i="2"/>
  <c r="P631" i="2"/>
  <c r="O631" i="2"/>
  <c r="N631" i="2"/>
  <c r="M631" i="2"/>
  <c r="J631" i="2"/>
  <c r="K631" i="2" s="1"/>
  <c r="L631" i="2" s="1"/>
  <c r="I631" i="2"/>
  <c r="H631" i="2"/>
  <c r="U630" i="2"/>
  <c r="T630" i="2"/>
  <c r="Q630" i="2"/>
  <c r="P630" i="2"/>
  <c r="O630" i="2"/>
  <c r="R630" i="2" s="1"/>
  <c r="N630" i="2"/>
  <c r="M630" i="2"/>
  <c r="J630" i="2"/>
  <c r="K630" i="2" s="1"/>
  <c r="L630" i="2" s="1"/>
  <c r="I630" i="2"/>
  <c r="H630" i="2"/>
  <c r="U629" i="2"/>
  <c r="T629" i="2"/>
  <c r="Q629" i="2"/>
  <c r="P629" i="2"/>
  <c r="O629" i="2"/>
  <c r="N629" i="2"/>
  <c r="M629" i="2"/>
  <c r="J629" i="2"/>
  <c r="K629" i="2" s="1"/>
  <c r="L629" i="2" s="1"/>
  <c r="I629" i="2"/>
  <c r="H629" i="2"/>
  <c r="U628" i="2"/>
  <c r="T628" i="2"/>
  <c r="Q628" i="2"/>
  <c r="P628" i="2"/>
  <c r="O628" i="2"/>
  <c r="N628" i="2"/>
  <c r="M628" i="2"/>
  <c r="J628" i="2"/>
  <c r="K628" i="2" s="1"/>
  <c r="L628" i="2" s="1"/>
  <c r="I628" i="2"/>
  <c r="H628" i="2"/>
  <c r="U627" i="2"/>
  <c r="T627" i="2"/>
  <c r="Q627" i="2"/>
  <c r="P627" i="2"/>
  <c r="O627" i="2"/>
  <c r="N627" i="2"/>
  <c r="M627" i="2"/>
  <c r="J627" i="2"/>
  <c r="K627" i="2" s="1"/>
  <c r="L627" i="2" s="1"/>
  <c r="I627" i="2"/>
  <c r="H627" i="2"/>
  <c r="U626" i="2"/>
  <c r="T626" i="2"/>
  <c r="Q626" i="2"/>
  <c r="P626" i="2"/>
  <c r="O626" i="2"/>
  <c r="N626" i="2"/>
  <c r="M626" i="2"/>
  <c r="J626" i="2"/>
  <c r="K626" i="2" s="1"/>
  <c r="L626" i="2" s="1"/>
  <c r="I626" i="2"/>
  <c r="H626" i="2"/>
  <c r="U625" i="2"/>
  <c r="T625" i="2"/>
  <c r="Q625" i="2"/>
  <c r="P625" i="2"/>
  <c r="O625" i="2"/>
  <c r="N625" i="2"/>
  <c r="M625" i="2"/>
  <c r="J625" i="2"/>
  <c r="K625" i="2" s="1"/>
  <c r="L625" i="2" s="1"/>
  <c r="I625" i="2"/>
  <c r="H625" i="2"/>
  <c r="U624" i="2"/>
  <c r="T624" i="2"/>
  <c r="Q624" i="2"/>
  <c r="P624" i="2"/>
  <c r="O624" i="2"/>
  <c r="N624" i="2"/>
  <c r="M624" i="2"/>
  <c r="J624" i="2"/>
  <c r="K624" i="2" s="1"/>
  <c r="L624" i="2" s="1"/>
  <c r="I624" i="2"/>
  <c r="H624" i="2"/>
  <c r="U623" i="2"/>
  <c r="T623" i="2"/>
  <c r="Q623" i="2"/>
  <c r="P623" i="2"/>
  <c r="O623" i="2"/>
  <c r="N623" i="2"/>
  <c r="M623" i="2"/>
  <c r="J623" i="2"/>
  <c r="K623" i="2" s="1"/>
  <c r="L623" i="2" s="1"/>
  <c r="I623" i="2"/>
  <c r="H623" i="2"/>
  <c r="U622" i="2"/>
  <c r="T622" i="2"/>
  <c r="Q622" i="2"/>
  <c r="P622" i="2"/>
  <c r="O622" i="2"/>
  <c r="R622" i="2" s="1"/>
  <c r="N622" i="2"/>
  <c r="M622" i="2"/>
  <c r="J622" i="2"/>
  <c r="K622" i="2" s="1"/>
  <c r="L622" i="2" s="1"/>
  <c r="I622" i="2"/>
  <c r="H622" i="2"/>
  <c r="U621" i="2"/>
  <c r="T621" i="2"/>
  <c r="Q621" i="2"/>
  <c r="P621" i="2"/>
  <c r="O621" i="2"/>
  <c r="N621" i="2"/>
  <c r="M621" i="2"/>
  <c r="J621" i="2"/>
  <c r="K621" i="2" s="1"/>
  <c r="L621" i="2" s="1"/>
  <c r="I621" i="2"/>
  <c r="H621" i="2"/>
  <c r="U620" i="2"/>
  <c r="T620" i="2"/>
  <c r="Q620" i="2"/>
  <c r="P620" i="2"/>
  <c r="O620" i="2"/>
  <c r="R620" i="2" s="1"/>
  <c r="N620" i="2"/>
  <c r="M620" i="2"/>
  <c r="J620" i="2"/>
  <c r="K620" i="2" s="1"/>
  <c r="L620" i="2" s="1"/>
  <c r="I620" i="2"/>
  <c r="H620" i="2"/>
  <c r="U619" i="2"/>
  <c r="T619" i="2"/>
  <c r="Q619" i="2"/>
  <c r="P619" i="2"/>
  <c r="O619" i="2"/>
  <c r="N619" i="2"/>
  <c r="M619" i="2"/>
  <c r="J619" i="2"/>
  <c r="K619" i="2" s="1"/>
  <c r="L619" i="2" s="1"/>
  <c r="I619" i="2"/>
  <c r="H619" i="2"/>
  <c r="U618" i="2"/>
  <c r="T618" i="2"/>
  <c r="Q618" i="2"/>
  <c r="P618" i="2"/>
  <c r="O618" i="2"/>
  <c r="R618" i="2" s="1"/>
  <c r="N618" i="2"/>
  <c r="M618" i="2"/>
  <c r="J618" i="2"/>
  <c r="K618" i="2" s="1"/>
  <c r="L618" i="2" s="1"/>
  <c r="I618" i="2"/>
  <c r="H618" i="2"/>
  <c r="U617" i="2"/>
  <c r="T617" i="2"/>
  <c r="Q617" i="2"/>
  <c r="P617" i="2"/>
  <c r="O617" i="2"/>
  <c r="N617" i="2"/>
  <c r="M617" i="2"/>
  <c r="J617" i="2"/>
  <c r="K617" i="2" s="1"/>
  <c r="L617" i="2" s="1"/>
  <c r="I617" i="2"/>
  <c r="H617" i="2"/>
  <c r="U616" i="2"/>
  <c r="T616" i="2"/>
  <c r="Q616" i="2"/>
  <c r="P616" i="2"/>
  <c r="O616" i="2"/>
  <c r="N616" i="2"/>
  <c r="M616" i="2"/>
  <c r="J616" i="2"/>
  <c r="K616" i="2" s="1"/>
  <c r="L616" i="2" s="1"/>
  <c r="I616" i="2"/>
  <c r="H616" i="2"/>
  <c r="U615" i="2"/>
  <c r="T615" i="2"/>
  <c r="Q615" i="2"/>
  <c r="P615" i="2"/>
  <c r="O615" i="2"/>
  <c r="N615" i="2"/>
  <c r="M615" i="2"/>
  <c r="J615" i="2"/>
  <c r="K615" i="2" s="1"/>
  <c r="L615" i="2" s="1"/>
  <c r="I615" i="2"/>
  <c r="H615" i="2"/>
  <c r="U614" i="2"/>
  <c r="T614" i="2"/>
  <c r="Q614" i="2"/>
  <c r="P614" i="2"/>
  <c r="O614" i="2"/>
  <c r="R614" i="2" s="1"/>
  <c r="N614" i="2"/>
  <c r="M614" i="2"/>
  <c r="J614" i="2"/>
  <c r="K614" i="2" s="1"/>
  <c r="L614" i="2" s="1"/>
  <c r="I614" i="2"/>
  <c r="H614" i="2"/>
  <c r="U613" i="2"/>
  <c r="T613" i="2"/>
  <c r="Q613" i="2"/>
  <c r="P613" i="2"/>
  <c r="O613" i="2"/>
  <c r="N613" i="2"/>
  <c r="M613" i="2"/>
  <c r="J613" i="2"/>
  <c r="K613" i="2" s="1"/>
  <c r="L613" i="2" s="1"/>
  <c r="I613" i="2"/>
  <c r="H613" i="2"/>
  <c r="U612" i="2"/>
  <c r="T612" i="2"/>
  <c r="Q612" i="2"/>
  <c r="P612" i="2"/>
  <c r="O612" i="2"/>
  <c r="N612" i="2"/>
  <c r="M612" i="2"/>
  <c r="J612" i="2"/>
  <c r="K612" i="2" s="1"/>
  <c r="L612" i="2" s="1"/>
  <c r="I612" i="2"/>
  <c r="H612" i="2"/>
  <c r="U611" i="2"/>
  <c r="T611" i="2"/>
  <c r="Q611" i="2"/>
  <c r="P611" i="2"/>
  <c r="O611" i="2"/>
  <c r="N611" i="2"/>
  <c r="M611" i="2"/>
  <c r="J611" i="2"/>
  <c r="K611" i="2" s="1"/>
  <c r="L611" i="2" s="1"/>
  <c r="I611" i="2"/>
  <c r="H611" i="2"/>
  <c r="U610" i="2"/>
  <c r="T610" i="2"/>
  <c r="Q610" i="2"/>
  <c r="P610" i="2"/>
  <c r="O610" i="2"/>
  <c r="N610" i="2"/>
  <c r="M610" i="2"/>
  <c r="J610" i="2"/>
  <c r="K610" i="2" s="1"/>
  <c r="L610" i="2" s="1"/>
  <c r="I610" i="2"/>
  <c r="H610" i="2"/>
  <c r="U609" i="2"/>
  <c r="T609" i="2"/>
  <c r="Q609" i="2"/>
  <c r="P609" i="2"/>
  <c r="O609" i="2"/>
  <c r="N609" i="2"/>
  <c r="M609" i="2"/>
  <c r="J609" i="2"/>
  <c r="K609" i="2" s="1"/>
  <c r="L609" i="2" s="1"/>
  <c r="I609" i="2"/>
  <c r="H609" i="2"/>
  <c r="U608" i="2"/>
  <c r="T608" i="2"/>
  <c r="Q608" i="2"/>
  <c r="P608" i="2"/>
  <c r="O608" i="2"/>
  <c r="N608" i="2"/>
  <c r="M608" i="2"/>
  <c r="J608" i="2"/>
  <c r="K608" i="2" s="1"/>
  <c r="L608" i="2" s="1"/>
  <c r="I608" i="2"/>
  <c r="H608" i="2"/>
  <c r="U607" i="2"/>
  <c r="T607" i="2"/>
  <c r="Q607" i="2"/>
  <c r="P607" i="2"/>
  <c r="O607" i="2"/>
  <c r="N607" i="2"/>
  <c r="M607" i="2"/>
  <c r="J607" i="2"/>
  <c r="K607" i="2" s="1"/>
  <c r="L607" i="2" s="1"/>
  <c r="I607" i="2"/>
  <c r="H607" i="2"/>
  <c r="U606" i="2"/>
  <c r="T606" i="2"/>
  <c r="Q606" i="2"/>
  <c r="P606" i="2"/>
  <c r="O606" i="2"/>
  <c r="R606" i="2" s="1"/>
  <c r="N606" i="2"/>
  <c r="M606" i="2"/>
  <c r="J606" i="2"/>
  <c r="K606" i="2" s="1"/>
  <c r="L606" i="2" s="1"/>
  <c r="I606" i="2"/>
  <c r="H606" i="2"/>
  <c r="U605" i="2"/>
  <c r="T605" i="2"/>
  <c r="Q605" i="2"/>
  <c r="P605" i="2"/>
  <c r="O605" i="2"/>
  <c r="N605" i="2"/>
  <c r="M605" i="2"/>
  <c r="J605" i="2"/>
  <c r="K605" i="2" s="1"/>
  <c r="L605" i="2" s="1"/>
  <c r="I605" i="2"/>
  <c r="H605" i="2"/>
  <c r="U604" i="2"/>
  <c r="T604" i="2"/>
  <c r="Q604" i="2"/>
  <c r="P604" i="2"/>
  <c r="O604" i="2"/>
  <c r="R604" i="2" s="1"/>
  <c r="N604" i="2"/>
  <c r="M604" i="2"/>
  <c r="J604" i="2"/>
  <c r="K604" i="2" s="1"/>
  <c r="L604" i="2" s="1"/>
  <c r="I604" i="2"/>
  <c r="H604" i="2"/>
  <c r="U603" i="2"/>
  <c r="T603" i="2"/>
  <c r="Q603" i="2"/>
  <c r="P603" i="2"/>
  <c r="O603" i="2"/>
  <c r="N603" i="2"/>
  <c r="M603" i="2"/>
  <c r="J603" i="2"/>
  <c r="K603" i="2" s="1"/>
  <c r="L603" i="2" s="1"/>
  <c r="I603" i="2"/>
  <c r="H603" i="2"/>
  <c r="U602" i="2"/>
  <c r="T602" i="2"/>
  <c r="Q602" i="2"/>
  <c r="P602" i="2"/>
  <c r="O602" i="2"/>
  <c r="R602" i="2" s="1"/>
  <c r="N602" i="2"/>
  <c r="M602" i="2"/>
  <c r="J602" i="2"/>
  <c r="K602" i="2" s="1"/>
  <c r="L602" i="2" s="1"/>
  <c r="I602" i="2"/>
  <c r="H602" i="2"/>
  <c r="U601" i="2"/>
  <c r="T601" i="2"/>
  <c r="Q601" i="2"/>
  <c r="P601" i="2"/>
  <c r="O601" i="2"/>
  <c r="N601" i="2"/>
  <c r="M601" i="2"/>
  <c r="J601" i="2"/>
  <c r="K601" i="2" s="1"/>
  <c r="L601" i="2" s="1"/>
  <c r="I601" i="2"/>
  <c r="H601" i="2"/>
  <c r="U600" i="2"/>
  <c r="T600" i="2"/>
  <c r="Q600" i="2"/>
  <c r="P600" i="2"/>
  <c r="O600" i="2"/>
  <c r="N600" i="2"/>
  <c r="M600" i="2"/>
  <c r="J600" i="2"/>
  <c r="K600" i="2" s="1"/>
  <c r="L600" i="2" s="1"/>
  <c r="I600" i="2"/>
  <c r="H600" i="2"/>
  <c r="U599" i="2"/>
  <c r="T599" i="2"/>
  <c r="Q599" i="2"/>
  <c r="P599" i="2"/>
  <c r="O599" i="2"/>
  <c r="N599" i="2"/>
  <c r="M599" i="2"/>
  <c r="J599" i="2"/>
  <c r="K599" i="2" s="1"/>
  <c r="L599" i="2" s="1"/>
  <c r="I599" i="2"/>
  <c r="H599" i="2"/>
  <c r="U598" i="2"/>
  <c r="T598" i="2"/>
  <c r="Q598" i="2"/>
  <c r="P598" i="2"/>
  <c r="O598" i="2"/>
  <c r="R598" i="2" s="1"/>
  <c r="N598" i="2"/>
  <c r="M598" i="2"/>
  <c r="J598" i="2"/>
  <c r="K598" i="2" s="1"/>
  <c r="L598" i="2" s="1"/>
  <c r="I598" i="2"/>
  <c r="H598" i="2"/>
  <c r="U597" i="2"/>
  <c r="T597" i="2"/>
  <c r="Q597" i="2"/>
  <c r="P597" i="2"/>
  <c r="O597" i="2"/>
  <c r="N597" i="2"/>
  <c r="M597" i="2"/>
  <c r="J597" i="2"/>
  <c r="K597" i="2" s="1"/>
  <c r="L597" i="2" s="1"/>
  <c r="I597" i="2"/>
  <c r="H597" i="2"/>
  <c r="U596" i="2"/>
  <c r="T596" i="2"/>
  <c r="Q596" i="2"/>
  <c r="P596" i="2"/>
  <c r="O596" i="2"/>
  <c r="N596" i="2"/>
  <c r="M596" i="2"/>
  <c r="J596" i="2"/>
  <c r="K596" i="2" s="1"/>
  <c r="L596" i="2" s="1"/>
  <c r="I596" i="2"/>
  <c r="H596" i="2"/>
  <c r="U595" i="2"/>
  <c r="T595" i="2"/>
  <c r="Q595" i="2"/>
  <c r="P595" i="2"/>
  <c r="O595" i="2"/>
  <c r="N595" i="2"/>
  <c r="M595" i="2"/>
  <c r="J595" i="2"/>
  <c r="K595" i="2" s="1"/>
  <c r="L595" i="2" s="1"/>
  <c r="I595" i="2"/>
  <c r="H595" i="2"/>
  <c r="U594" i="2"/>
  <c r="T594" i="2"/>
  <c r="Q594" i="2"/>
  <c r="P594" i="2"/>
  <c r="O594" i="2"/>
  <c r="R594" i="2" s="1"/>
  <c r="N594" i="2"/>
  <c r="M594" i="2"/>
  <c r="J594" i="2"/>
  <c r="K594" i="2" s="1"/>
  <c r="L594" i="2" s="1"/>
  <c r="I594" i="2"/>
  <c r="H594" i="2"/>
  <c r="U593" i="2"/>
  <c r="T593" i="2"/>
  <c r="Q593" i="2"/>
  <c r="P593" i="2"/>
  <c r="O593" i="2"/>
  <c r="N593" i="2"/>
  <c r="M593" i="2"/>
  <c r="J593" i="2"/>
  <c r="K593" i="2" s="1"/>
  <c r="L593" i="2" s="1"/>
  <c r="I593" i="2"/>
  <c r="H593" i="2"/>
  <c r="U592" i="2"/>
  <c r="T592" i="2"/>
  <c r="Q592" i="2"/>
  <c r="P592" i="2"/>
  <c r="O592" i="2"/>
  <c r="R592" i="2" s="1"/>
  <c r="N592" i="2"/>
  <c r="M592" i="2"/>
  <c r="J592" i="2"/>
  <c r="K592" i="2" s="1"/>
  <c r="L592" i="2" s="1"/>
  <c r="I592" i="2"/>
  <c r="H592" i="2"/>
  <c r="U591" i="2"/>
  <c r="T591" i="2"/>
  <c r="Q591" i="2"/>
  <c r="P591" i="2"/>
  <c r="O591" i="2"/>
  <c r="N591" i="2"/>
  <c r="M591" i="2"/>
  <c r="J591" i="2"/>
  <c r="K591" i="2" s="1"/>
  <c r="L591" i="2" s="1"/>
  <c r="I591" i="2"/>
  <c r="H591" i="2"/>
  <c r="U590" i="2"/>
  <c r="T590" i="2"/>
  <c r="Q590" i="2"/>
  <c r="P590" i="2"/>
  <c r="O590" i="2"/>
  <c r="R590" i="2" s="1"/>
  <c r="N590" i="2"/>
  <c r="M590" i="2"/>
  <c r="J590" i="2"/>
  <c r="K590" i="2" s="1"/>
  <c r="L590" i="2" s="1"/>
  <c r="I590" i="2"/>
  <c r="H590" i="2"/>
  <c r="U589" i="2"/>
  <c r="T589" i="2"/>
  <c r="Q589" i="2"/>
  <c r="P589" i="2"/>
  <c r="O589" i="2"/>
  <c r="N589" i="2"/>
  <c r="M589" i="2"/>
  <c r="J589" i="2"/>
  <c r="K589" i="2" s="1"/>
  <c r="L589" i="2" s="1"/>
  <c r="I589" i="2"/>
  <c r="H589" i="2"/>
  <c r="U588" i="2"/>
  <c r="T588" i="2"/>
  <c r="Q588" i="2"/>
  <c r="P588" i="2"/>
  <c r="O588" i="2"/>
  <c r="N588" i="2"/>
  <c r="M588" i="2"/>
  <c r="J588" i="2"/>
  <c r="K588" i="2" s="1"/>
  <c r="L588" i="2" s="1"/>
  <c r="I588" i="2"/>
  <c r="H588" i="2"/>
  <c r="U587" i="2"/>
  <c r="T587" i="2"/>
  <c r="Q587" i="2"/>
  <c r="P587" i="2"/>
  <c r="O587" i="2"/>
  <c r="N587" i="2"/>
  <c r="M587" i="2"/>
  <c r="J587" i="2"/>
  <c r="K587" i="2" s="1"/>
  <c r="L587" i="2" s="1"/>
  <c r="I587" i="2"/>
  <c r="H587" i="2"/>
  <c r="U586" i="2"/>
  <c r="T586" i="2"/>
  <c r="Q586" i="2"/>
  <c r="P586" i="2"/>
  <c r="O586" i="2"/>
  <c r="N586" i="2"/>
  <c r="M586" i="2"/>
  <c r="J586" i="2"/>
  <c r="K586" i="2" s="1"/>
  <c r="L586" i="2" s="1"/>
  <c r="I586" i="2"/>
  <c r="H586" i="2"/>
  <c r="U585" i="2"/>
  <c r="T585" i="2"/>
  <c r="Q585" i="2"/>
  <c r="P585" i="2"/>
  <c r="O585" i="2"/>
  <c r="N585" i="2"/>
  <c r="M585" i="2"/>
  <c r="J585" i="2"/>
  <c r="K585" i="2" s="1"/>
  <c r="L585" i="2" s="1"/>
  <c r="I585" i="2"/>
  <c r="H585" i="2"/>
  <c r="U584" i="2"/>
  <c r="T584" i="2"/>
  <c r="Q584" i="2"/>
  <c r="P584" i="2"/>
  <c r="O584" i="2"/>
  <c r="R584" i="2" s="1"/>
  <c r="N584" i="2"/>
  <c r="M584" i="2"/>
  <c r="J584" i="2"/>
  <c r="K584" i="2" s="1"/>
  <c r="L584" i="2" s="1"/>
  <c r="I584" i="2"/>
  <c r="H584" i="2"/>
  <c r="U583" i="2"/>
  <c r="T583" i="2"/>
  <c r="Q583" i="2"/>
  <c r="P583" i="2"/>
  <c r="O583" i="2"/>
  <c r="N583" i="2"/>
  <c r="M583" i="2"/>
  <c r="J583" i="2"/>
  <c r="K583" i="2" s="1"/>
  <c r="L583" i="2" s="1"/>
  <c r="I583" i="2"/>
  <c r="H583" i="2"/>
  <c r="U582" i="2"/>
  <c r="T582" i="2"/>
  <c r="Q582" i="2"/>
  <c r="P582" i="2"/>
  <c r="O582" i="2"/>
  <c r="R582" i="2" s="1"/>
  <c r="N582" i="2"/>
  <c r="M582" i="2"/>
  <c r="J582" i="2"/>
  <c r="K582" i="2" s="1"/>
  <c r="L582" i="2" s="1"/>
  <c r="I582" i="2"/>
  <c r="H582" i="2"/>
  <c r="U581" i="2"/>
  <c r="T581" i="2"/>
  <c r="Q581" i="2"/>
  <c r="P581" i="2"/>
  <c r="O581" i="2"/>
  <c r="N581" i="2"/>
  <c r="M581" i="2"/>
  <c r="J581" i="2"/>
  <c r="K581" i="2" s="1"/>
  <c r="L581" i="2" s="1"/>
  <c r="I581" i="2"/>
  <c r="H581" i="2"/>
  <c r="U580" i="2"/>
  <c r="T580" i="2"/>
  <c r="Q580" i="2"/>
  <c r="P580" i="2"/>
  <c r="O580" i="2"/>
  <c r="N580" i="2"/>
  <c r="M580" i="2"/>
  <c r="J580" i="2"/>
  <c r="K580" i="2" s="1"/>
  <c r="L580" i="2" s="1"/>
  <c r="I580" i="2"/>
  <c r="H580" i="2"/>
  <c r="U579" i="2"/>
  <c r="T579" i="2"/>
  <c r="Q579" i="2"/>
  <c r="P579" i="2"/>
  <c r="O579" i="2"/>
  <c r="N579" i="2"/>
  <c r="M579" i="2"/>
  <c r="J579" i="2"/>
  <c r="K579" i="2" s="1"/>
  <c r="L579" i="2" s="1"/>
  <c r="I579" i="2"/>
  <c r="H579" i="2"/>
  <c r="U578" i="2"/>
  <c r="T578" i="2"/>
  <c r="Q578" i="2"/>
  <c r="P578" i="2"/>
  <c r="O578" i="2"/>
  <c r="N578" i="2"/>
  <c r="M578" i="2"/>
  <c r="J578" i="2"/>
  <c r="K578" i="2" s="1"/>
  <c r="L578" i="2" s="1"/>
  <c r="I578" i="2"/>
  <c r="H578" i="2"/>
  <c r="U577" i="2"/>
  <c r="T577" i="2"/>
  <c r="Q577" i="2"/>
  <c r="P577" i="2"/>
  <c r="O577" i="2"/>
  <c r="N577" i="2"/>
  <c r="M577" i="2"/>
  <c r="J577" i="2"/>
  <c r="K577" i="2" s="1"/>
  <c r="L577" i="2" s="1"/>
  <c r="I577" i="2"/>
  <c r="H577" i="2"/>
  <c r="U576" i="2"/>
  <c r="T576" i="2"/>
  <c r="Q576" i="2"/>
  <c r="P576" i="2"/>
  <c r="O576" i="2"/>
  <c r="R576" i="2" s="1"/>
  <c r="N576" i="2"/>
  <c r="M576" i="2"/>
  <c r="J576" i="2"/>
  <c r="K576" i="2" s="1"/>
  <c r="L576" i="2" s="1"/>
  <c r="I576" i="2"/>
  <c r="H576" i="2"/>
  <c r="U575" i="2"/>
  <c r="T575" i="2"/>
  <c r="Q575" i="2"/>
  <c r="P575" i="2"/>
  <c r="O575" i="2"/>
  <c r="N575" i="2"/>
  <c r="M575" i="2"/>
  <c r="J575" i="2"/>
  <c r="K575" i="2" s="1"/>
  <c r="L575" i="2" s="1"/>
  <c r="I575" i="2"/>
  <c r="H575" i="2"/>
  <c r="U574" i="2"/>
  <c r="T574" i="2"/>
  <c r="Q574" i="2"/>
  <c r="P574" i="2"/>
  <c r="O574" i="2"/>
  <c r="R574" i="2" s="1"/>
  <c r="N574" i="2"/>
  <c r="M574" i="2"/>
  <c r="J574" i="2"/>
  <c r="K574" i="2" s="1"/>
  <c r="L574" i="2" s="1"/>
  <c r="I574" i="2"/>
  <c r="H574" i="2"/>
  <c r="U573" i="2"/>
  <c r="T573" i="2"/>
  <c r="Q573" i="2"/>
  <c r="P573" i="2"/>
  <c r="O573" i="2"/>
  <c r="N573" i="2"/>
  <c r="M573" i="2"/>
  <c r="J573" i="2"/>
  <c r="K573" i="2" s="1"/>
  <c r="L573" i="2" s="1"/>
  <c r="I573" i="2"/>
  <c r="H573" i="2"/>
  <c r="U572" i="2"/>
  <c r="T572" i="2"/>
  <c r="Q572" i="2"/>
  <c r="P572" i="2"/>
  <c r="O572" i="2"/>
  <c r="N572" i="2"/>
  <c r="M572" i="2"/>
  <c r="J572" i="2"/>
  <c r="K572" i="2" s="1"/>
  <c r="L572" i="2" s="1"/>
  <c r="I572" i="2"/>
  <c r="H572" i="2"/>
  <c r="U571" i="2"/>
  <c r="T571" i="2"/>
  <c r="Q571" i="2"/>
  <c r="P571" i="2"/>
  <c r="O571" i="2"/>
  <c r="N571" i="2"/>
  <c r="M571" i="2"/>
  <c r="J571" i="2"/>
  <c r="K571" i="2" s="1"/>
  <c r="L571" i="2" s="1"/>
  <c r="I571" i="2"/>
  <c r="H571" i="2"/>
  <c r="U570" i="2"/>
  <c r="T570" i="2"/>
  <c r="Q570" i="2"/>
  <c r="P570" i="2"/>
  <c r="O570" i="2"/>
  <c r="R570" i="2" s="1"/>
  <c r="N570" i="2"/>
  <c r="M570" i="2"/>
  <c r="J570" i="2"/>
  <c r="K570" i="2" s="1"/>
  <c r="L570" i="2" s="1"/>
  <c r="I570" i="2"/>
  <c r="H570" i="2"/>
  <c r="U569" i="2"/>
  <c r="T569" i="2"/>
  <c r="Q569" i="2"/>
  <c r="P569" i="2"/>
  <c r="O569" i="2"/>
  <c r="N569" i="2"/>
  <c r="M569" i="2"/>
  <c r="J569" i="2"/>
  <c r="K569" i="2" s="1"/>
  <c r="L569" i="2" s="1"/>
  <c r="I569" i="2"/>
  <c r="H569" i="2"/>
  <c r="U568" i="2"/>
  <c r="T568" i="2"/>
  <c r="Q568" i="2"/>
  <c r="P568" i="2"/>
  <c r="O568" i="2"/>
  <c r="N568" i="2"/>
  <c r="M568" i="2"/>
  <c r="J568" i="2"/>
  <c r="K568" i="2" s="1"/>
  <c r="L568" i="2" s="1"/>
  <c r="I568" i="2"/>
  <c r="H568" i="2"/>
  <c r="U567" i="2"/>
  <c r="T567" i="2"/>
  <c r="Q567" i="2"/>
  <c r="P567" i="2"/>
  <c r="O567" i="2"/>
  <c r="N567" i="2"/>
  <c r="M567" i="2"/>
  <c r="J567" i="2"/>
  <c r="K567" i="2" s="1"/>
  <c r="L567" i="2" s="1"/>
  <c r="I567" i="2"/>
  <c r="H567" i="2"/>
  <c r="U566" i="2"/>
  <c r="T566" i="2"/>
  <c r="Q566" i="2"/>
  <c r="P566" i="2"/>
  <c r="O566" i="2"/>
  <c r="R566" i="2" s="1"/>
  <c r="N566" i="2"/>
  <c r="M566" i="2"/>
  <c r="J566" i="2"/>
  <c r="K566" i="2" s="1"/>
  <c r="L566" i="2" s="1"/>
  <c r="I566" i="2"/>
  <c r="H566" i="2"/>
  <c r="U565" i="2"/>
  <c r="T565" i="2"/>
  <c r="Q565" i="2"/>
  <c r="P565" i="2"/>
  <c r="O565" i="2"/>
  <c r="N565" i="2"/>
  <c r="M565" i="2"/>
  <c r="J565" i="2"/>
  <c r="K565" i="2" s="1"/>
  <c r="L565" i="2" s="1"/>
  <c r="I565" i="2"/>
  <c r="H565" i="2"/>
  <c r="U564" i="2"/>
  <c r="T564" i="2"/>
  <c r="Q564" i="2"/>
  <c r="P564" i="2"/>
  <c r="O564" i="2"/>
  <c r="R564" i="2" s="1"/>
  <c r="N564" i="2"/>
  <c r="M564" i="2"/>
  <c r="J564" i="2"/>
  <c r="K564" i="2" s="1"/>
  <c r="L564" i="2" s="1"/>
  <c r="I564" i="2"/>
  <c r="H564" i="2"/>
  <c r="U563" i="2"/>
  <c r="T563" i="2"/>
  <c r="Q563" i="2"/>
  <c r="P563" i="2"/>
  <c r="O563" i="2"/>
  <c r="N563" i="2"/>
  <c r="M563" i="2"/>
  <c r="J563" i="2"/>
  <c r="K563" i="2" s="1"/>
  <c r="L563" i="2" s="1"/>
  <c r="I563" i="2"/>
  <c r="H563" i="2"/>
  <c r="U562" i="2"/>
  <c r="T562" i="2"/>
  <c r="Q562" i="2"/>
  <c r="P562" i="2"/>
  <c r="O562" i="2"/>
  <c r="N562" i="2"/>
  <c r="M562" i="2"/>
  <c r="J562" i="2"/>
  <c r="K562" i="2" s="1"/>
  <c r="L562" i="2" s="1"/>
  <c r="I562" i="2"/>
  <c r="H562" i="2"/>
  <c r="U561" i="2"/>
  <c r="T561" i="2"/>
  <c r="Q561" i="2"/>
  <c r="P561" i="2"/>
  <c r="O561" i="2"/>
  <c r="N561" i="2"/>
  <c r="M561" i="2"/>
  <c r="J561" i="2"/>
  <c r="K561" i="2" s="1"/>
  <c r="L561" i="2" s="1"/>
  <c r="I561" i="2"/>
  <c r="H561" i="2"/>
  <c r="U560" i="2"/>
  <c r="T560" i="2"/>
  <c r="Q560" i="2"/>
  <c r="P560" i="2"/>
  <c r="O560" i="2"/>
  <c r="R560" i="2" s="1"/>
  <c r="N560" i="2"/>
  <c r="M560" i="2"/>
  <c r="J560" i="2"/>
  <c r="K560" i="2" s="1"/>
  <c r="L560" i="2" s="1"/>
  <c r="I560" i="2"/>
  <c r="H560" i="2"/>
  <c r="U559" i="2"/>
  <c r="T559" i="2"/>
  <c r="Q559" i="2"/>
  <c r="P559" i="2"/>
  <c r="O559" i="2"/>
  <c r="N559" i="2"/>
  <c r="M559" i="2"/>
  <c r="J559" i="2"/>
  <c r="K559" i="2" s="1"/>
  <c r="L559" i="2" s="1"/>
  <c r="I559" i="2"/>
  <c r="H559" i="2"/>
  <c r="U558" i="2"/>
  <c r="T558" i="2"/>
  <c r="Q558" i="2"/>
  <c r="P558" i="2"/>
  <c r="O558" i="2"/>
  <c r="R558" i="2" s="1"/>
  <c r="N558" i="2"/>
  <c r="M558" i="2"/>
  <c r="J558" i="2"/>
  <c r="K558" i="2" s="1"/>
  <c r="L558" i="2" s="1"/>
  <c r="I558" i="2"/>
  <c r="H558" i="2"/>
  <c r="U557" i="2"/>
  <c r="T557" i="2"/>
  <c r="Q557" i="2"/>
  <c r="P557" i="2"/>
  <c r="O557" i="2"/>
  <c r="N557" i="2"/>
  <c r="M557" i="2"/>
  <c r="J557" i="2"/>
  <c r="K557" i="2" s="1"/>
  <c r="L557" i="2" s="1"/>
  <c r="I557" i="2"/>
  <c r="H557" i="2"/>
  <c r="U556" i="2"/>
  <c r="T556" i="2"/>
  <c r="Q556" i="2"/>
  <c r="P556" i="2"/>
  <c r="O556" i="2"/>
  <c r="N556" i="2"/>
  <c r="M556" i="2"/>
  <c r="J556" i="2"/>
  <c r="K556" i="2" s="1"/>
  <c r="L556" i="2" s="1"/>
  <c r="I556" i="2"/>
  <c r="H556" i="2"/>
  <c r="U555" i="2"/>
  <c r="T555" i="2"/>
  <c r="Q555" i="2"/>
  <c r="P555" i="2"/>
  <c r="O555" i="2"/>
  <c r="N555" i="2"/>
  <c r="M555" i="2"/>
  <c r="J555" i="2"/>
  <c r="K555" i="2" s="1"/>
  <c r="L555" i="2" s="1"/>
  <c r="I555" i="2"/>
  <c r="H555" i="2"/>
  <c r="U554" i="2"/>
  <c r="T554" i="2"/>
  <c r="Q554" i="2"/>
  <c r="P554" i="2"/>
  <c r="O554" i="2"/>
  <c r="N554" i="2"/>
  <c r="M554" i="2"/>
  <c r="J554" i="2"/>
  <c r="K554" i="2" s="1"/>
  <c r="L554" i="2" s="1"/>
  <c r="I554" i="2"/>
  <c r="H554" i="2"/>
  <c r="U553" i="2"/>
  <c r="T553" i="2"/>
  <c r="Q553" i="2"/>
  <c r="P553" i="2"/>
  <c r="O553" i="2"/>
  <c r="N553" i="2"/>
  <c r="M553" i="2"/>
  <c r="J553" i="2"/>
  <c r="K553" i="2" s="1"/>
  <c r="L553" i="2" s="1"/>
  <c r="I553" i="2"/>
  <c r="H553" i="2"/>
  <c r="U552" i="2"/>
  <c r="T552" i="2"/>
  <c r="Q552" i="2"/>
  <c r="P552" i="2"/>
  <c r="O552" i="2"/>
  <c r="R552" i="2" s="1"/>
  <c r="N552" i="2"/>
  <c r="M552" i="2"/>
  <c r="J552" i="2"/>
  <c r="K552" i="2" s="1"/>
  <c r="L552" i="2" s="1"/>
  <c r="I552" i="2"/>
  <c r="H552" i="2"/>
  <c r="U551" i="2"/>
  <c r="T551" i="2"/>
  <c r="Q551" i="2"/>
  <c r="P551" i="2"/>
  <c r="O551" i="2"/>
  <c r="N551" i="2"/>
  <c r="M551" i="2"/>
  <c r="J551" i="2"/>
  <c r="K551" i="2" s="1"/>
  <c r="L551" i="2" s="1"/>
  <c r="I551" i="2"/>
  <c r="H551" i="2"/>
  <c r="U550" i="2"/>
  <c r="T550" i="2"/>
  <c r="Q550" i="2"/>
  <c r="P550" i="2"/>
  <c r="O550" i="2"/>
  <c r="R550" i="2" s="1"/>
  <c r="N550" i="2"/>
  <c r="M550" i="2"/>
  <c r="J550" i="2"/>
  <c r="K550" i="2" s="1"/>
  <c r="L550" i="2" s="1"/>
  <c r="I550" i="2"/>
  <c r="H550" i="2"/>
  <c r="U549" i="2"/>
  <c r="T549" i="2"/>
  <c r="V549" i="2" s="1"/>
  <c r="Q549" i="2"/>
  <c r="P549" i="2"/>
  <c r="O549" i="2"/>
  <c r="N549" i="2"/>
  <c r="M549" i="2"/>
  <c r="J549" i="2"/>
  <c r="K549" i="2" s="1"/>
  <c r="L549" i="2" s="1"/>
  <c r="I549" i="2"/>
  <c r="H549" i="2"/>
  <c r="U548" i="2"/>
  <c r="T548" i="2"/>
  <c r="Q548" i="2"/>
  <c r="P548" i="2"/>
  <c r="O548" i="2"/>
  <c r="N548" i="2"/>
  <c r="M548" i="2"/>
  <c r="J548" i="2"/>
  <c r="K548" i="2" s="1"/>
  <c r="L548" i="2" s="1"/>
  <c r="I548" i="2"/>
  <c r="H548" i="2"/>
  <c r="U547" i="2"/>
  <c r="T547" i="2"/>
  <c r="Q547" i="2"/>
  <c r="P547" i="2"/>
  <c r="O547" i="2"/>
  <c r="N547" i="2"/>
  <c r="M547" i="2"/>
  <c r="J547" i="2"/>
  <c r="K547" i="2" s="1"/>
  <c r="L547" i="2" s="1"/>
  <c r="I547" i="2"/>
  <c r="H547" i="2"/>
  <c r="U546" i="2"/>
  <c r="T546" i="2"/>
  <c r="Q546" i="2"/>
  <c r="P546" i="2"/>
  <c r="O546" i="2"/>
  <c r="R546" i="2" s="1"/>
  <c r="N546" i="2"/>
  <c r="M546" i="2"/>
  <c r="J546" i="2"/>
  <c r="K546" i="2" s="1"/>
  <c r="L546" i="2" s="1"/>
  <c r="I546" i="2"/>
  <c r="H546" i="2"/>
  <c r="U545" i="2"/>
  <c r="T545" i="2"/>
  <c r="Q545" i="2"/>
  <c r="P545" i="2"/>
  <c r="O545" i="2"/>
  <c r="N545" i="2"/>
  <c r="M545" i="2"/>
  <c r="J545" i="2"/>
  <c r="K545" i="2" s="1"/>
  <c r="L545" i="2" s="1"/>
  <c r="I545" i="2"/>
  <c r="H545" i="2"/>
  <c r="U544" i="2"/>
  <c r="T544" i="2"/>
  <c r="Q544" i="2"/>
  <c r="P544" i="2"/>
  <c r="O544" i="2"/>
  <c r="N544" i="2"/>
  <c r="M544" i="2"/>
  <c r="J544" i="2"/>
  <c r="K544" i="2" s="1"/>
  <c r="L544" i="2" s="1"/>
  <c r="I544" i="2"/>
  <c r="H544" i="2"/>
  <c r="U543" i="2"/>
  <c r="T543" i="2"/>
  <c r="Q543" i="2"/>
  <c r="P543" i="2"/>
  <c r="O543" i="2"/>
  <c r="N543" i="2"/>
  <c r="M543" i="2"/>
  <c r="J543" i="2"/>
  <c r="K543" i="2" s="1"/>
  <c r="L543" i="2" s="1"/>
  <c r="I543" i="2"/>
  <c r="H543" i="2"/>
  <c r="U542" i="2"/>
  <c r="T542" i="2"/>
  <c r="Q542" i="2"/>
  <c r="P542" i="2"/>
  <c r="O542" i="2"/>
  <c r="N542" i="2"/>
  <c r="M542" i="2"/>
  <c r="J542" i="2"/>
  <c r="K542" i="2" s="1"/>
  <c r="L542" i="2" s="1"/>
  <c r="I542" i="2"/>
  <c r="H542" i="2"/>
  <c r="U541" i="2"/>
  <c r="T541" i="2"/>
  <c r="Q541" i="2"/>
  <c r="P541" i="2"/>
  <c r="O541" i="2"/>
  <c r="N541" i="2"/>
  <c r="M541" i="2"/>
  <c r="J541" i="2"/>
  <c r="K541" i="2" s="1"/>
  <c r="L541" i="2" s="1"/>
  <c r="I541" i="2"/>
  <c r="H541" i="2"/>
  <c r="U540" i="2"/>
  <c r="T540" i="2"/>
  <c r="Q540" i="2"/>
  <c r="P540" i="2"/>
  <c r="O540" i="2"/>
  <c r="N540" i="2"/>
  <c r="M540" i="2"/>
  <c r="J540" i="2"/>
  <c r="K540" i="2" s="1"/>
  <c r="L540" i="2" s="1"/>
  <c r="I540" i="2"/>
  <c r="H540" i="2"/>
  <c r="U539" i="2"/>
  <c r="T539" i="2"/>
  <c r="Q539" i="2"/>
  <c r="P539" i="2"/>
  <c r="O539" i="2"/>
  <c r="R539" i="2" s="1"/>
  <c r="N539" i="2"/>
  <c r="M539" i="2"/>
  <c r="J539" i="2"/>
  <c r="K539" i="2" s="1"/>
  <c r="L539" i="2" s="1"/>
  <c r="I539" i="2"/>
  <c r="H539" i="2"/>
  <c r="U538" i="2"/>
  <c r="T538" i="2"/>
  <c r="Q538" i="2"/>
  <c r="P538" i="2"/>
  <c r="O538" i="2"/>
  <c r="R538" i="2" s="1"/>
  <c r="N538" i="2"/>
  <c r="M538" i="2"/>
  <c r="J538" i="2"/>
  <c r="K538" i="2" s="1"/>
  <c r="L538" i="2" s="1"/>
  <c r="I538" i="2"/>
  <c r="H538" i="2"/>
  <c r="U537" i="2"/>
  <c r="T537" i="2"/>
  <c r="Q537" i="2"/>
  <c r="P537" i="2"/>
  <c r="O537" i="2"/>
  <c r="N537" i="2"/>
  <c r="M537" i="2"/>
  <c r="J537" i="2"/>
  <c r="K537" i="2" s="1"/>
  <c r="L537" i="2" s="1"/>
  <c r="I537" i="2"/>
  <c r="H537" i="2"/>
  <c r="U536" i="2"/>
  <c r="T536" i="2"/>
  <c r="Q536" i="2"/>
  <c r="P536" i="2"/>
  <c r="O536" i="2"/>
  <c r="N536" i="2"/>
  <c r="M536" i="2"/>
  <c r="J536" i="2"/>
  <c r="K536" i="2" s="1"/>
  <c r="L536" i="2" s="1"/>
  <c r="I536" i="2"/>
  <c r="H536" i="2"/>
  <c r="U535" i="2"/>
  <c r="T535" i="2"/>
  <c r="Q535" i="2"/>
  <c r="P535" i="2"/>
  <c r="O535" i="2"/>
  <c r="N535" i="2"/>
  <c r="M535" i="2"/>
  <c r="J535" i="2"/>
  <c r="K535" i="2" s="1"/>
  <c r="L535" i="2" s="1"/>
  <c r="I535" i="2"/>
  <c r="H535" i="2"/>
  <c r="U534" i="2"/>
  <c r="T534" i="2"/>
  <c r="Q534" i="2"/>
  <c r="P534" i="2"/>
  <c r="O534" i="2"/>
  <c r="R534" i="2" s="1"/>
  <c r="N534" i="2"/>
  <c r="M534" i="2"/>
  <c r="J534" i="2"/>
  <c r="K534" i="2" s="1"/>
  <c r="L534" i="2" s="1"/>
  <c r="I534" i="2"/>
  <c r="H534" i="2"/>
  <c r="U533" i="2"/>
  <c r="T533" i="2"/>
  <c r="Q533" i="2"/>
  <c r="P533" i="2"/>
  <c r="O533" i="2"/>
  <c r="N533" i="2"/>
  <c r="M533" i="2"/>
  <c r="J533" i="2"/>
  <c r="K533" i="2" s="1"/>
  <c r="L533" i="2" s="1"/>
  <c r="I533" i="2"/>
  <c r="H533" i="2"/>
  <c r="U532" i="2"/>
  <c r="T532" i="2"/>
  <c r="Q532" i="2"/>
  <c r="P532" i="2"/>
  <c r="O532" i="2"/>
  <c r="R532" i="2" s="1"/>
  <c r="N532" i="2"/>
  <c r="M532" i="2"/>
  <c r="J532" i="2"/>
  <c r="K532" i="2" s="1"/>
  <c r="L532" i="2" s="1"/>
  <c r="I532" i="2"/>
  <c r="H532" i="2"/>
  <c r="U531" i="2"/>
  <c r="T531" i="2"/>
  <c r="Q531" i="2"/>
  <c r="P531" i="2"/>
  <c r="O531" i="2"/>
  <c r="N531" i="2"/>
  <c r="M531" i="2"/>
  <c r="J531" i="2"/>
  <c r="K531" i="2" s="1"/>
  <c r="L531" i="2" s="1"/>
  <c r="I531" i="2"/>
  <c r="H531" i="2"/>
  <c r="U530" i="2"/>
  <c r="T530" i="2"/>
  <c r="Q530" i="2"/>
  <c r="P530" i="2"/>
  <c r="O530" i="2"/>
  <c r="N530" i="2"/>
  <c r="M530" i="2"/>
  <c r="J530" i="2"/>
  <c r="K530" i="2" s="1"/>
  <c r="L530" i="2" s="1"/>
  <c r="I530" i="2"/>
  <c r="H530" i="2"/>
  <c r="U529" i="2"/>
  <c r="T529" i="2"/>
  <c r="Q529" i="2"/>
  <c r="P529" i="2"/>
  <c r="O529" i="2"/>
  <c r="N529" i="2"/>
  <c r="M529" i="2"/>
  <c r="J529" i="2"/>
  <c r="K529" i="2" s="1"/>
  <c r="L529" i="2" s="1"/>
  <c r="I529" i="2"/>
  <c r="H529" i="2"/>
  <c r="U528" i="2"/>
  <c r="T528" i="2"/>
  <c r="Q528" i="2"/>
  <c r="P528" i="2"/>
  <c r="O528" i="2"/>
  <c r="N528" i="2"/>
  <c r="M528" i="2"/>
  <c r="J528" i="2"/>
  <c r="K528" i="2" s="1"/>
  <c r="L528" i="2" s="1"/>
  <c r="I528" i="2"/>
  <c r="H528" i="2"/>
  <c r="U527" i="2"/>
  <c r="T527" i="2"/>
  <c r="Q527" i="2"/>
  <c r="P527" i="2"/>
  <c r="O527" i="2"/>
  <c r="R527" i="2" s="1"/>
  <c r="N527" i="2"/>
  <c r="M527" i="2"/>
  <c r="J527" i="2"/>
  <c r="K527" i="2" s="1"/>
  <c r="L527" i="2" s="1"/>
  <c r="I527" i="2"/>
  <c r="H527" i="2"/>
  <c r="U526" i="2"/>
  <c r="T526" i="2"/>
  <c r="Q526" i="2"/>
  <c r="P526" i="2"/>
  <c r="O526" i="2"/>
  <c r="N526" i="2"/>
  <c r="M526" i="2"/>
  <c r="J526" i="2"/>
  <c r="K526" i="2" s="1"/>
  <c r="L526" i="2" s="1"/>
  <c r="I526" i="2"/>
  <c r="H526" i="2"/>
  <c r="U525" i="2"/>
  <c r="T525" i="2"/>
  <c r="Q525" i="2"/>
  <c r="P525" i="2"/>
  <c r="O525" i="2"/>
  <c r="N525" i="2"/>
  <c r="M525" i="2"/>
  <c r="J525" i="2"/>
  <c r="K525" i="2" s="1"/>
  <c r="L525" i="2" s="1"/>
  <c r="I525" i="2"/>
  <c r="H525" i="2"/>
  <c r="U524" i="2"/>
  <c r="T524" i="2"/>
  <c r="Q524" i="2"/>
  <c r="P524" i="2"/>
  <c r="O524" i="2"/>
  <c r="N524" i="2"/>
  <c r="M524" i="2"/>
  <c r="J524" i="2"/>
  <c r="K524" i="2" s="1"/>
  <c r="L524" i="2" s="1"/>
  <c r="I524" i="2"/>
  <c r="H524" i="2"/>
  <c r="U523" i="2"/>
  <c r="T523" i="2"/>
  <c r="Q523" i="2"/>
  <c r="P523" i="2"/>
  <c r="O523" i="2"/>
  <c r="R523" i="2" s="1"/>
  <c r="N523" i="2"/>
  <c r="M523" i="2"/>
  <c r="J523" i="2"/>
  <c r="K523" i="2" s="1"/>
  <c r="L523" i="2" s="1"/>
  <c r="I523" i="2"/>
  <c r="H523" i="2"/>
  <c r="U522" i="2"/>
  <c r="T522" i="2"/>
  <c r="Q522" i="2"/>
  <c r="P522" i="2"/>
  <c r="O522" i="2"/>
  <c r="N522" i="2"/>
  <c r="M522" i="2"/>
  <c r="J522" i="2"/>
  <c r="K522" i="2" s="1"/>
  <c r="L522" i="2" s="1"/>
  <c r="I522" i="2"/>
  <c r="H522" i="2"/>
  <c r="U521" i="2"/>
  <c r="T521" i="2"/>
  <c r="Q521" i="2"/>
  <c r="P521" i="2"/>
  <c r="O521" i="2"/>
  <c r="R521" i="2" s="1"/>
  <c r="N521" i="2"/>
  <c r="M521" i="2"/>
  <c r="J521" i="2"/>
  <c r="K521" i="2" s="1"/>
  <c r="L521" i="2" s="1"/>
  <c r="I521" i="2"/>
  <c r="H521" i="2"/>
  <c r="U520" i="2"/>
  <c r="T520" i="2"/>
  <c r="Q520" i="2"/>
  <c r="P520" i="2"/>
  <c r="O520" i="2"/>
  <c r="N520" i="2"/>
  <c r="M520" i="2"/>
  <c r="J520" i="2"/>
  <c r="K520" i="2" s="1"/>
  <c r="L520" i="2" s="1"/>
  <c r="I520" i="2"/>
  <c r="H520" i="2"/>
  <c r="U519" i="2"/>
  <c r="T519" i="2"/>
  <c r="Q519" i="2"/>
  <c r="P519" i="2"/>
  <c r="O519" i="2"/>
  <c r="R519" i="2" s="1"/>
  <c r="N519" i="2"/>
  <c r="M519" i="2"/>
  <c r="J519" i="2"/>
  <c r="K519" i="2" s="1"/>
  <c r="L519" i="2" s="1"/>
  <c r="I519" i="2"/>
  <c r="H519" i="2"/>
  <c r="U518" i="2"/>
  <c r="T518" i="2"/>
  <c r="Q518" i="2"/>
  <c r="P518" i="2"/>
  <c r="O518" i="2"/>
  <c r="R518" i="2" s="1"/>
  <c r="N518" i="2"/>
  <c r="M518" i="2"/>
  <c r="J518" i="2"/>
  <c r="K518" i="2" s="1"/>
  <c r="L518" i="2" s="1"/>
  <c r="I518" i="2"/>
  <c r="H518" i="2"/>
  <c r="U517" i="2"/>
  <c r="T517" i="2"/>
  <c r="Q517" i="2"/>
  <c r="P517" i="2"/>
  <c r="O517" i="2"/>
  <c r="R517" i="2" s="1"/>
  <c r="N517" i="2"/>
  <c r="M517" i="2"/>
  <c r="J517" i="2"/>
  <c r="K517" i="2" s="1"/>
  <c r="L517" i="2" s="1"/>
  <c r="I517" i="2"/>
  <c r="H517" i="2"/>
  <c r="U516" i="2"/>
  <c r="T516" i="2"/>
  <c r="Q516" i="2"/>
  <c r="P516" i="2"/>
  <c r="O516" i="2"/>
  <c r="R516" i="2" s="1"/>
  <c r="N516" i="2"/>
  <c r="M516" i="2"/>
  <c r="J516" i="2"/>
  <c r="K516" i="2" s="1"/>
  <c r="L516" i="2" s="1"/>
  <c r="I516" i="2"/>
  <c r="H516" i="2"/>
  <c r="U515" i="2"/>
  <c r="T515" i="2"/>
  <c r="Q515" i="2"/>
  <c r="P515" i="2"/>
  <c r="O515" i="2"/>
  <c r="N515" i="2"/>
  <c r="M515" i="2"/>
  <c r="J515" i="2"/>
  <c r="K515" i="2" s="1"/>
  <c r="L515" i="2" s="1"/>
  <c r="I515" i="2"/>
  <c r="H515" i="2"/>
  <c r="U514" i="2"/>
  <c r="T514" i="2"/>
  <c r="Q514" i="2"/>
  <c r="P514" i="2"/>
  <c r="O514" i="2"/>
  <c r="N514" i="2"/>
  <c r="M514" i="2"/>
  <c r="J514" i="2"/>
  <c r="K514" i="2" s="1"/>
  <c r="L514" i="2" s="1"/>
  <c r="I514" i="2"/>
  <c r="H514" i="2"/>
  <c r="U513" i="2"/>
  <c r="T513" i="2"/>
  <c r="Q513" i="2"/>
  <c r="P513" i="2"/>
  <c r="O513" i="2"/>
  <c r="N513" i="2"/>
  <c r="M513" i="2"/>
  <c r="J513" i="2"/>
  <c r="K513" i="2" s="1"/>
  <c r="L513" i="2" s="1"/>
  <c r="I513" i="2"/>
  <c r="H513" i="2"/>
  <c r="U512" i="2"/>
  <c r="T512" i="2"/>
  <c r="Q512" i="2"/>
  <c r="P512" i="2"/>
  <c r="O512" i="2"/>
  <c r="R512" i="2" s="1"/>
  <c r="N512" i="2"/>
  <c r="M512" i="2"/>
  <c r="J512" i="2"/>
  <c r="K512" i="2" s="1"/>
  <c r="L512" i="2" s="1"/>
  <c r="I512" i="2"/>
  <c r="H512" i="2"/>
  <c r="U511" i="2"/>
  <c r="T511" i="2"/>
  <c r="Q511" i="2"/>
  <c r="P511" i="2"/>
  <c r="O511" i="2"/>
  <c r="N511" i="2"/>
  <c r="M511" i="2"/>
  <c r="J511" i="2"/>
  <c r="K511" i="2" s="1"/>
  <c r="L511" i="2" s="1"/>
  <c r="I511" i="2"/>
  <c r="H511" i="2"/>
  <c r="U510" i="2"/>
  <c r="T510" i="2"/>
  <c r="Q510" i="2"/>
  <c r="P510" i="2"/>
  <c r="O510" i="2"/>
  <c r="R510" i="2" s="1"/>
  <c r="N510" i="2"/>
  <c r="M510" i="2"/>
  <c r="J510" i="2"/>
  <c r="K510" i="2" s="1"/>
  <c r="L510" i="2" s="1"/>
  <c r="I510" i="2"/>
  <c r="H510" i="2"/>
  <c r="U509" i="2"/>
  <c r="T509" i="2"/>
  <c r="Q509" i="2"/>
  <c r="P509" i="2"/>
  <c r="O509" i="2"/>
  <c r="R509" i="2" s="1"/>
  <c r="N509" i="2"/>
  <c r="M509" i="2"/>
  <c r="J509" i="2"/>
  <c r="K509" i="2" s="1"/>
  <c r="L509" i="2" s="1"/>
  <c r="I509" i="2"/>
  <c r="H509" i="2"/>
  <c r="U508" i="2"/>
  <c r="T508" i="2"/>
  <c r="Q508" i="2"/>
  <c r="P508" i="2"/>
  <c r="O508" i="2"/>
  <c r="N508" i="2"/>
  <c r="M508" i="2"/>
  <c r="J508" i="2"/>
  <c r="K508" i="2" s="1"/>
  <c r="L508" i="2" s="1"/>
  <c r="I508" i="2"/>
  <c r="H508" i="2"/>
  <c r="U507" i="2"/>
  <c r="T507" i="2"/>
  <c r="Q507" i="2"/>
  <c r="P507" i="2"/>
  <c r="O507" i="2"/>
  <c r="R507" i="2" s="1"/>
  <c r="N507" i="2"/>
  <c r="M507" i="2"/>
  <c r="J507" i="2"/>
  <c r="K507" i="2" s="1"/>
  <c r="L507" i="2" s="1"/>
  <c r="I507" i="2"/>
  <c r="H507" i="2"/>
  <c r="U506" i="2"/>
  <c r="T506" i="2"/>
  <c r="Q506" i="2"/>
  <c r="P506" i="2"/>
  <c r="O506" i="2"/>
  <c r="N506" i="2"/>
  <c r="M506" i="2"/>
  <c r="J506" i="2"/>
  <c r="K506" i="2" s="1"/>
  <c r="L506" i="2" s="1"/>
  <c r="I506" i="2"/>
  <c r="H506" i="2"/>
  <c r="U505" i="2"/>
  <c r="T505" i="2"/>
  <c r="Q505" i="2"/>
  <c r="P505" i="2"/>
  <c r="O505" i="2"/>
  <c r="N505" i="2"/>
  <c r="M505" i="2"/>
  <c r="J505" i="2"/>
  <c r="K505" i="2" s="1"/>
  <c r="L505" i="2" s="1"/>
  <c r="I505" i="2"/>
  <c r="H505" i="2"/>
  <c r="U504" i="2"/>
  <c r="T504" i="2"/>
  <c r="Q504" i="2"/>
  <c r="P504" i="2"/>
  <c r="O504" i="2"/>
  <c r="R504" i="2" s="1"/>
  <c r="N504" i="2"/>
  <c r="M504" i="2"/>
  <c r="J504" i="2"/>
  <c r="K504" i="2" s="1"/>
  <c r="L504" i="2" s="1"/>
  <c r="I504" i="2"/>
  <c r="H504" i="2"/>
  <c r="U503" i="2"/>
  <c r="T503" i="2"/>
  <c r="Q503" i="2"/>
  <c r="P503" i="2"/>
  <c r="O503" i="2"/>
  <c r="N503" i="2"/>
  <c r="M503" i="2"/>
  <c r="J503" i="2"/>
  <c r="K503" i="2" s="1"/>
  <c r="L503" i="2" s="1"/>
  <c r="I503" i="2"/>
  <c r="H503" i="2"/>
  <c r="U502" i="2"/>
  <c r="T502" i="2"/>
  <c r="Q502" i="2"/>
  <c r="P502" i="2"/>
  <c r="O502" i="2"/>
  <c r="R502" i="2" s="1"/>
  <c r="N502" i="2"/>
  <c r="M502" i="2"/>
  <c r="J502" i="2"/>
  <c r="K502" i="2" s="1"/>
  <c r="L502" i="2" s="1"/>
  <c r="I502" i="2"/>
  <c r="H502" i="2"/>
  <c r="U501" i="2"/>
  <c r="T501" i="2"/>
  <c r="Q501" i="2"/>
  <c r="P501" i="2"/>
  <c r="O501" i="2"/>
  <c r="N501" i="2"/>
  <c r="M501" i="2"/>
  <c r="J501" i="2"/>
  <c r="K501" i="2" s="1"/>
  <c r="L501" i="2" s="1"/>
  <c r="I501" i="2"/>
  <c r="H501" i="2"/>
  <c r="U500" i="2"/>
  <c r="T500" i="2"/>
  <c r="Q500" i="2"/>
  <c r="P500" i="2"/>
  <c r="O500" i="2"/>
  <c r="N500" i="2"/>
  <c r="M500" i="2"/>
  <c r="J500" i="2"/>
  <c r="K500" i="2" s="1"/>
  <c r="L500" i="2" s="1"/>
  <c r="I500" i="2"/>
  <c r="H500" i="2"/>
  <c r="U499" i="2"/>
  <c r="T499" i="2"/>
  <c r="Q499" i="2"/>
  <c r="P499" i="2"/>
  <c r="O499" i="2"/>
  <c r="R499" i="2" s="1"/>
  <c r="N499" i="2"/>
  <c r="M499" i="2"/>
  <c r="J499" i="2"/>
  <c r="K499" i="2" s="1"/>
  <c r="L499" i="2" s="1"/>
  <c r="I499" i="2"/>
  <c r="H499" i="2"/>
  <c r="U498" i="2"/>
  <c r="T498" i="2"/>
  <c r="Q498" i="2"/>
  <c r="P498" i="2"/>
  <c r="O498" i="2"/>
  <c r="R498" i="2" s="1"/>
  <c r="N498" i="2"/>
  <c r="M498" i="2"/>
  <c r="J498" i="2"/>
  <c r="K498" i="2" s="1"/>
  <c r="L498" i="2" s="1"/>
  <c r="I498" i="2"/>
  <c r="H498" i="2"/>
  <c r="U497" i="2"/>
  <c r="T497" i="2"/>
  <c r="Q497" i="2"/>
  <c r="P497" i="2"/>
  <c r="O497" i="2"/>
  <c r="R497" i="2" s="1"/>
  <c r="N497" i="2"/>
  <c r="M497" i="2"/>
  <c r="J497" i="2"/>
  <c r="K497" i="2" s="1"/>
  <c r="L497" i="2" s="1"/>
  <c r="I497" i="2"/>
  <c r="H497" i="2"/>
  <c r="U496" i="2"/>
  <c r="T496" i="2"/>
  <c r="Q496" i="2"/>
  <c r="P496" i="2"/>
  <c r="O496" i="2"/>
  <c r="N496" i="2"/>
  <c r="M496" i="2"/>
  <c r="J496" i="2"/>
  <c r="K496" i="2" s="1"/>
  <c r="L496" i="2" s="1"/>
  <c r="I496" i="2"/>
  <c r="H496" i="2"/>
  <c r="U495" i="2"/>
  <c r="T495" i="2"/>
  <c r="Q495" i="2"/>
  <c r="P495" i="2"/>
  <c r="O495" i="2"/>
  <c r="R495" i="2" s="1"/>
  <c r="N495" i="2"/>
  <c r="M495" i="2"/>
  <c r="J495" i="2"/>
  <c r="K495" i="2" s="1"/>
  <c r="L495" i="2" s="1"/>
  <c r="I495" i="2"/>
  <c r="H495" i="2"/>
  <c r="U494" i="2"/>
  <c r="T494" i="2"/>
  <c r="Q494" i="2"/>
  <c r="P494" i="2"/>
  <c r="O494" i="2"/>
  <c r="N494" i="2"/>
  <c r="M494" i="2"/>
  <c r="J494" i="2"/>
  <c r="K494" i="2" s="1"/>
  <c r="L494" i="2" s="1"/>
  <c r="I494" i="2"/>
  <c r="H494" i="2"/>
  <c r="U493" i="2"/>
  <c r="T493" i="2"/>
  <c r="Q493" i="2"/>
  <c r="P493" i="2"/>
  <c r="O493" i="2"/>
  <c r="R493" i="2" s="1"/>
  <c r="N493" i="2"/>
  <c r="M493" i="2"/>
  <c r="J493" i="2"/>
  <c r="K493" i="2" s="1"/>
  <c r="L493" i="2" s="1"/>
  <c r="I493" i="2"/>
  <c r="H493" i="2"/>
  <c r="U492" i="2"/>
  <c r="T492" i="2"/>
  <c r="Q492" i="2"/>
  <c r="P492" i="2"/>
  <c r="O492" i="2"/>
  <c r="R492" i="2" s="1"/>
  <c r="N492" i="2"/>
  <c r="M492" i="2"/>
  <c r="J492" i="2"/>
  <c r="K492" i="2" s="1"/>
  <c r="L492" i="2" s="1"/>
  <c r="I492" i="2"/>
  <c r="H492" i="2"/>
  <c r="U491" i="2"/>
  <c r="T491" i="2"/>
  <c r="Q491" i="2"/>
  <c r="P491" i="2"/>
  <c r="O491" i="2"/>
  <c r="N491" i="2"/>
  <c r="M491" i="2"/>
  <c r="J491" i="2"/>
  <c r="K491" i="2" s="1"/>
  <c r="L491" i="2" s="1"/>
  <c r="I491" i="2"/>
  <c r="H491" i="2"/>
  <c r="U490" i="2"/>
  <c r="T490" i="2"/>
  <c r="Q490" i="2"/>
  <c r="P490" i="2"/>
  <c r="O490" i="2"/>
  <c r="R490" i="2" s="1"/>
  <c r="N490" i="2"/>
  <c r="M490" i="2"/>
  <c r="J490" i="2"/>
  <c r="K490" i="2" s="1"/>
  <c r="L490" i="2" s="1"/>
  <c r="I490" i="2"/>
  <c r="H490" i="2"/>
  <c r="U489" i="2"/>
  <c r="T489" i="2"/>
  <c r="Q489" i="2"/>
  <c r="P489" i="2"/>
  <c r="O489" i="2"/>
  <c r="R489" i="2" s="1"/>
  <c r="N489" i="2"/>
  <c r="M489" i="2"/>
  <c r="J489" i="2"/>
  <c r="K489" i="2" s="1"/>
  <c r="L489" i="2" s="1"/>
  <c r="I489" i="2"/>
  <c r="H489" i="2"/>
  <c r="U488" i="2"/>
  <c r="T488" i="2"/>
  <c r="Q488" i="2"/>
  <c r="P488" i="2"/>
  <c r="O488" i="2"/>
  <c r="R488" i="2" s="1"/>
  <c r="N488" i="2"/>
  <c r="M488" i="2"/>
  <c r="J488" i="2"/>
  <c r="K488" i="2" s="1"/>
  <c r="L488" i="2" s="1"/>
  <c r="I488" i="2"/>
  <c r="H488" i="2"/>
  <c r="U487" i="2"/>
  <c r="T487" i="2"/>
  <c r="Q487" i="2"/>
  <c r="P487" i="2"/>
  <c r="O487" i="2"/>
  <c r="N487" i="2"/>
  <c r="M487" i="2"/>
  <c r="J487" i="2"/>
  <c r="K487" i="2" s="1"/>
  <c r="L487" i="2" s="1"/>
  <c r="I487" i="2"/>
  <c r="H487" i="2"/>
  <c r="U486" i="2"/>
  <c r="T486" i="2"/>
  <c r="Q486" i="2"/>
  <c r="P486" i="2"/>
  <c r="O486" i="2"/>
  <c r="R486" i="2" s="1"/>
  <c r="N486" i="2"/>
  <c r="M486" i="2"/>
  <c r="J486" i="2"/>
  <c r="K486" i="2" s="1"/>
  <c r="L486" i="2" s="1"/>
  <c r="I486" i="2"/>
  <c r="H486" i="2"/>
  <c r="U485" i="2"/>
  <c r="T485" i="2"/>
  <c r="Q485" i="2"/>
  <c r="P485" i="2"/>
  <c r="O485" i="2"/>
  <c r="R485" i="2" s="1"/>
  <c r="N485" i="2"/>
  <c r="M485" i="2"/>
  <c r="J485" i="2"/>
  <c r="K485" i="2" s="1"/>
  <c r="L485" i="2" s="1"/>
  <c r="I485" i="2"/>
  <c r="H485" i="2"/>
  <c r="U484" i="2"/>
  <c r="T484" i="2"/>
  <c r="Q484" i="2"/>
  <c r="P484" i="2"/>
  <c r="O484" i="2"/>
  <c r="N484" i="2"/>
  <c r="M484" i="2"/>
  <c r="J484" i="2"/>
  <c r="K484" i="2" s="1"/>
  <c r="L484" i="2" s="1"/>
  <c r="I484" i="2"/>
  <c r="H484" i="2"/>
  <c r="U483" i="2"/>
  <c r="T483" i="2"/>
  <c r="Q483" i="2"/>
  <c r="P483" i="2"/>
  <c r="O483" i="2"/>
  <c r="R483" i="2" s="1"/>
  <c r="N483" i="2"/>
  <c r="M483" i="2"/>
  <c r="J483" i="2"/>
  <c r="K483" i="2" s="1"/>
  <c r="L483" i="2" s="1"/>
  <c r="I483" i="2"/>
  <c r="H483" i="2"/>
  <c r="U482" i="2"/>
  <c r="T482" i="2"/>
  <c r="Q482" i="2"/>
  <c r="P482" i="2"/>
  <c r="O482" i="2"/>
  <c r="R482" i="2" s="1"/>
  <c r="N482" i="2"/>
  <c r="M482" i="2"/>
  <c r="J482" i="2"/>
  <c r="K482" i="2" s="1"/>
  <c r="L482" i="2" s="1"/>
  <c r="I482" i="2"/>
  <c r="H482" i="2"/>
  <c r="U481" i="2"/>
  <c r="T481" i="2"/>
  <c r="Q481" i="2"/>
  <c r="P481" i="2"/>
  <c r="O481" i="2"/>
  <c r="R481" i="2" s="1"/>
  <c r="N481" i="2"/>
  <c r="M481" i="2"/>
  <c r="J481" i="2"/>
  <c r="K481" i="2" s="1"/>
  <c r="L481" i="2" s="1"/>
  <c r="I481" i="2"/>
  <c r="H481" i="2"/>
  <c r="U480" i="2"/>
  <c r="T480" i="2"/>
  <c r="Q480" i="2"/>
  <c r="P480" i="2"/>
  <c r="O480" i="2"/>
  <c r="R480" i="2" s="1"/>
  <c r="N480" i="2"/>
  <c r="M480" i="2"/>
  <c r="J480" i="2"/>
  <c r="K480" i="2" s="1"/>
  <c r="L480" i="2" s="1"/>
  <c r="I480" i="2"/>
  <c r="H480" i="2"/>
  <c r="U479" i="2"/>
  <c r="T479" i="2"/>
  <c r="Q479" i="2"/>
  <c r="P479" i="2"/>
  <c r="O479" i="2"/>
  <c r="R479" i="2" s="1"/>
  <c r="N479" i="2"/>
  <c r="M479" i="2"/>
  <c r="J479" i="2"/>
  <c r="K479" i="2" s="1"/>
  <c r="L479" i="2" s="1"/>
  <c r="I479" i="2"/>
  <c r="H479" i="2"/>
  <c r="U478" i="2"/>
  <c r="T478" i="2"/>
  <c r="Q478" i="2"/>
  <c r="P478" i="2"/>
  <c r="O478" i="2"/>
  <c r="N478" i="2"/>
  <c r="M478" i="2"/>
  <c r="J478" i="2"/>
  <c r="K478" i="2" s="1"/>
  <c r="L478" i="2" s="1"/>
  <c r="I478" i="2"/>
  <c r="H478" i="2"/>
  <c r="U477" i="2"/>
  <c r="T477" i="2"/>
  <c r="Q477" i="2"/>
  <c r="P477" i="2"/>
  <c r="O477" i="2"/>
  <c r="N477" i="2"/>
  <c r="M477" i="2"/>
  <c r="J477" i="2"/>
  <c r="K477" i="2" s="1"/>
  <c r="L477" i="2" s="1"/>
  <c r="I477" i="2"/>
  <c r="H477" i="2"/>
  <c r="U476" i="2"/>
  <c r="T476" i="2"/>
  <c r="Q476" i="2"/>
  <c r="P476" i="2"/>
  <c r="O476" i="2"/>
  <c r="R476" i="2" s="1"/>
  <c r="N476" i="2"/>
  <c r="M476" i="2"/>
  <c r="J476" i="2"/>
  <c r="K476" i="2" s="1"/>
  <c r="L476" i="2" s="1"/>
  <c r="I476" i="2"/>
  <c r="H476" i="2"/>
  <c r="U475" i="2"/>
  <c r="T475" i="2"/>
  <c r="Q475" i="2"/>
  <c r="P475" i="2"/>
  <c r="O475" i="2"/>
  <c r="N475" i="2"/>
  <c r="M475" i="2"/>
  <c r="J475" i="2"/>
  <c r="K475" i="2" s="1"/>
  <c r="L475" i="2" s="1"/>
  <c r="I475" i="2"/>
  <c r="H475" i="2"/>
  <c r="U474" i="2"/>
  <c r="T474" i="2"/>
  <c r="Q474" i="2"/>
  <c r="P474" i="2"/>
  <c r="O474" i="2"/>
  <c r="R474" i="2" s="1"/>
  <c r="N474" i="2"/>
  <c r="M474" i="2"/>
  <c r="J474" i="2"/>
  <c r="K474" i="2" s="1"/>
  <c r="L474" i="2" s="1"/>
  <c r="I474" i="2"/>
  <c r="H474" i="2"/>
  <c r="U473" i="2"/>
  <c r="T473" i="2"/>
  <c r="Q473" i="2"/>
  <c r="P473" i="2"/>
  <c r="O473" i="2"/>
  <c r="R473" i="2" s="1"/>
  <c r="N473" i="2"/>
  <c r="M473" i="2"/>
  <c r="J473" i="2"/>
  <c r="K473" i="2" s="1"/>
  <c r="L473" i="2" s="1"/>
  <c r="I473" i="2"/>
  <c r="H473" i="2"/>
  <c r="U472" i="2"/>
  <c r="T472" i="2"/>
  <c r="Q472" i="2"/>
  <c r="P472" i="2"/>
  <c r="O472" i="2"/>
  <c r="N472" i="2"/>
  <c r="M472" i="2"/>
  <c r="J472" i="2"/>
  <c r="K472" i="2" s="1"/>
  <c r="L472" i="2" s="1"/>
  <c r="I472" i="2"/>
  <c r="H472" i="2"/>
  <c r="U471" i="2"/>
  <c r="T471" i="2"/>
  <c r="Q471" i="2"/>
  <c r="P471" i="2"/>
  <c r="O471" i="2"/>
  <c r="R471" i="2" s="1"/>
  <c r="N471" i="2"/>
  <c r="M471" i="2"/>
  <c r="J471" i="2"/>
  <c r="K471" i="2" s="1"/>
  <c r="L471" i="2" s="1"/>
  <c r="I471" i="2"/>
  <c r="H471" i="2"/>
  <c r="U470" i="2"/>
  <c r="T470" i="2"/>
  <c r="Q470" i="2"/>
  <c r="P470" i="2"/>
  <c r="O470" i="2"/>
  <c r="N470" i="2"/>
  <c r="M470" i="2"/>
  <c r="J470" i="2"/>
  <c r="K470" i="2" s="1"/>
  <c r="L470" i="2" s="1"/>
  <c r="I470" i="2"/>
  <c r="H470" i="2"/>
  <c r="U469" i="2"/>
  <c r="T469" i="2"/>
  <c r="Q469" i="2"/>
  <c r="P469" i="2"/>
  <c r="O469" i="2"/>
  <c r="N469" i="2"/>
  <c r="M469" i="2"/>
  <c r="J469" i="2"/>
  <c r="K469" i="2" s="1"/>
  <c r="L469" i="2" s="1"/>
  <c r="I469" i="2"/>
  <c r="H469" i="2"/>
  <c r="U468" i="2"/>
  <c r="T468" i="2"/>
  <c r="Q468" i="2"/>
  <c r="P468" i="2"/>
  <c r="O468" i="2"/>
  <c r="R468" i="2" s="1"/>
  <c r="N468" i="2"/>
  <c r="M468" i="2"/>
  <c r="J468" i="2"/>
  <c r="K468" i="2" s="1"/>
  <c r="L468" i="2" s="1"/>
  <c r="I468" i="2"/>
  <c r="H468" i="2"/>
  <c r="U467" i="2"/>
  <c r="T467" i="2"/>
  <c r="Q467" i="2"/>
  <c r="P467" i="2"/>
  <c r="O467" i="2"/>
  <c r="N467" i="2"/>
  <c r="M467" i="2"/>
  <c r="J467" i="2"/>
  <c r="K467" i="2" s="1"/>
  <c r="L467" i="2" s="1"/>
  <c r="I467" i="2"/>
  <c r="H467" i="2"/>
  <c r="U466" i="2"/>
  <c r="T466" i="2"/>
  <c r="Q466" i="2"/>
  <c r="P466" i="2"/>
  <c r="O466" i="2"/>
  <c r="N466" i="2"/>
  <c r="M466" i="2"/>
  <c r="J466" i="2"/>
  <c r="K466" i="2" s="1"/>
  <c r="L466" i="2" s="1"/>
  <c r="I466" i="2"/>
  <c r="H466" i="2"/>
  <c r="U465" i="2"/>
  <c r="T465" i="2"/>
  <c r="Q465" i="2"/>
  <c r="P465" i="2"/>
  <c r="O465" i="2"/>
  <c r="N465" i="2"/>
  <c r="M465" i="2"/>
  <c r="J465" i="2"/>
  <c r="K465" i="2" s="1"/>
  <c r="L465" i="2" s="1"/>
  <c r="I465" i="2"/>
  <c r="H465" i="2"/>
  <c r="U464" i="2"/>
  <c r="T464" i="2"/>
  <c r="Q464" i="2"/>
  <c r="P464" i="2"/>
  <c r="O464" i="2"/>
  <c r="N464" i="2"/>
  <c r="M464" i="2"/>
  <c r="J464" i="2"/>
  <c r="K464" i="2" s="1"/>
  <c r="L464" i="2" s="1"/>
  <c r="I464" i="2"/>
  <c r="H464" i="2"/>
  <c r="U463" i="2"/>
  <c r="T463" i="2"/>
  <c r="Q463" i="2"/>
  <c r="P463" i="2"/>
  <c r="O463" i="2"/>
  <c r="N463" i="2"/>
  <c r="M463" i="2"/>
  <c r="J463" i="2"/>
  <c r="K463" i="2" s="1"/>
  <c r="L463" i="2" s="1"/>
  <c r="I463" i="2"/>
  <c r="H463" i="2"/>
  <c r="U462" i="2"/>
  <c r="T462" i="2"/>
  <c r="Q462" i="2"/>
  <c r="P462" i="2"/>
  <c r="O462" i="2"/>
  <c r="R462" i="2" s="1"/>
  <c r="N462" i="2"/>
  <c r="M462" i="2"/>
  <c r="J462" i="2"/>
  <c r="K462" i="2" s="1"/>
  <c r="L462" i="2" s="1"/>
  <c r="I462" i="2"/>
  <c r="H462" i="2"/>
  <c r="U461" i="2"/>
  <c r="T461" i="2"/>
  <c r="Q461" i="2"/>
  <c r="P461" i="2"/>
  <c r="O461" i="2"/>
  <c r="R461" i="2" s="1"/>
  <c r="N461" i="2"/>
  <c r="M461" i="2"/>
  <c r="J461" i="2"/>
  <c r="K461" i="2" s="1"/>
  <c r="L461" i="2" s="1"/>
  <c r="I461" i="2"/>
  <c r="H461" i="2"/>
  <c r="U460" i="2"/>
  <c r="T460" i="2"/>
  <c r="Q460" i="2"/>
  <c r="P460" i="2"/>
  <c r="O460" i="2"/>
  <c r="N460" i="2"/>
  <c r="M460" i="2"/>
  <c r="J460" i="2"/>
  <c r="K460" i="2" s="1"/>
  <c r="L460" i="2" s="1"/>
  <c r="I460" i="2"/>
  <c r="H460" i="2"/>
  <c r="U459" i="2"/>
  <c r="T459" i="2"/>
  <c r="Q459" i="2"/>
  <c r="P459" i="2"/>
  <c r="O459" i="2"/>
  <c r="R459" i="2" s="1"/>
  <c r="N459" i="2"/>
  <c r="M459" i="2"/>
  <c r="J459" i="2"/>
  <c r="K459" i="2" s="1"/>
  <c r="L459" i="2" s="1"/>
  <c r="I459" i="2"/>
  <c r="H459" i="2"/>
  <c r="U458" i="2"/>
  <c r="T458" i="2"/>
  <c r="Q458" i="2"/>
  <c r="P458" i="2"/>
  <c r="O458" i="2"/>
  <c r="N458" i="2"/>
  <c r="M458" i="2"/>
  <c r="J458" i="2"/>
  <c r="K458" i="2" s="1"/>
  <c r="L458" i="2" s="1"/>
  <c r="I458" i="2"/>
  <c r="H458" i="2"/>
  <c r="U457" i="2"/>
  <c r="T457" i="2"/>
  <c r="Q457" i="2"/>
  <c r="P457" i="2"/>
  <c r="O457" i="2"/>
  <c r="N457" i="2"/>
  <c r="M457" i="2"/>
  <c r="J457" i="2"/>
  <c r="K457" i="2" s="1"/>
  <c r="L457" i="2" s="1"/>
  <c r="I457" i="2"/>
  <c r="H457" i="2"/>
  <c r="U456" i="2"/>
  <c r="T456" i="2"/>
  <c r="Q456" i="2"/>
  <c r="P456" i="2"/>
  <c r="O456" i="2"/>
  <c r="R456" i="2" s="1"/>
  <c r="N456" i="2"/>
  <c r="M456" i="2"/>
  <c r="J456" i="2"/>
  <c r="K456" i="2" s="1"/>
  <c r="L456" i="2" s="1"/>
  <c r="I456" i="2"/>
  <c r="H456" i="2"/>
  <c r="U455" i="2"/>
  <c r="T455" i="2"/>
  <c r="Q455" i="2"/>
  <c r="P455" i="2"/>
  <c r="O455" i="2"/>
  <c r="N455" i="2"/>
  <c r="M455" i="2"/>
  <c r="J455" i="2"/>
  <c r="K455" i="2" s="1"/>
  <c r="L455" i="2" s="1"/>
  <c r="I455" i="2"/>
  <c r="H455" i="2"/>
  <c r="U454" i="2"/>
  <c r="T454" i="2"/>
  <c r="Q454" i="2"/>
  <c r="P454" i="2"/>
  <c r="O454" i="2"/>
  <c r="R454" i="2" s="1"/>
  <c r="N454" i="2"/>
  <c r="M454" i="2"/>
  <c r="J454" i="2"/>
  <c r="K454" i="2" s="1"/>
  <c r="L454" i="2" s="1"/>
  <c r="I454" i="2"/>
  <c r="H454" i="2"/>
  <c r="U453" i="2"/>
  <c r="T453" i="2"/>
  <c r="Q453" i="2"/>
  <c r="P453" i="2"/>
  <c r="O453" i="2"/>
  <c r="N453" i="2"/>
  <c r="M453" i="2"/>
  <c r="J453" i="2"/>
  <c r="K453" i="2" s="1"/>
  <c r="L453" i="2" s="1"/>
  <c r="I453" i="2"/>
  <c r="H453" i="2"/>
  <c r="U452" i="2"/>
  <c r="T452" i="2"/>
  <c r="Q452" i="2"/>
  <c r="P452" i="2"/>
  <c r="O452" i="2"/>
  <c r="R452" i="2" s="1"/>
  <c r="N452" i="2"/>
  <c r="M452" i="2"/>
  <c r="J452" i="2"/>
  <c r="K452" i="2" s="1"/>
  <c r="L452" i="2" s="1"/>
  <c r="I452" i="2"/>
  <c r="H452" i="2"/>
  <c r="U451" i="2"/>
  <c r="T451" i="2"/>
  <c r="Q451" i="2"/>
  <c r="P451" i="2"/>
  <c r="O451" i="2"/>
  <c r="N451" i="2"/>
  <c r="M451" i="2"/>
  <c r="J451" i="2"/>
  <c r="K451" i="2" s="1"/>
  <c r="L451" i="2" s="1"/>
  <c r="I451" i="2"/>
  <c r="H451" i="2"/>
  <c r="U450" i="2"/>
  <c r="T450" i="2"/>
  <c r="Q450" i="2"/>
  <c r="P450" i="2"/>
  <c r="O450" i="2"/>
  <c r="N450" i="2"/>
  <c r="M450" i="2"/>
  <c r="J450" i="2"/>
  <c r="K450" i="2" s="1"/>
  <c r="L450" i="2" s="1"/>
  <c r="I450" i="2"/>
  <c r="H450" i="2"/>
  <c r="U449" i="2"/>
  <c r="T449" i="2"/>
  <c r="Q449" i="2"/>
  <c r="P449" i="2"/>
  <c r="O449" i="2"/>
  <c r="N449" i="2"/>
  <c r="M449" i="2"/>
  <c r="J449" i="2"/>
  <c r="K449" i="2" s="1"/>
  <c r="L449" i="2" s="1"/>
  <c r="I449" i="2"/>
  <c r="H449" i="2"/>
  <c r="U448" i="2"/>
  <c r="T448" i="2"/>
  <c r="Q448" i="2"/>
  <c r="P448" i="2"/>
  <c r="O448" i="2"/>
  <c r="N448" i="2"/>
  <c r="M448" i="2"/>
  <c r="J448" i="2"/>
  <c r="K448" i="2" s="1"/>
  <c r="L448" i="2" s="1"/>
  <c r="I448" i="2"/>
  <c r="H448" i="2"/>
  <c r="U447" i="2"/>
  <c r="T447" i="2"/>
  <c r="Q447" i="2"/>
  <c r="P447" i="2"/>
  <c r="O447" i="2"/>
  <c r="R447" i="2" s="1"/>
  <c r="N447" i="2"/>
  <c r="M447" i="2"/>
  <c r="J447" i="2"/>
  <c r="K447" i="2" s="1"/>
  <c r="L447" i="2" s="1"/>
  <c r="I447" i="2"/>
  <c r="H447" i="2"/>
  <c r="U446" i="2"/>
  <c r="T446" i="2"/>
  <c r="Q446" i="2"/>
  <c r="P446" i="2"/>
  <c r="O446" i="2"/>
  <c r="N446" i="2"/>
  <c r="M446" i="2"/>
  <c r="J446" i="2"/>
  <c r="K446" i="2" s="1"/>
  <c r="L446" i="2" s="1"/>
  <c r="I446" i="2"/>
  <c r="H446" i="2"/>
  <c r="U445" i="2"/>
  <c r="T445" i="2"/>
  <c r="Q445" i="2"/>
  <c r="P445" i="2"/>
  <c r="O445" i="2"/>
  <c r="R445" i="2" s="1"/>
  <c r="N445" i="2"/>
  <c r="M445" i="2"/>
  <c r="J445" i="2"/>
  <c r="K445" i="2" s="1"/>
  <c r="L445" i="2" s="1"/>
  <c r="I445" i="2"/>
  <c r="H445" i="2"/>
  <c r="U444" i="2"/>
  <c r="T444" i="2"/>
  <c r="Q444" i="2"/>
  <c r="P444" i="2"/>
  <c r="O444" i="2"/>
  <c r="N444" i="2"/>
  <c r="M444" i="2"/>
  <c r="J444" i="2"/>
  <c r="K444" i="2" s="1"/>
  <c r="L444" i="2" s="1"/>
  <c r="I444" i="2"/>
  <c r="H444" i="2"/>
  <c r="U443" i="2"/>
  <c r="T443" i="2"/>
  <c r="Q443" i="2"/>
  <c r="P443" i="2"/>
  <c r="O443" i="2"/>
  <c r="N443" i="2"/>
  <c r="M443" i="2"/>
  <c r="J443" i="2"/>
  <c r="K443" i="2" s="1"/>
  <c r="L443" i="2" s="1"/>
  <c r="I443" i="2"/>
  <c r="H443" i="2"/>
  <c r="U442" i="2"/>
  <c r="T442" i="2"/>
  <c r="Q442" i="2"/>
  <c r="P442" i="2"/>
  <c r="O442" i="2"/>
  <c r="R442" i="2" s="1"/>
  <c r="N442" i="2"/>
  <c r="M442" i="2"/>
  <c r="J442" i="2"/>
  <c r="K442" i="2" s="1"/>
  <c r="L442" i="2" s="1"/>
  <c r="I442" i="2"/>
  <c r="H442" i="2"/>
  <c r="U441" i="2"/>
  <c r="T441" i="2"/>
  <c r="Q441" i="2"/>
  <c r="P441" i="2"/>
  <c r="O441" i="2"/>
  <c r="R441" i="2" s="1"/>
  <c r="N441" i="2"/>
  <c r="M441" i="2"/>
  <c r="J441" i="2"/>
  <c r="K441" i="2" s="1"/>
  <c r="L441" i="2" s="1"/>
  <c r="I441" i="2"/>
  <c r="H441" i="2"/>
  <c r="U440" i="2"/>
  <c r="T440" i="2"/>
  <c r="Q440" i="2"/>
  <c r="P440" i="2"/>
  <c r="O440" i="2"/>
  <c r="R440" i="2" s="1"/>
  <c r="N440" i="2"/>
  <c r="M440" i="2"/>
  <c r="J440" i="2"/>
  <c r="K440" i="2" s="1"/>
  <c r="L440" i="2" s="1"/>
  <c r="I440" i="2"/>
  <c r="H440" i="2"/>
  <c r="U439" i="2"/>
  <c r="T439" i="2"/>
  <c r="Q439" i="2"/>
  <c r="P439" i="2"/>
  <c r="O439" i="2"/>
  <c r="N439" i="2"/>
  <c r="M439" i="2"/>
  <c r="J439" i="2"/>
  <c r="K439" i="2" s="1"/>
  <c r="L439" i="2" s="1"/>
  <c r="I439" i="2"/>
  <c r="H439" i="2"/>
  <c r="U438" i="2"/>
  <c r="T438" i="2"/>
  <c r="Q438" i="2"/>
  <c r="P438" i="2"/>
  <c r="O438" i="2"/>
  <c r="R438" i="2" s="1"/>
  <c r="N438" i="2"/>
  <c r="M438" i="2"/>
  <c r="J438" i="2"/>
  <c r="K438" i="2" s="1"/>
  <c r="L438" i="2" s="1"/>
  <c r="I438" i="2"/>
  <c r="H438" i="2"/>
  <c r="U437" i="2"/>
  <c r="T437" i="2"/>
  <c r="Q437" i="2"/>
  <c r="P437" i="2"/>
  <c r="O437" i="2"/>
  <c r="N437" i="2"/>
  <c r="M437" i="2"/>
  <c r="J437" i="2"/>
  <c r="K437" i="2" s="1"/>
  <c r="L437" i="2" s="1"/>
  <c r="I437" i="2"/>
  <c r="H437" i="2"/>
  <c r="U436" i="2"/>
  <c r="T436" i="2"/>
  <c r="Q436" i="2"/>
  <c r="P436" i="2"/>
  <c r="O436" i="2"/>
  <c r="R436" i="2" s="1"/>
  <c r="N436" i="2"/>
  <c r="M436" i="2"/>
  <c r="J436" i="2"/>
  <c r="K436" i="2" s="1"/>
  <c r="L436" i="2" s="1"/>
  <c r="I436" i="2"/>
  <c r="H436" i="2"/>
  <c r="U435" i="2"/>
  <c r="T435" i="2"/>
  <c r="Q435" i="2"/>
  <c r="P435" i="2"/>
  <c r="O435" i="2"/>
  <c r="N435" i="2"/>
  <c r="M435" i="2"/>
  <c r="J435" i="2"/>
  <c r="K435" i="2" s="1"/>
  <c r="L435" i="2" s="1"/>
  <c r="I435" i="2"/>
  <c r="H435" i="2"/>
  <c r="U434" i="2"/>
  <c r="T434" i="2"/>
  <c r="Q434" i="2"/>
  <c r="P434" i="2"/>
  <c r="O434" i="2"/>
  <c r="N434" i="2"/>
  <c r="M434" i="2"/>
  <c r="J434" i="2"/>
  <c r="K434" i="2" s="1"/>
  <c r="L434" i="2" s="1"/>
  <c r="I434" i="2"/>
  <c r="H434" i="2"/>
  <c r="U433" i="2"/>
  <c r="T433" i="2"/>
  <c r="Q433" i="2"/>
  <c r="P433" i="2"/>
  <c r="O433" i="2"/>
  <c r="N433" i="2"/>
  <c r="M433" i="2"/>
  <c r="J433" i="2"/>
  <c r="K433" i="2" s="1"/>
  <c r="L433" i="2" s="1"/>
  <c r="I433" i="2"/>
  <c r="H433" i="2"/>
  <c r="U432" i="2"/>
  <c r="T432" i="2"/>
  <c r="Q432" i="2"/>
  <c r="P432" i="2"/>
  <c r="O432" i="2"/>
  <c r="N432" i="2"/>
  <c r="M432" i="2"/>
  <c r="J432" i="2"/>
  <c r="K432" i="2" s="1"/>
  <c r="L432" i="2" s="1"/>
  <c r="I432" i="2"/>
  <c r="H432" i="2"/>
  <c r="U431" i="2"/>
  <c r="T431" i="2"/>
  <c r="Q431" i="2"/>
  <c r="P431" i="2"/>
  <c r="O431" i="2"/>
  <c r="R431" i="2" s="1"/>
  <c r="N431" i="2"/>
  <c r="M431" i="2"/>
  <c r="J431" i="2"/>
  <c r="K431" i="2" s="1"/>
  <c r="L431" i="2" s="1"/>
  <c r="I431" i="2"/>
  <c r="H431" i="2"/>
  <c r="U430" i="2"/>
  <c r="T430" i="2"/>
  <c r="Q430" i="2"/>
  <c r="P430" i="2"/>
  <c r="O430" i="2"/>
  <c r="N430" i="2"/>
  <c r="M430" i="2"/>
  <c r="J430" i="2"/>
  <c r="K430" i="2" s="1"/>
  <c r="L430" i="2" s="1"/>
  <c r="I430" i="2"/>
  <c r="H430" i="2"/>
  <c r="U429" i="2"/>
  <c r="T429" i="2"/>
  <c r="Q429" i="2"/>
  <c r="P429" i="2"/>
  <c r="O429" i="2"/>
  <c r="R429" i="2" s="1"/>
  <c r="N429" i="2"/>
  <c r="M429" i="2"/>
  <c r="J429" i="2"/>
  <c r="K429" i="2" s="1"/>
  <c r="L429" i="2" s="1"/>
  <c r="I429" i="2"/>
  <c r="H429" i="2"/>
  <c r="U428" i="2"/>
  <c r="T428" i="2"/>
  <c r="Q428" i="2"/>
  <c r="P428" i="2"/>
  <c r="O428" i="2"/>
  <c r="N428" i="2"/>
  <c r="M428" i="2"/>
  <c r="J428" i="2"/>
  <c r="K428" i="2" s="1"/>
  <c r="L428" i="2" s="1"/>
  <c r="I428" i="2"/>
  <c r="H428" i="2"/>
  <c r="U427" i="2"/>
  <c r="T427" i="2"/>
  <c r="Q427" i="2"/>
  <c r="P427" i="2"/>
  <c r="O427" i="2"/>
  <c r="N427" i="2"/>
  <c r="M427" i="2"/>
  <c r="J427" i="2"/>
  <c r="K427" i="2" s="1"/>
  <c r="L427" i="2" s="1"/>
  <c r="I427" i="2"/>
  <c r="H427" i="2"/>
  <c r="U426" i="2"/>
  <c r="T426" i="2"/>
  <c r="Q426" i="2"/>
  <c r="P426" i="2"/>
  <c r="O426" i="2"/>
  <c r="R426" i="2" s="1"/>
  <c r="N426" i="2"/>
  <c r="M426" i="2"/>
  <c r="J426" i="2"/>
  <c r="K426" i="2" s="1"/>
  <c r="L426" i="2" s="1"/>
  <c r="I426" i="2"/>
  <c r="H426" i="2"/>
  <c r="U425" i="2"/>
  <c r="T425" i="2"/>
  <c r="Q425" i="2"/>
  <c r="P425" i="2"/>
  <c r="O425" i="2"/>
  <c r="R425" i="2" s="1"/>
  <c r="N425" i="2"/>
  <c r="M425" i="2"/>
  <c r="J425" i="2"/>
  <c r="K425" i="2" s="1"/>
  <c r="L425" i="2" s="1"/>
  <c r="I425" i="2"/>
  <c r="H425" i="2"/>
  <c r="U424" i="2"/>
  <c r="T424" i="2"/>
  <c r="Q424" i="2"/>
  <c r="P424" i="2"/>
  <c r="O424" i="2"/>
  <c r="R424" i="2" s="1"/>
  <c r="N424" i="2"/>
  <c r="M424" i="2"/>
  <c r="J424" i="2"/>
  <c r="K424" i="2" s="1"/>
  <c r="L424" i="2" s="1"/>
  <c r="I424" i="2"/>
  <c r="H424" i="2"/>
  <c r="U423" i="2"/>
  <c r="T423" i="2"/>
  <c r="Q423" i="2"/>
  <c r="P423" i="2"/>
  <c r="O423" i="2"/>
  <c r="N423" i="2"/>
  <c r="M423" i="2"/>
  <c r="J423" i="2"/>
  <c r="K423" i="2" s="1"/>
  <c r="L423" i="2" s="1"/>
  <c r="I423" i="2"/>
  <c r="H423" i="2"/>
  <c r="U422" i="2"/>
  <c r="T422" i="2"/>
  <c r="Q422" i="2"/>
  <c r="P422" i="2"/>
  <c r="O422" i="2"/>
  <c r="R422" i="2" s="1"/>
  <c r="N422" i="2"/>
  <c r="M422" i="2"/>
  <c r="J422" i="2"/>
  <c r="K422" i="2" s="1"/>
  <c r="L422" i="2" s="1"/>
  <c r="I422" i="2"/>
  <c r="H422" i="2"/>
  <c r="U421" i="2"/>
  <c r="T421" i="2"/>
  <c r="Q421" i="2"/>
  <c r="P421" i="2"/>
  <c r="O421" i="2"/>
  <c r="N421" i="2"/>
  <c r="M421" i="2"/>
  <c r="J421" i="2"/>
  <c r="K421" i="2" s="1"/>
  <c r="L421" i="2" s="1"/>
  <c r="I421" i="2"/>
  <c r="H421" i="2"/>
  <c r="U420" i="2"/>
  <c r="T420" i="2"/>
  <c r="Q420" i="2"/>
  <c r="P420" i="2"/>
  <c r="O420" i="2"/>
  <c r="R420" i="2" s="1"/>
  <c r="N420" i="2"/>
  <c r="M420" i="2"/>
  <c r="J420" i="2"/>
  <c r="K420" i="2" s="1"/>
  <c r="L420" i="2" s="1"/>
  <c r="I420" i="2"/>
  <c r="H420" i="2"/>
  <c r="U419" i="2"/>
  <c r="T419" i="2"/>
  <c r="Q419" i="2"/>
  <c r="P419" i="2"/>
  <c r="O419" i="2"/>
  <c r="N419" i="2"/>
  <c r="M419" i="2"/>
  <c r="J419" i="2"/>
  <c r="K419" i="2" s="1"/>
  <c r="L419" i="2" s="1"/>
  <c r="I419" i="2"/>
  <c r="H419" i="2"/>
  <c r="U418" i="2"/>
  <c r="T418" i="2"/>
  <c r="Q418" i="2"/>
  <c r="P418" i="2"/>
  <c r="O418" i="2"/>
  <c r="N418" i="2"/>
  <c r="M418" i="2"/>
  <c r="J418" i="2"/>
  <c r="K418" i="2" s="1"/>
  <c r="L418" i="2" s="1"/>
  <c r="I418" i="2"/>
  <c r="H418" i="2"/>
  <c r="U417" i="2"/>
  <c r="T417" i="2"/>
  <c r="Q417" i="2"/>
  <c r="P417" i="2"/>
  <c r="O417" i="2"/>
  <c r="N417" i="2"/>
  <c r="M417" i="2"/>
  <c r="J417" i="2"/>
  <c r="K417" i="2" s="1"/>
  <c r="L417" i="2" s="1"/>
  <c r="I417" i="2"/>
  <c r="H417" i="2"/>
  <c r="U416" i="2"/>
  <c r="T416" i="2"/>
  <c r="Q416" i="2"/>
  <c r="P416" i="2"/>
  <c r="O416" i="2"/>
  <c r="N416" i="2"/>
  <c r="M416" i="2"/>
  <c r="J416" i="2"/>
  <c r="K416" i="2" s="1"/>
  <c r="L416" i="2" s="1"/>
  <c r="I416" i="2"/>
  <c r="H416" i="2"/>
  <c r="U415" i="2"/>
  <c r="T415" i="2"/>
  <c r="Q415" i="2"/>
  <c r="P415" i="2"/>
  <c r="O415" i="2"/>
  <c r="R415" i="2" s="1"/>
  <c r="N415" i="2"/>
  <c r="M415" i="2"/>
  <c r="J415" i="2"/>
  <c r="K415" i="2" s="1"/>
  <c r="L415" i="2" s="1"/>
  <c r="I415" i="2"/>
  <c r="H415" i="2"/>
  <c r="U414" i="2"/>
  <c r="T414" i="2"/>
  <c r="Q414" i="2"/>
  <c r="P414" i="2"/>
  <c r="O414" i="2"/>
  <c r="N414" i="2"/>
  <c r="M414" i="2"/>
  <c r="J414" i="2"/>
  <c r="K414" i="2" s="1"/>
  <c r="L414" i="2" s="1"/>
  <c r="I414" i="2"/>
  <c r="H414" i="2"/>
  <c r="U413" i="2"/>
  <c r="T413" i="2"/>
  <c r="Q413" i="2"/>
  <c r="P413" i="2"/>
  <c r="O413" i="2"/>
  <c r="R413" i="2" s="1"/>
  <c r="N413" i="2"/>
  <c r="M413" i="2"/>
  <c r="J413" i="2"/>
  <c r="K413" i="2" s="1"/>
  <c r="L413" i="2" s="1"/>
  <c r="I413" i="2"/>
  <c r="H413" i="2"/>
  <c r="U412" i="2"/>
  <c r="T412" i="2"/>
  <c r="Q412" i="2"/>
  <c r="P412" i="2"/>
  <c r="O412" i="2"/>
  <c r="N412" i="2"/>
  <c r="M412" i="2"/>
  <c r="J412" i="2"/>
  <c r="K412" i="2" s="1"/>
  <c r="L412" i="2" s="1"/>
  <c r="I412" i="2"/>
  <c r="H412" i="2"/>
  <c r="U411" i="2"/>
  <c r="T411" i="2"/>
  <c r="Q411" i="2"/>
  <c r="P411" i="2"/>
  <c r="O411" i="2"/>
  <c r="N411" i="2"/>
  <c r="M411" i="2"/>
  <c r="J411" i="2"/>
  <c r="K411" i="2" s="1"/>
  <c r="L411" i="2" s="1"/>
  <c r="I411" i="2"/>
  <c r="H411" i="2"/>
  <c r="U410" i="2"/>
  <c r="T410" i="2"/>
  <c r="Q410" i="2"/>
  <c r="P410" i="2"/>
  <c r="O410" i="2"/>
  <c r="R410" i="2" s="1"/>
  <c r="N410" i="2"/>
  <c r="M410" i="2"/>
  <c r="J410" i="2"/>
  <c r="K410" i="2" s="1"/>
  <c r="L410" i="2" s="1"/>
  <c r="I410" i="2"/>
  <c r="H410" i="2"/>
  <c r="U409" i="2"/>
  <c r="T409" i="2"/>
  <c r="Q409" i="2"/>
  <c r="P409" i="2"/>
  <c r="O409" i="2"/>
  <c r="R409" i="2" s="1"/>
  <c r="N409" i="2"/>
  <c r="M409" i="2"/>
  <c r="J409" i="2"/>
  <c r="K409" i="2" s="1"/>
  <c r="L409" i="2" s="1"/>
  <c r="I409" i="2"/>
  <c r="H409" i="2"/>
  <c r="U408" i="2"/>
  <c r="T408" i="2"/>
  <c r="Q408" i="2"/>
  <c r="P408" i="2"/>
  <c r="O408" i="2"/>
  <c r="R408" i="2" s="1"/>
  <c r="N408" i="2"/>
  <c r="M408" i="2"/>
  <c r="J408" i="2"/>
  <c r="K408" i="2" s="1"/>
  <c r="L408" i="2" s="1"/>
  <c r="I408" i="2"/>
  <c r="H408" i="2"/>
  <c r="U407" i="2"/>
  <c r="T407" i="2"/>
  <c r="Q407" i="2"/>
  <c r="P407" i="2"/>
  <c r="O407" i="2"/>
  <c r="N407" i="2"/>
  <c r="M407" i="2"/>
  <c r="J407" i="2"/>
  <c r="K407" i="2" s="1"/>
  <c r="L407" i="2" s="1"/>
  <c r="I407" i="2"/>
  <c r="H407" i="2"/>
  <c r="U406" i="2"/>
  <c r="T406" i="2"/>
  <c r="Q406" i="2"/>
  <c r="P406" i="2"/>
  <c r="O406" i="2"/>
  <c r="R406" i="2" s="1"/>
  <c r="N406" i="2"/>
  <c r="M406" i="2"/>
  <c r="J406" i="2"/>
  <c r="K406" i="2" s="1"/>
  <c r="L406" i="2" s="1"/>
  <c r="I406" i="2"/>
  <c r="H406" i="2"/>
  <c r="U405" i="2"/>
  <c r="T405" i="2"/>
  <c r="Q405" i="2"/>
  <c r="P405" i="2"/>
  <c r="O405" i="2"/>
  <c r="N405" i="2"/>
  <c r="M405" i="2"/>
  <c r="J405" i="2"/>
  <c r="K405" i="2" s="1"/>
  <c r="L405" i="2" s="1"/>
  <c r="I405" i="2"/>
  <c r="H405" i="2"/>
  <c r="U404" i="2"/>
  <c r="T404" i="2"/>
  <c r="Q404" i="2"/>
  <c r="P404" i="2"/>
  <c r="O404" i="2"/>
  <c r="R404" i="2" s="1"/>
  <c r="N404" i="2"/>
  <c r="M404" i="2"/>
  <c r="J404" i="2"/>
  <c r="K404" i="2" s="1"/>
  <c r="L404" i="2" s="1"/>
  <c r="I404" i="2"/>
  <c r="H404" i="2"/>
  <c r="U403" i="2"/>
  <c r="T403" i="2"/>
  <c r="Q403" i="2"/>
  <c r="P403" i="2"/>
  <c r="O403" i="2"/>
  <c r="N403" i="2"/>
  <c r="M403" i="2"/>
  <c r="J403" i="2"/>
  <c r="K403" i="2" s="1"/>
  <c r="L403" i="2" s="1"/>
  <c r="I403" i="2"/>
  <c r="H403" i="2"/>
  <c r="U402" i="2"/>
  <c r="T402" i="2"/>
  <c r="Q402" i="2"/>
  <c r="P402" i="2"/>
  <c r="O402" i="2"/>
  <c r="N402" i="2"/>
  <c r="M402" i="2"/>
  <c r="J402" i="2"/>
  <c r="K402" i="2" s="1"/>
  <c r="L402" i="2" s="1"/>
  <c r="I402" i="2"/>
  <c r="H402" i="2"/>
  <c r="U401" i="2"/>
  <c r="T401" i="2"/>
  <c r="Q401" i="2"/>
  <c r="P401" i="2"/>
  <c r="O401" i="2"/>
  <c r="N401" i="2"/>
  <c r="M401" i="2"/>
  <c r="J401" i="2"/>
  <c r="K401" i="2" s="1"/>
  <c r="L401" i="2" s="1"/>
  <c r="I401" i="2"/>
  <c r="H401" i="2"/>
  <c r="U400" i="2"/>
  <c r="T400" i="2"/>
  <c r="Q400" i="2"/>
  <c r="P400" i="2"/>
  <c r="O400" i="2"/>
  <c r="N400" i="2"/>
  <c r="M400" i="2"/>
  <c r="J400" i="2"/>
  <c r="K400" i="2" s="1"/>
  <c r="L400" i="2" s="1"/>
  <c r="I400" i="2"/>
  <c r="H400" i="2"/>
  <c r="U399" i="2"/>
  <c r="T399" i="2"/>
  <c r="Q399" i="2"/>
  <c r="P399" i="2"/>
  <c r="O399" i="2"/>
  <c r="R399" i="2" s="1"/>
  <c r="N399" i="2"/>
  <c r="M399" i="2"/>
  <c r="J399" i="2"/>
  <c r="K399" i="2" s="1"/>
  <c r="L399" i="2" s="1"/>
  <c r="I399" i="2"/>
  <c r="H399" i="2"/>
  <c r="U398" i="2"/>
  <c r="T398" i="2"/>
  <c r="Q398" i="2"/>
  <c r="P398" i="2"/>
  <c r="O398" i="2"/>
  <c r="N398" i="2"/>
  <c r="M398" i="2"/>
  <c r="J398" i="2"/>
  <c r="K398" i="2" s="1"/>
  <c r="L398" i="2" s="1"/>
  <c r="I398" i="2"/>
  <c r="H398" i="2"/>
  <c r="U397" i="2"/>
  <c r="T397" i="2"/>
  <c r="Q397" i="2"/>
  <c r="P397" i="2"/>
  <c r="O397" i="2"/>
  <c r="R397" i="2" s="1"/>
  <c r="N397" i="2"/>
  <c r="M397" i="2"/>
  <c r="J397" i="2"/>
  <c r="K397" i="2" s="1"/>
  <c r="L397" i="2" s="1"/>
  <c r="I397" i="2"/>
  <c r="H397" i="2"/>
  <c r="U396" i="2"/>
  <c r="T396" i="2"/>
  <c r="Q396" i="2"/>
  <c r="P396" i="2"/>
  <c r="O396" i="2"/>
  <c r="N396" i="2"/>
  <c r="M396" i="2"/>
  <c r="J396" i="2"/>
  <c r="K396" i="2" s="1"/>
  <c r="L396" i="2" s="1"/>
  <c r="I396" i="2"/>
  <c r="H396" i="2"/>
  <c r="U395" i="2"/>
  <c r="T395" i="2"/>
  <c r="Q395" i="2"/>
  <c r="P395" i="2"/>
  <c r="O395" i="2"/>
  <c r="N395" i="2"/>
  <c r="M395" i="2"/>
  <c r="J395" i="2"/>
  <c r="K395" i="2" s="1"/>
  <c r="L395" i="2" s="1"/>
  <c r="I395" i="2"/>
  <c r="H395" i="2"/>
  <c r="U394" i="2"/>
  <c r="T394" i="2"/>
  <c r="Q394" i="2"/>
  <c r="P394" i="2"/>
  <c r="O394" i="2"/>
  <c r="R394" i="2" s="1"/>
  <c r="N394" i="2"/>
  <c r="M394" i="2"/>
  <c r="J394" i="2"/>
  <c r="K394" i="2" s="1"/>
  <c r="L394" i="2" s="1"/>
  <c r="I394" i="2"/>
  <c r="H394" i="2"/>
  <c r="U393" i="2"/>
  <c r="T393" i="2"/>
  <c r="Q393" i="2"/>
  <c r="P393" i="2"/>
  <c r="O393" i="2"/>
  <c r="R393" i="2" s="1"/>
  <c r="N393" i="2"/>
  <c r="M393" i="2"/>
  <c r="J393" i="2"/>
  <c r="K393" i="2" s="1"/>
  <c r="L393" i="2" s="1"/>
  <c r="I393" i="2"/>
  <c r="H393" i="2"/>
  <c r="U392" i="2"/>
  <c r="T392" i="2"/>
  <c r="Q392" i="2"/>
  <c r="P392" i="2"/>
  <c r="O392" i="2"/>
  <c r="R392" i="2" s="1"/>
  <c r="N392" i="2"/>
  <c r="M392" i="2"/>
  <c r="J392" i="2"/>
  <c r="K392" i="2" s="1"/>
  <c r="L392" i="2" s="1"/>
  <c r="I392" i="2"/>
  <c r="H392" i="2"/>
  <c r="U391" i="2"/>
  <c r="T391" i="2"/>
  <c r="Q391" i="2"/>
  <c r="P391" i="2"/>
  <c r="O391" i="2"/>
  <c r="N391" i="2"/>
  <c r="M391" i="2"/>
  <c r="J391" i="2"/>
  <c r="K391" i="2" s="1"/>
  <c r="L391" i="2" s="1"/>
  <c r="I391" i="2"/>
  <c r="H391" i="2"/>
  <c r="U390" i="2"/>
  <c r="T390" i="2"/>
  <c r="Q390" i="2"/>
  <c r="P390" i="2"/>
  <c r="O390" i="2"/>
  <c r="R390" i="2" s="1"/>
  <c r="N390" i="2"/>
  <c r="M390" i="2"/>
  <c r="J390" i="2"/>
  <c r="K390" i="2" s="1"/>
  <c r="L390" i="2" s="1"/>
  <c r="I390" i="2"/>
  <c r="H390" i="2"/>
  <c r="U389" i="2"/>
  <c r="T389" i="2"/>
  <c r="Q389" i="2"/>
  <c r="P389" i="2"/>
  <c r="O389" i="2"/>
  <c r="R389" i="2" s="1"/>
  <c r="N389" i="2"/>
  <c r="M389" i="2"/>
  <c r="J389" i="2"/>
  <c r="K389" i="2" s="1"/>
  <c r="L389" i="2" s="1"/>
  <c r="I389" i="2"/>
  <c r="H389" i="2"/>
  <c r="U388" i="2"/>
  <c r="T388" i="2"/>
  <c r="Q388" i="2"/>
  <c r="P388" i="2"/>
  <c r="O388" i="2"/>
  <c r="R388" i="2" s="1"/>
  <c r="N388" i="2"/>
  <c r="M388" i="2"/>
  <c r="J388" i="2"/>
  <c r="K388" i="2" s="1"/>
  <c r="L388" i="2" s="1"/>
  <c r="I388" i="2"/>
  <c r="H388" i="2"/>
  <c r="U387" i="2"/>
  <c r="T387" i="2"/>
  <c r="Q387" i="2"/>
  <c r="P387" i="2"/>
  <c r="O387" i="2"/>
  <c r="N387" i="2"/>
  <c r="M387" i="2"/>
  <c r="J387" i="2"/>
  <c r="K387" i="2" s="1"/>
  <c r="L387" i="2" s="1"/>
  <c r="I387" i="2"/>
  <c r="H387" i="2"/>
  <c r="U386" i="2"/>
  <c r="T386" i="2"/>
  <c r="Q386" i="2"/>
  <c r="P386" i="2"/>
  <c r="O386" i="2"/>
  <c r="N386" i="2"/>
  <c r="M386" i="2"/>
  <c r="J386" i="2"/>
  <c r="K386" i="2" s="1"/>
  <c r="L386" i="2" s="1"/>
  <c r="I386" i="2"/>
  <c r="H386" i="2"/>
  <c r="U385" i="2"/>
  <c r="T385" i="2"/>
  <c r="Q385" i="2"/>
  <c r="P385" i="2"/>
  <c r="O385" i="2"/>
  <c r="N385" i="2"/>
  <c r="M385" i="2"/>
  <c r="J385" i="2"/>
  <c r="K385" i="2" s="1"/>
  <c r="L385" i="2" s="1"/>
  <c r="I385" i="2"/>
  <c r="H385" i="2"/>
  <c r="U384" i="2"/>
  <c r="T384" i="2"/>
  <c r="Q384" i="2"/>
  <c r="P384" i="2"/>
  <c r="O384" i="2"/>
  <c r="R384" i="2" s="1"/>
  <c r="N384" i="2"/>
  <c r="M384" i="2"/>
  <c r="J384" i="2"/>
  <c r="K384" i="2" s="1"/>
  <c r="L384" i="2" s="1"/>
  <c r="I384" i="2"/>
  <c r="H384" i="2"/>
  <c r="U383" i="2"/>
  <c r="T383" i="2"/>
  <c r="Q383" i="2"/>
  <c r="P383" i="2"/>
  <c r="O383" i="2"/>
  <c r="R383" i="2" s="1"/>
  <c r="N383" i="2"/>
  <c r="M383" i="2"/>
  <c r="J383" i="2"/>
  <c r="K383" i="2" s="1"/>
  <c r="L383" i="2" s="1"/>
  <c r="I383" i="2"/>
  <c r="H383" i="2"/>
  <c r="U382" i="2"/>
  <c r="T382" i="2"/>
  <c r="Q382" i="2"/>
  <c r="P382" i="2"/>
  <c r="O382" i="2"/>
  <c r="N382" i="2"/>
  <c r="M382" i="2"/>
  <c r="J382" i="2"/>
  <c r="K382" i="2" s="1"/>
  <c r="L382" i="2" s="1"/>
  <c r="I382" i="2"/>
  <c r="H382" i="2"/>
  <c r="U381" i="2"/>
  <c r="T381" i="2"/>
  <c r="Q381" i="2"/>
  <c r="P381" i="2"/>
  <c r="O381" i="2"/>
  <c r="R381" i="2" s="1"/>
  <c r="N381" i="2"/>
  <c r="M381" i="2"/>
  <c r="J381" i="2"/>
  <c r="K381" i="2" s="1"/>
  <c r="L381" i="2" s="1"/>
  <c r="I381" i="2"/>
  <c r="H381" i="2"/>
  <c r="U380" i="2"/>
  <c r="T380" i="2"/>
  <c r="Q380" i="2"/>
  <c r="P380" i="2"/>
  <c r="O380" i="2"/>
  <c r="N380" i="2"/>
  <c r="M380" i="2"/>
  <c r="J380" i="2"/>
  <c r="K380" i="2" s="1"/>
  <c r="L380" i="2" s="1"/>
  <c r="I380" i="2"/>
  <c r="H380" i="2"/>
  <c r="U379" i="2"/>
  <c r="T379" i="2"/>
  <c r="Q379" i="2"/>
  <c r="P379" i="2"/>
  <c r="O379" i="2"/>
  <c r="N379" i="2"/>
  <c r="M379" i="2"/>
  <c r="J379" i="2"/>
  <c r="K379" i="2" s="1"/>
  <c r="L379" i="2" s="1"/>
  <c r="I379" i="2"/>
  <c r="H379" i="2"/>
  <c r="U378" i="2"/>
  <c r="T378" i="2"/>
  <c r="Q378" i="2"/>
  <c r="P378" i="2"/>
  <c r="O378" i="2"/>
  <c r="R378" i="2" s="1"/>
  <c r="N378" i="2"/>
  <c r="M378" i="2"/>
  <c r="J378" i="2"/>
  <c r="K378" i="2" s="1"/>
  <c r="L378" i="2" s="1"/>
  <c r="I378" i="2"/>
  <c r="H378" i="2"/>
  <c r="U377" i="2"/>
  <c r="T377" i="2"/>
  <c r="Q377" i="2"/>
  <c r="P377" i="2"/>
  <c r="O377" i="2"/>
  <c r="R377" i="2" s="1"/>
  <c r="N377" i="2"/>
  <c r="M377" i="2"/>
  <c r="J377" i="2"/>
  <c r="K377" i="2" s="1"/>
  <c r="L377" i="2" s="1"/>
  <c r="I377" i="2"/>
  <c r="H377" i="2"/>
  <c r="U376" i="2"/>
  <c r="T376" i="2"/>
  <c r="Q376" i="2"/>
  <c r="P376" i="2"/>
  <c r="O376" i="2"/>
  <c r="N376" i="2"/>
  <c r="M376" i="2"/>
  <c r="J376" i="2"/>
  <c r="K376" i="2" s="1"/>
  <c r="L376" i="2" s="1"/>
  <c r="I376" i="2"/>
  <c r="H376" i="2"/>
  <c r="U375" i="2"/>
  <c r="T375" i="2"/>
  <c r="Q375" i="2"/>
  <c r="P375" i="2"/>
  <c r="O375" i="2"/>
  <c r="N375" i="2"/>
  <c r="M375" i="2"/>
  <c r="J375" i="2"/>
  <c r="K375" i="2" s="1"/>
  <c r="L375" i="2" s="1"/>
  <c r="I375" i="2"/>
  <c r="H375" i="2"/>
  <c r="U374" i="2"/>
  <c r="T374" i="2"/>
  <c r="Q374" i="2"/>
  <c r="P374" i="2"/>
  <c r="O374" i="2"/>
  <c r="R374" i="2" s="1"/>
  <c r="N374" i="2"/>
  <c r="M374" i="2"/>
  <c r="J374" i="2"/>
  <c r="K374" i="2" s="1"/>
  <c r="L374" i="2" s="1"/>
  <c r="I374" i="2"/>
  <c r="H374" i="2"/>
  <c r="U373" i="2"/>
  <c r="T373" i="2"/>
  <c r="Q373" i="2"/>
  <c r="P373" i="2"/>
  <c r="O373" i="2"/>
  <c r="R373" i="2" s="1"/>
  <c r="N373" i="2"/>
  <c r="M373" i="2"/>
  <c r="J373" i="2"/>
  <c r="K373" i="2" s="1"/>
  <c r="L373" i="2" s="1"/>
  <c r="I373" i="2"/>
  <c r="H373" i="2"/>
  <c r="U372" i="2"/>
  <c r="T372" i="2"/>
  <c r="Q372" i="2"/>
  <c r="P372" i="2"/>
  <c r="O372" i="2"/>
  <c r="R372" i="2" s="1"/>
  <c r="N372" i="2"/>
  <c r="M372" i="2"/>
  <c r="J372" i="2"/>
  <c r="K372" i="2" s="1"/>
  <c r="L372" i="2" s="1"/>
  <c r="I372" i="2"/>
  <c r="H372" i="2"/>
  <c r="U371" i="2"/>
  <c r="T371" i="2"/>
  <c r="Q371" i="2"/>
  <c r="P371" i="2"/>
  <c r="O371" i="2"/>
  <c r="N371" i="2"/>
  <c r="M371" i="2"/>
  <c r="J371" i="2"/>
  <c r="K371" i="2" s="1"/>
  <c r="L371" i="2" s="1"/>
  <c r="I371" i="2"/>
  <c r="H371" i="2"/>
  <c r="U370" i="2"/>
  <c r="T370" i="2"/>
  <c r="Q370" i="2"/>
  <c r="P370" i="2"/>
  <c r="O370" i="2"/>
  <c r="N370" i="2"/>
  <c r="M370" i="2"/>
  <c r="J370" i="2"/>
  <c r="K370" i="2" s="1"/>
  <c r="L370" i="2" s="1"/>
  <c r="I370" i="2"/>
  <c r="H370" i="2"/>
  <c r="U369" i="2"/>
  <c r="T369" i="2"/>
  <c r="Q369" i="2"/>
  <c r="P369" i="2"/>
  <c r="O369" i="2"/>
  <c r="N369" i="2"/>
  <c r="M369" i="2"/>
  <c r="J369" i="2"/>
  <c r="K369" i="2" s="1"/>
  <c r="L369" i="2" s="1"/>
  <c r="I369" i="2"/>
  <c r="H369" i="2"/>
  <c r="U368" i="2"/>
  <c r="T368" i="2"/>
  <c r="Q368" i="2"/>
  <c r="P368" i="2"/>
  <c r="O368" i="2"/>
  <c r="R368" i="2" s="1"/>
  <c r="N368" i="2"/>
  <c r="M368" i="2"/>
  <c r="J368" i="2"/>
  <c r="K368" i="2" s="1"/>
  <c r="L368" i="2" s="1"/>
  <c r="I368" i="2"/>
  <c r="H368" i="2"/>
  <c r="U367" i="2"/>
  <c r="T367" i="2"/>
  <c r="Q367" i="2"/>
  <c r="P367" i="2"/>
  <c r="O367" i="2"/>
  <c r="R367" i="2" s="1"/>
  <c r="N367" i="2"/>
  <c r="M367" i="2"/>
  <c r="J367" i="2"/>
  <c r="K367" i="2" s="1"/>
  <c r="L367" i="2" s="1"/>
  <c r="I367" i="2"/>
  <c r="H367" i="2"/>
  <c r="U366" i="2"/>
  <c r="T366" i="2"/>
  <c r="Q366" i="2"/>
  <c r="P366" i="2"/>
  <c r="O366" i="2"/>
  <c r="N366" i="2"/>
  <c r="M366" i="2"/>
  <c r="J366" i="2"/>
  <c r="K366" i="2" s="1"/>
  <c r="L366" i="2" s="1"/>
  <c r="I366" i="2"/>
  <c r="H366" i="2"/>
  <c r="U365" i="2"/>
  <c r="T365" i="2"/>
  <c r="Q365" i="2"/>
  <c r="P365" i="2"/>
  <c r="O365" i="2"/>
  <c r="N365" i="2"/>
  <c r="M365" i="2"/>
  <c r="J365" i="2"/>
  <c r="K365" i="2" s="1"/>
  <c r="L365" i="2" s="1"/>
  <c r="I365" i="2"/>
  <c r="H365" i="2"/>
  <c r="U364" i="2"/>
  <c r="T364" i="2"/>
  <c r="Q364" i="2"/>
  <c r="P364" i="2"/>
  <c r="O364" i="2"/>
  <c r="N364" i="2"/>
  <c r="M364" i="2"/>
  <c r="J364" i="2"/>
  <c r="K364" i="2" s="1"/>
  <c r="L364" i="2" s="1"/>
  <c r="I364" i="2"/>
  <c r="H364" i="2"/>
  <c r="U363" i="2"/>
  <c r="T363" i="2"/>
  <c r="Q363" i="2"/>
  <c r="P363" i="2"/>
  <c r="O363" i="2"/>
  <c r="N363" i="2"/>
  <c r="M363" i="2"/>
  <c r="J363" i="2"/>
  <c r="K363" i="2" s="1"/>
  <c r="L363" i="2" s="1"/>
  <c r="I363" i="2"/>
  <c r="H363" i="2"/>
  <c r="U362" i="2"/>
  <c r="T362" i="2"/>
  <c r="Q362" i="2"/>
  <c r="P362" i="2"/>
  <c r="O362" i="2"/>
  <c r="R362" i="2" s="1"/>
  <c r="N362" i="2"/>
  <c r="M362" i="2"/>
  <c r="J362" i="2"/>
  <c r="K362" i="2" s="1"/>
  <c r="L362" i="2" s="1"/>
  <c r="I362" i="2"/>
  <c r="H362" i="2"/>
  <c r="U361" i="2"/>
  <c r="T361" i="2"/>
  <c r="Q361" i="2"/>
  <c r="P361" i="2"/>
  <c r="O361" i="2"/>
  <c r="R361" i="2" s="1"/>
  <c r="N361" i="2"/>
  <c r="M361" i="2"/>
  <c r="J361" i="2"/>
  <c r="K361" i="2" s="1"/>
  <c r="L361" i="2" s="1"/>
  <c r="I361" i="2"/>
  <c r="H361" i="2"/>
  <c r="U360" i="2"/>
  <c r="T360" i="2"/>
  <c r="Q360" i="2"/>
  <c r="P360" i="2"/>
  <c r="O360" i="2"/>
  <c r="N360" i="2"/>
  <c r="M360" i="2"/>
  <c r="J360" i="2"/>
  <c r="K360" i="2" s="1"/>
  <c r="L360" i="2" s="1"/>
  <c r="I360" i="2"/>
  <c r="H360" i="2"/>
  <c r="U359" i="2"/>
  <c r="T359" i="2"/>
  <c r="Q359" i="2"/>
  <c r="P359" i="2"/>
  <c r="O359" i="2"/>
  <c r="N359" i="2"/>
  <c r="M359" i="2"/>
  <c r="J359" i="2"/>
  <c r="K359" i="2" s="1"/>
  <c r="L359" i="2" s="1"/>
  <c r="I359" i="2"/>
  <c r="H359" i="2"/>
  <c r="U358" i="2"/>
  <c r="T358" i="2"/>
  <c r="Q358" i="2"/>
  <c r="P358" i="2"/>
  <c r="O358" i="2"/>
  <c r="R358" i="2" s="1"/>
  <c r="N358" i="2"/>
  <c r="M358" i="2"/>
  <c r="J358" i="2"/>
  <c r="K358" i="2" s="1"/>
  <c r="L358" i="2" s="1"/>
  <c r="I358" i="2"/>
  <c r="H358" i="2"/>
  <c r="U357" i="2"/>
  <c r="T357" i="2"/>
  <c r="Q357" i="2"/>
  <c r="P357" i="2"/>
  <c r="O357" i="2"/>
  <c r="R357" i="2" s="1"/>
  <c r="N357" i="2"/>
  <c r="M357" i="2"/>
  <c r="J357" i="2"/>
  <c r="K357" i="2" s="1"/>
  <c r="L357" i="2" s="1"/>
  <c r="I357" i="2"/>
  <c r="H357" i="2"/>
  <c r="U356" i="2"/>
  <c r="T356" i="2"/>
  <c r="Q356" i="2"/>
  <c r="P356" i="2"/>
  <c r="O356" i="2"/>
  <c r="R356" i="2" s="1"/>
  <c r="N356" i="2"/>
  <c r="M356" i="2"/>
  <c r="J356" i="2"/>
  <c r="K356" i="2" s="1"/>
  <c r="L356" i="2" s="1"/>
  <c r="I356" i="2"/>
  <c r="H356" i="2"/>
  <c r="U355" i="2"/>
  <c r="T355" i="2"/>
  <c r="Q355" i="2"/>
  <c r="P355" i="2"/>
  <c r="O355" i="2"/>
  <c r="N355" i="2"/>
  <c r="M355" i="2"/>
  <c r="J355" i="2"/>
  <c r="K355" i="2" s="1"/>
  <c r="L355" i="2" s="1"/>
  <c r="I355" i="2"/>
  <c r="H355" i="2"/>
  <c r="U354" i="2"/>
  <c r="T354" i="2"/>
  <c r="Q354" i="2"/>
  <c r="P354" i="2"/>
  <c r="O354" i="2"/>
  <c r="N354" i="2"/>
  <c r="M354" i="2"/>
  <c r="J354" i="2"/>
  <c r="K354" i="2" s="1"/>
  <c r="L354" i="2" s="1"/>
  <c r="I354" i="2"/>
  <c r="H354" i="2"/>
  <c r="U353" i="2"/>
  <c r="T353" i="2"/>
  <c r="Q353" i="2"/>
  <c r="P353" i="2"/>
  <c r="O353" i="2"/>
  <c r="N353" i="2"/>
  <c r="M353" i="2"/>
  <c r="J353" i="2"/>
  <c r="K353" i="2" s="1"/>
  <c r="L353" i="2" s="1"/>
  <c r="I353" i="2"/>
  <c r="H353" i="2"/>
  <c r="U352" i="2"/>
  <c r="T352" i="2"/>
  <c r="Q352" i="2"/>
  <c r="P352" i="2"/>
  <c r="O352" i="2"/>
  <c r="R352" i="2" s="1"/>
  <c r="N352" i="2"/>
  <c r="M352" i="2"/>
  <c r="J352" i="2"/>
  <c r="K352" i="2" s="1"/>
  <c r="L352" i="2" s="1"/>
  <c r="I352" i="2"/>
  <c r="H352" i="2"/>
  <c r="U351" i="2"/>
  <c r="T351" i="2"/>
  <c r="Q351" i="2"/>
  <c r="P351" i="2"/>
  <c r="O351" i="2"/>
  <c r="R351" i="2" s="1"/>
  <c r="N351" i="2"/>
  <c r="M351" i="2"/>
  <c r="J351" i="2"/>
  <c r="K351" i="2" s="1"/>
  <c r="L351" i="2" s="1"/>
  <c r="I351" i="2"/>
  <c r="H351" i="2"/>
  <c r="U350" i="2"/>
  <c r="T350" i="2"/>
  <c r="Q350" i="2"/>
  <c r="P350" i="2"/>
  <c r="O350" i="2"/>
  <c r="N350" i="2"/>
  <c r="M350" i="2"/>
  <c r="J350" i="2"/>
  <c r="K350" i="2" s="1"/>
  <c r="L350" i="2" s="1"/>
  <c r="I350" i="2"/>
  <c r="H350" i="2"/>
  <c r="U349" i="2"/>
  <c r="T349" i="2"/>
  <c r="Q349" i="2"/>
  <c r="P349" i="2"/>
  <c r="O349" i="2"/>
  <c r="R349" i="2" s="1"/>
  <c r="N349" i="2"/>
  <c r="M349" i="2"/>
  <c r="J349" i="2"/>
  <c r="K349" i="2" s="1"/>
  <c r="L349" i="2" s="1"/>
  <c r="I349" i="2"/>
  <c r="H349" i="2"/>
  <c r="U348" i="2"/>
  <c r="T348" i="2"/>
  <c r="Q348" i="2"/>
  <c r="P348" i="2"/>
  <c r="O348" i="2"/>
  <c r="N348" i="2"/>
  <c r="M348" i="2"/>
  <c r="J348" i="2"/>
  <c r="K348" i="2" s="1"/>
  <c r="L348" i="2" s="1"/>
  <c r="I348" i="2"/>
  <c r="H348" i="2"/>
  <c r="U347" i="2"/>
  <c r="T347" i="2"/>
  <c r="Q347" i="2"/>
  <c r="P347" i="2"/>
  <c r="O347" i="2"/>
  <c r="N347" i="2"/>
  <c r="M347" i="2"/>
  <c r="J347" i="2"/>
  <c r="K347" i="2" s="1"/>
  <c r="L347" i="2" s="1"/>
  <c r="I347" i="2"/>
  <c r="H347" i="2"/>
  <c r="U346" i="2"/>
  <c r="T346" i="2"/>
  <c r="Q346" i="2"/>
  <c r="P346" i="2"/>
  <c r="O346" i="2"/>
  <c r="R346" i="2" s="1"/>
  <c r="N346" i="2"/>
  <c r="M346" i="2"/>
  <c r="J346" i="2"/>
  <c r="K346" i="2" s="1"/>
  <c r="L346" i="2" s="1"/>
  <c r="I346" i="2"/>
  <c r="H346" i="2"/>
  <c r="U345" i="2"/>
  <c r="T345" i="2"/>
  <c r="Q345" i="2"/>
  <c r="P345" i="2"/>
  <c r="O345" i="2"/>
  <c r="R345" i="2" s="1"/>
  <c r="N345" i="2"/>
  <c r="M345" i="2"/>
  <c r="J345" i="2"/>
  <c r="K345" i="2" s="1"/>
  <c r="L345" i="2" s="1"/>
  <c r="I345" i="2"/>
  <c r="H345" i="2"/>
  <c r="U344" i="2"/>
  <c r="T344" i="2"/>
  <c r="Q344" i="2"/>
  <c r="P344" i="2"/>
  <c r="O344" i="2"/>
  <c r="R344" i="2" s="1"/>
  <c r="N344" i="2"/>
  <c r="M344" i="2"/>
  <c r="J344" i="2"/>
  <c r="K344" i="2" s="1"/>
  <c r="L344" i="2" s="1"/>
  <c r="I344" i="2"/>
  <c r="H344" i="2"/>
  <c r="U343" i="2"/>
  <c r="T343" i="2"/>
  <c r="Q343" i="2"/>
  <c r="P343" i="2"/>
  <c r="O343" i="2"/>
  <c r="N343" i="2"/>
  <c r="M343" i="2"/>
  <c r="J343" i="2"/>
  <c r="K343" i="2" s="1"/>
  <c r="L343" i="2" s="1"/>
  <c r="I343" i="2"/>
  <c r="H343" i="2"/>
  <c r="U342" i="2"/>
  <c r="T342" i="2"/>
  <c r="Q342" i="2"/>
  <c r="P342" i="2"/>
  <c r="O342" i="2"/>
  <c r="R342" i="2" s="1"/>
  <c r="N342" i="2"/>
  <c r="M342" i="2"/>
  <c r="J342" i="2"/>
  <c r="K342" i="2" s="1"/>
  <c r="L342" i="2" s="1"/>
  <c r="I342" i="2"/>
  <c r="H342" i="2"/>
  <c r="U341" i="2"/>
  <c r="T341" i="2"/>
  <c r="Q341" i="2"/>
  <c r="P341" i="2"/>
  <c r="O341" i="2"/>
  <c r="R341" i="2" s="1"/>
  <c r="N341" i="2"/>
  <c r="M341" i="2"/>
  <c r="J341" i="2"/>
  <c r="K341" i="2" s="1"/>
  <c r="L341" i="2" s="1"/>
  <c r="I341" i="2"/>
  <c r="H341" i="2"/>
  <c r="U340" i="2"/>
  <c r="T340" i="2"/>
  <c r="Q340" i="2"/>
  <c r="P340" i="2"/>
  <c r="O340" i="2"/>
  <c r="N340" i="2"/>
  <c r="M340" i="2"/>
  <c r="J340" i="2"/>
  <c r="K340" i="2" s="1"/>
  <c r="L340" i="2" s="1"/>
  <c r="I340" i="2"/>
  <c r="H340" i="2"/>
  <c r="U339" i="2"/>
  <c r="T339" i="2"/>
  <c r="Q339" i="2"/>
  <c r="P339" i="2"/>
  <c r="O339" i="2"/>
  <c r="N339" i="2"/>
  <c r="M339" i="2"/>
  <c r="J339" i="2"/>
  <c r="K339" i="2" s="1"/>
  <c r="L339" i="2" s="1"/>
  <c r="I339" i="2"/>
  <c r="H339" i="2"/>
  <c r="U338" i="2"/>
  <c r="T338" i="2"/>
  <c r="Q338" i="2"/>
  <c r="P338" i="2"/>
  <c r="O338" i="2"/>
  <c r="N338" i="2"/>
  <c r="M338" i="2"/>
  <c r="J338" i="2"/>
  <c r="K338" i="2" s="1"/>
  <c r="L338" i="2" s="1"/>
  <c r="I338" i="2"/>
  <c r="H338" i="2"/>
  <c r="U337" i="2"/>
  <c r="T337" i="2"/>
  <c r="Q337" i="2"/>
  <c r="P337" i="2"/>
  <c r="O337" i="2"/>
  <c r="N337" i="2"/>
  <c r="M337" i="2"/>
  <c r="J337" i="2"/>
  <c r="K337" i="2" s="1"/>
  <c r="L337" i="2" s="1"/>
  <c r="I337" i="2"/>
  <c r="H337" i="2"/>
  <c r="U336" i="2"/>
  <c r="T336" i="2"/>
  <c r="Q336" i="2"/>
  <c r="P336" i="2"/>
  <c r="O336" i="2"/>
  <c r="N336" i="2"/>
  <c r="M336" i="2"/>
  <c r="J336" i="2"/>
  <c r="K336" i="2" s="1"/>
  <c r="L336" i="2" s="1"/>
  <c r="I336" i="2"/>
  <c r="H336" i="2"/>
  <c r="U335" i="2"/>
  <c r="T335" i="2"/>
  <c r="Q335" i="2"/>
  <c r="P335" i="2"/>
  <c r="O335" i="2"/>
  <c r="R335" i="2" s="1"/>
  <c r="N335" i="2"/>
  <c r="M335" i="2"/>
  <c r="J335" i="2"/>
  <c r="K335" i="2" s="1"/>
  <c r="L335" i="2" s="1"/>
  <c r="I335" i="2"/>
  <c r="H335" i="2"/>
  <c r="U334" i="2"/>
  <c r="T334" i="2"/>
  <c r="Q334" i="2"/>
  <c r="P334" i="2"/>
  <c r="O334" i="2"/>
  <c r="N334" i="2"/>
  <c r="M334" i="2"/>
  <c r="J334" i="2"/>
  <c r="K334" i="2" s="1"/>
  <c r="L334" i="2" s="1"/>
  <c r="I334" i="2"/>
  <c r="H334" i="2"/>
  <c r="U333" i="2"/>
  <c r="T333" i="2"/>
  <c r="Q333" i="2"/>
  <c r="P333" i="2"/>
  <c r="O333" i="2"/>
  <c r="R333" i="2" s="1"/>
  <c r="N333" i="2"/>
  <c r="M333" i="2"/>
  <c r="J333" i="2"/>
  <c r="K333" i="2" s="1"/>
  <c r="L333" i="2" s="1"/>
  <c r="I333" i="2"/>
  <c r="H333" i="2"/>
  <c r="U332" i="2"/>
  <c r="T332" i="2"/>
  <c r="Q332" i="2"/>
  <c r="P332" i="2"/>
  <c r="O332" i="2"/>
  <c r="N332" i="2"/>
  <c r="M332" i="2"/>
  <c r="J332" i="2"/>
  <c r="K332" i="2" s="1"/>
  <c r="L332" i="2" s="1"/>
  <c r="I332" i="2"/>
  <c r="H332" i="2"/>
  <c r="U331" i="2"/>
  <c r="T331" i="2"/>
  <c r="Q331" i="2"/>
  <c r="P331" i="2"/>
  <c r="O331" i="2"/>
  <c r="R331" i="2" s="1"/>
  <c r="N331" i="2"/>
  <c r="M331" i="2"/>
  <c r="J331" i="2"/>
  <c r="K331" i="2" s="1"/>
  <c r="L331" i="2" s="1"/>
  <c r="I331" i="2"/>
  <c r="H331" i="2"/>
  <c r="U330" i="2"/>
  <c r="T330" i="2"/>
  <c r="Q330" i="2"/>
  <c r="P330" i="2"/>
  <c r="O330" i="2"/>
  <c r="R330" i="2" s="1"/>
  <c r="N330" i="2"/>
  <c r="M330" i="2"/>
  <c r="J330" i="2"/>
  <c r="K330" i="2" s="1"/>
  <c r="L330" i="2" s="1"/>
  <c r="I330" i="2"/>
  <c r="H330" i="2"/>
  <c r="U329" i="2"/>
  <c r="T329" i="2"/>
  <c r="Q329" i="2"/>
  <c r="P329" i="2"/>
  <c r="O329" i="2"/>
  <c r="N329" i="2"/>
  <c r="M329" i="2"/>
  <c r="J329" i="2"/>
  <c r="K329" i="2" s="1"/>
  <c r="L329" i="2" s="1"/>
  <c r="I329" i="2"/>
  <c r="H329" i="2"/>
  <c r="U328" i="2"/>
  <c r="T328" i="2"/>
  <c r="Q328" i="2"/>
  <c r="P328" i="2"/>
  <c r="O328" i="2"/>
  <c r="N328" i="2"/>
  <c r="M328" i="2"/>
  <c r="J328" i="2"/>
  <c r="K328" i="2" s="1"/>
  <c r="L328" i="2" s="1"/>
  <c r="I328" i="2"/>
  <c r="H328" i="2"/>
  <c r="U327" i="2"/>
  <c r="T327" i="2"/>
  <c r="Q327" i="2"/>
  <c r="P327" i="2"/>
  <c r="O327" i="2"/>
  <c r="N327" i="2"/>
  <c r="M327" i="2"/>
  <c r="J327" i="2"/>
  <c r="K327" i="2" s="1"/>
  <c r="L327" i="2" s="1"/>
  <c r="I327" i="2"/>
  <c r="H327" i="2"/>
  <c r="U326" i="2"/>
  <c r="T326" i="2"/>
  <c r="Q326" i="2"/>
  <c r="P326" i="2"/>
  <c r="O326" i="2"/>
  <c r="R326" i="2" s="1"/>
  <c r="N326" i="2"/>
  <c r="M326" i="2"/>
  <c r="J326" i="2"/>
  <c r="K326" i="2" s="1"/>
  <c r="L326" i="2" s="1"/>
  <c r="I326" i="2"/>
  <c r="H326" i="2"/>
  <c r="U325" i="2"/>
  <c r="T325" i="2"/>
  <c r="Q325" i="2"/>
  <c r="P325" i="2"/>
  <c r="O325" i="2"/>
  <c r="R325" i="2" s="1"/>
  <c r="N325" i="2"/>
  <c r="M325" i="2"/>
  <c r="J325" i="2"/>
  <c r="K325" i="2" s="1"/>
  <c r="L325" i="2" s="1"/>
  <c r="I325" i="2"/>
  <c r="H325" i="2"/>
  <c r="U324" i="2"/>
  <c r="T324" i="2"/>
  <c r="Q324" i="2"/>
  <c r="P324" i="2"/>
  <c r="O324" i="2"/>
  <c r="N324" i="2"/>
  <c r="M324" i="2"/>
  <c r="J324" i="2"/>
  <c r="K324" i="2" s="1"/>
  <c r="L324" i="2" s="1"/>
  <c r="I324" i="2"/>
  <c r="H324" i="2"/>
  <c r="U323" i="2"/>
  <c r="T323" i="2"/>
  <c r="Q323" i="2"/>
  <c r="P323" i="2"/>
  <c r="O323" i="2"/>
  <c r="N323" i="2"/>
  <c r="M323" i="2"/>
  <c r="J323" i="2"/>
  <c r="K323" i="2" s="1"/>
  <c r="L323" i="2" s="1"/>
  <c r="I323" i="2"/>
  <c r="H323" i="2"/>
  <c r="U322" i="2"/>
  <c r="T322" i="2"/>
  <c r="Q322" i="2"/>
  <c r="P322" i="2"/>
  <c r="O322" i="2"/>
  <c r="N322" i="2"/>
  <c r="M322" i="2"/>
  <c r="J322" i="2"/>
  <c r="K322" i="2" s="1"/>
  <c r="L322" i="2" s="1"/>
  <c r="I322" i="2"/>
  <c r="H322" i="2"/>
  <c r="U321" i="2"/>
  <c r="T321" i="2"/>
  <c r="Q321" i="2"/>
  <c r="P321" i="2"/>
  <c r="O321" i="2"/>
  <c r="N321" i="2"/>
  <c r="M321" i="2"/>
  <c r="J321" i="2"/>
  <c r="K321" i="2" s="1"/>
  <c r="L321" i="2" s="1"/>
  <c r="I321" i="2"/>
  <c r="H321" i="2"/>
  <c r="U320" i="2"/>
  <c r="T320" i="2"/>
  <c r="Q320" i="2"/>
  <c r="P320" i="2"/>
  <c r="O320" i="2"/>
  <c r="N320" i="2"/>
  <c r="M320" i="2"/>
  <c r="J320" i="2"/>
  <c r="K320" i="2" s="1"/>
  <c r="L320" i="2" s="1"/>
  <c r="I320" i="2"/>
  <c r="H320" i="2"/>
  <c r="U319" i="2"/>
  <c r="T319" i="2"/>
  <c r="Q319" i="2"/>
  <c r="P319" i="2"/>
  <c r="O319" i="2"/>
  <c r="R319" i="2" s="1"/>
  <c r="N319" i="2"/>
  <c r="M319" i="2"/>
  <c r="J319" i="2"/>
  <c r="K319" i="2" s="1"/>
  <c r="L319" i="2" s="1"/>
  <c r="I319" i="2"/>
  <c r="H319" i="2"/>
  <c r="U318" i="2"/>
  <c r="T318" i="2"/>
  <c r="Q318" i="2"/>
  <c r="P318" i="2"/>
  <c r="O318" i="2"/>
  <c r="N318" i="2"/>
  <c r="M318" i="2"/>
  <c r="J318" i="2"/>
  <c r="K318" i="2" s="1"/>
  <c r="L318" i="2" s="1"/>
  <c r="I318" i="2"/>
  <c r="H318" i="2"/>
  <c r="U317" i="2"/>
  <c r="T317" i="2"/>
  <c r="Q317" i="2"/>
  <c r="P317" i="2"/>
  <c r="O317" i="2"/>
  <c r="R317" i="2" s="1"/>
  <c r="N317" i="2"/>
  <c r="M317" i="2"/>
  <c r="J317" i="2"/>
  <c r="K317" i="2" s="1"/>
  <c r="L317" i="2" s="1"/>
  <c r="I317" i="2"/>
  <c r="H317" i="2"/>
  <c r="U316" i="2"/>
  <c r="T316" i="2"/>
  <c r="Q316" i="2"/>
  <c r="P316" i="2"/>
  <c r="O316" i="2"/>
  <c r="N316" i="2"/>
  <c r="M316" i="2"/>
  <c r="J316" i="2"/>
  <c r="K316" i="2" s="1"/>
  <c r="L316" i="2" s="1"/>
  <c r="I316" i="2"/>
  <c r="H316" i="2"/>
  <c r="U315" i="2"/>
  <c r="T315" i="2"/>
  <c r="Q315" i="2"/>
  <c r="P315" i="2"/>
  <c r="O315" i="2"/>
  <c r="N315" i="2"/>
  <c r="M315" i="2"/>
  <c r="J315" i="2"/>
  <c r="K315" i="2" s="1"/>
  <c r="L315" i="2" s="1"/>
  <c r="I315" i="2"/>
  <c r="H315" i="2"/>
  <c r="U314" i="2"/>
  <c r="T314" i="2"/>
  <c r="Q314" i="2"/>
  <c r="P314" i="2"/>
  <c r="O314" i="2"/>
  <c r="R314" i="2" s="1"/>
  <c r="N314" i="2"/>
  <c r="M314" i="2"/>
  <c r="J314" i="2"/>
  <c r="K314" i="2" s="1"/>
  <c r="L314" i="2" s="1"/>
  <c r="I314" i="2"/>
  <c r="H314" i="2"/>
  <c r="U313" i="2"/>
  <c r="T313" i="2"/>
  <c r="Q313" i="2"/>
  <c r="P313" i="2"/>
  <c r="O313" i="2"/>
  <c r="R313" i="2" s="1"/>
  <c r="N313" i="2"/>
  <c r="M313" i="2"/>
  <c r="J313" i="2"/>
  <c r="K313" i="2" s="1"/>
  <c r="L313" i="2" s="1"/>
  <c r="I313" i="2"/>
  <c r="H313" i="2"/>
  <c r="U312" i="2"/>
  <c r="T312" i="2"/>
  <c r="Q312" i="2"/>
  <c r="P312" i="2"/>
  <c r="O312" i="2"/>
  <c r="N312" i="2"/>
  <c r="M312" i="2"/>
  <c r="J312" i="2"/>
  <c r="K312" i="2" s="1"/>
  <c r="L312" i="2" s="1"/>
  <c r="I312" i="2"/>
  <c r="H312" i="2"/>
  <c r="U311" i="2"/>
  <c r="T311" i="2"/>
  <c r="Q311" i="2"/>
  <c r="P311" i="2"/>
  <c r="O311" i="2"/>
  <c r="N311" i="2"/>
  <c r="M311" i="2"/>
  <c r="J311" i="2"/>
  <c r="K311" i="2" s="1"/>
  <c r="L311" i="2" s="1"/>
  <c r="I311" i="2"/>
  <c r="H311" i="2"/>
  <c r="U310" i="2"/>
  <c r="T310" i="2"/>
  <c r="Q310" i="2"/>
  <c r="P310" i="2"/>
  <c r="O310" i="2"/>
  <c r="R310" i="2" s="1"/>
  <c r="N310" i="2"/>
  <c r="M310" i="2"/>
  <c r="J310" i="2"/>
  <c r="K310" i="2" s="1"/>
  <c r="L310" i="2" s="1"/>
  <c r="I310" i="2"/>
  <c r="H310" i="2"/>
  <c r="U309" i="2"/>
  <c r="T309" i="2"/>
  <c r="Q309" i="2"/>
  <c r="P309" i="2"/>
  <c r="O309" i="2"/>
  <c r="R309" i="2" s="1"/>
  <c r="N309" i="2"/>
  <c r="M309" i="2"/>
  <c r="J309" i="2"/>
  <c r="K309" i="2" s="1"/>
  <c r="L309" i="2" s="1"/>
  <c r="I309" i="2"/>
  <c r="H309" i="2"/>
  <c r="U308" i="2"/>
  <c r="T308" i="2"/>
  <c r="Q308" i="2"/>
  <c r="P308" i="2"/>
  <c r="O308" i="2"/>
  <c r="R308" i="2" s="1"/>
  <c r="N308" i="2"/>
  <c r="M308" i="2"/>
  <c r="J308" i="2"/>
  <c r="K308" i="2" s="1"/>
  <c r="L308" i="2" s="1"/>
  <c r="I308" i="2"/>
  <c r="H308" i="2"/>
  <c r="U307" i="2"/>
  <c r="T307" i="2"/>
  <c r="Q307" i="2"/>
  <c r="P307" i="2"/>
  <c r="O307" i="2"/>
  <c r="R307" i="2" s="1"/>
  <c r="N307" i="2"/>
  <c r="M307" i="2"/>
  <c r="J307" i="2"/>
  <c r="K307" i="2" s="1"/>
  <c r="L307" i="2" s="1"/>
  <c r="I307" i="2"/>
  <c r="H307" i="2"/>
  <c r="U306" i="2"/>
  <c r="T306" i="2"/>
  <c r="Q306" i="2"/>
  <c r="P306" i="2"/>
  <c r="O306" i="2"/>
  <c r="N306" i="2"/>
  <c r="M306" i="2"/>
  <c r="J306" i="2"/>
  <c r="K306" i="2" s="1"/>
  <c r="L306" i="2" s="1"/>
  <c r="I306" i="2"/>
  <c r="H306" i="2"/>
  <c r="U305" i="2"/>
  <c r="T305" i="2"/>
  <c r="Q305" i="2"/>
  <c r="P305" i="2"/>
  <c r="O305" i="2"/>
  <c r="R305" i="2" s="1"/>
  <c r="N305" i="2"/>
  <c r="M305" i="2"/>
  <c r="J305" i="2"/>
  <c r="K305" i="2" s="1"/>
  <c r="L305" i="2" s="1"/>
  <c r="I305" i="2"/>
  <c r="H305" i="2"/>
  <c r="U304" i="2"/>
  <c r="T304" i="2"/>
  <c r="Q304" i="2"/>
  <c r="P304" i="2"/>
  <c r="O304" i="2"/>
  <c r="R304" i="2" s="1"/>
  <c r="N304" i="2"/>
  <c r="M304" i="2"/>
  <c r="J304" i="2"/>
  <c r="K304" i="2" s="1"/>
  <c r="L304" i="2" s="1"/>
  <c r="I304" i="2"/>
  <c r="H304" i="2"/>
  <c r="U303" i="2"/>
  <c r="T303" i="2"/>
  <c r="Q303" i="2"/>
  <c r="P303" i="2"/>
  <c r="O303" i="2"/>
  <c r="R303" i="2" s="1"/>
  <c r="N303" i="2"/>
  <c r="M303" i="2"/>
  <c r="J303" i="2"/>
  <c r="K303" i="2" s="1"/>
  <c r="L303" i="2" s="1"/>
  <c r="I303" i="2"/>
  <c r="H303" i="2"/>
  <c r="U302" i="2"/>
  <c r="T302" i="2"/>
  <c r="Q302" i="2"/>
  <c r="P302" i="2"/>
  <c r="O302" i="2"/>
  <c r="N302" i="2"/>
  <c r="M302" i="2"/>
  <c r="J302" i="2"/>
  <c r="K302" i="2" s="1"/>
  <c r="L302" i="2" s="1"/>
  <c r="I302" i="2"/>
  <c r="H302" i="2"/>
  <c r="U301" i="2"/>
  <c r="T301" i="2"/>
  <c r="V301" i="2" s="1"/>
  <c r="Q301" i="2"/>
  <c r="P301" i="2"/>
  <c r="O301" i="2"/>
  <c r="R301" i="2" s="1"/>
  <c r="N301" i="2"/>
  <c r="M301" i="2"/>
  <c r="J301" i="2"/>
  <c r="K301" i="2" s="1"/>
  <c r="L301" i="2" s="1"/>
  <c r="I301" i="2"/>
  <c r="H301" i="2"/>
  <c r="U300" i="2"/>
  <c r="T300" i="2"/>
  <c r="Q300" i="2"/>
  <c r="P300" i="2"/>
  <c r="O300" i="2"/>
  <c r="R300" i="2" s="1"/>
  <c r="N300" i="2"/>
  <c r="M300" i="2"/>
  <c r="J300" i="2"/>
  <c r="K300" i="2" s="1"/>
  <c r="L300" i="2" s="1"/>
  <c r="I300" i="2"/>
  <c r="H300" i="2"/>
  <c r="U299" i="2"/>
  <c r="T299" i="2"/>
  <c r="Q299" i="2"/>
  <c r="P299" i="2"/>
  <c r="O299" i="2"/>
  <c r="R299" i="2" s="1"/>
  <c r="N299" i="2"/>
  <c r="M299" i="2"/>
  <c r="J299" i="2"/>
  <c r="K299" i="2" s="1"/>
  <c r="L299" i="2" s="1"/>
  <c r="I299" i="2"/>
  <c r="H299" i="2"/>
  <c r="U298" i="2"/>
  <c r="T298" i="2"/>
  <c r="Q298" i="2"/>
  <c r="P298" i="2"/>
  <c r="O298" i="2"/>
  <c r="N298" i="2"/>
  <c r="M298" i="2"/>
  <c r="J298" i="2"/>
  <c r="K298" i="2" s="1"/>
  <c r="L298" i="2" s="1"/>
  <c r="I298" i="2"/>
  <c r="H298" i="2"/>
  <c r="U297" i="2"/>
  <c r="T297" i="2"/>
  <c r="Q297" i="2"/>
  <c r="P297" i="2"/>
  <c r="O297" i="2"/>
  <c r="N297" i="2"/>
  <c r="M297" i="2"/>
  <c r="J297" i="2"/>
  <c r="K297" i="2" s="1"/>
  <c r="L297" i="2" s="1"/>
  <c r="I297" i="2"/>
  <c r="H297" i="2"/>
  <c r="U296" i="2"/>
  <c r="T296" i="2"/>
  <c r="Q296" i="2"/>
  <c r="P296" i="2"/>
  <c r="O296" i="2"/>
  <c r="R296" i="2" s="1"/>
  <c r="N296" i="2"/>
  <c r="M296" i="2"/>
  <c r="J296" i="2"/>
  <c r="K296" i="2" s="1"/>
  <c r="L296" i="2" s="1"/>
  <c r="I296" i="2"/>
  <c r="H296" i="2"/>
  <c r="U295" i="2"/>
  <c r="T295" i="2"/>
  <c r="Q295" i="2"/>
  <c r="P295" i="2"/>
  <c r="O295" i="2"/>
  <c r="R295" i="2" s="1"/>
  <c r="N295" i="2"/>
  <c r="M295" i="2"/>
  <c r="J295" i="2"/>
  <c r="K295" i="2" s="1"/>
  <c r="L295" i="2" s="1"/>
  <c r="I295" i="2"/>
  <c r="H295" i="2"/>
  <c r="U294" i="2"/>
  <c r="T294" i="2"/>
  <c r="Q294" i="2"/>
  <c r="P294" i="2"/>
  <c r="O294" i="2"/>
  <c r="N294" i="2"/>
  <c r="M294" i="2"/>
  <c r="J294" i="2"/>
  <c r="K294" i="2" s="1"/>
  <c r="L294" i="2" s="1"/>
  <c r="I294" i="2"/>
  <c r="H294" i="2"/>
  <c r="U293" i="2"/>
  <c r="T293" i="2"/>
  <c r="V293" i="2" s="1"/>
  <c r="Q293" i="2"/>
  <c r="P293" i="2"/>
  <c r="O293" i="2"/>
  <c r="R293" i="2" s="1"/>
  <c r="N293" i="2"/>
  <c r="M293" i="2"/>
  <c r="J293" i="2"/>
  <c r="K293" i="2" s="1"/>
  <c r="L293" i="2" s="1"/>
  <c r="I293" i="2"/>
  <c r="H293" i="2"/>
  <c r="U292" i="2"/>
  <c r="T292" i="2"/>
  <c r="Q292" i="2"/>
  <c r="P292" i="2"/>
  <c r="O292" i="2"/>
  <c r="N292" i="2"/>
  <c r="M292" i="2"/>
  <c r="J292" i="2"/>
  <c r="K292" i="2" s="1"/>
  <c r="L292" i="2" s="1"/>
  <c r="I292" i="2"/>
  <c r="H292" i="2"/>
  <c r="U291" i="2"/>
  <c r="T291" i="2"/>
  <c r="Q291" i="2"/>
  <c r="P291" i="2"/>
  <c r="O291" i="2"/>
  <c r="N291" i="2"/>
  <c r="M291" i="2"/>
  <c r="J291" i="2"/>
  <c r="K291" i="2" s="1"/>
  <c r="L291" i="2" s="1"/>
  <c r="I291" i="2"/>
  <c r="H291" i="2"/>
  <c r="U290" i="2"/>
  <c r="T290" i="2"/>
  <c r="Q290" i="2"/>
  <c r="P290" i="2"/>
  <c r="O290" i="2"/>
  <c r="N290" i="2"/>
  <c r="M290" i="2"/>
  <c r="J290" i="2"/>
  <c r="K290" i="2" s="1"/>
  <c r="L290" i="2" s="1"/>
  <c r="I290" i="2"/>
  <c r="H290" i="2"/>
  <c r="U289" i="2"/>
  <c r="T289" i="2"/>
  <c r="Q289" i="2"/>
  <c r="P289" i="2"/>
  <c r="O289" i="2"/>
  <c r="N289" i="2"/>
  <c r="M289" i="2"/>
  <c r="J289" i="2"/>
  <c r="K289" i="2" s="1"/>
  <c r="L289" i="2" s="1"/>
  <c r="I289" i="2"/>
  <c r="H289" i="2"/>
  <c r="U288" i="2"/>
  <c r="T288" i="2"/>
  <c r="Q288" i="2"/>
  <c r="P288" i="2"/>
  <c r="O288" i="2"/>
  <c r="N288" i="2"/>
  <c r="M288" i="2"/>
  <c r="J288" i="2"/>
  <c r="K288" i="2" s="1"/>
  <c r="L288" i="2" s="1"/>
  <c r="I288" i="2"/>
  <c r="H288" i="2"/>
  <c r="U287" i="2"/>
  <c r="T287" i="2"/>
  <c r="Q287" i="2"/>
  <c r="P287" i="2"/>
  <c r="O287" i="2"/>
  <c r="R287" i="2" s="1"/>
  <c r="N287" i="2"/>
  <c r="M287" i="2"/>
  <c r="J287" i="2"/>
  <c r="K287" i="2" s="1"/>
  <c r="L287" i="2" s="1"/>
  <c r="I287" i="2"/>
  <c r="H287" i="2"/>
  <c r="U286" i="2"/>
  <c r="T286" i="2"/>
  <c r="Q286" i="2"/>
  <c r="P286" i="2"/>
  <c r="O286" i="2"/>
  <c r="N286" i="2"/>
  <c r="M286" i="2"/>
  <c r="J286" i="2"/>
  <c r="K286" i="2" s="1"/>
  <c r="L286" i="2" s="1"/>
  <c r="I286" i="2"/>
  <c r="H286" i="2"/>
  <c r="U285" i="2"/>
  <c r="T285" i="2"/>
  <c r="Q285" i="2"/>
  <c r="P285" i="2"/>
  <c r="O285" i="2"/>
  <c r="R285" i="2" s="1"/>
  <c r="N285" i="2"/>
  <c r="M285" i="2"/>
  <c r="J285" i="2"/>
  <c r="K285" i="2" s="1"/>
  <c r="L285" i="2" s="1"/>
  <c r="I285" i="2"/>
  <c r="H285" i="2"/>
  <c r="U284" i="2"/>
  <c r="T284" i="2"/>
  <c r="Q284" i="2"/>
  <c r="P284" i="2"/>
  <c r="O284" i="2"/>
  <c r="N284" i="2"/>
  <c r="M284" i="2"/>
  <c r="J284" i="2"/>
  <c r="K284" i="2" s="1"/>
  <c r="L284" i="2" s="1"/>
  <c r="I284" i="2"/>
  <c r="H284" i="2"/>
  <c r="U283" i="2"/>
  <c r="T283" i="2"/>
  <c r="Q283" i="2"/>
  <c r="P283" i="2"/>
  <c r="O283" i="2"/>
  <c r="R283" i="2" s="1"/>
  <c r="N283" i="2"/>
  <c r="M283" i="2"/>
  <c r="J283" i="2"/>
  <c r="K283" i="2" s="1"/>
  <c r="L283" i="2" s="1"/>
  <c r="I283" i="2"/>
  <c r="H283" i="2"/>
  <c r="U282" i="2"/>
  <c r="T282" i="2"/>
  <c r="Q282" i="2"/>
  <c r="P282" i="2"/>
  <c r="O282" i="2"/>
  <c r="N282" i="2"/>
  <c r="M282" i="2"/>
  <c r="J282" i="2"/>
  <c r="K282" i="2" s="1"/>
  <c r="L282" i="2" s="1"/>
  <c r="I282" i="2"/>
  <c r="H282" i="2"/>
  <c r="U281" i="2"/>
  <c r="T281" i="2"/>
  <c r="Q281" i="2"/>
  <c r="P281" i="2"/>
  <c r="O281" i="2"/>
  <c r="N281" i="2"/>
  <c r="M281" i="2"/>
  <c r="J281" i="2"/>
  <c r="K281" i="2" s="1"/>
  <c r="L281" i="2" s="1"/>
  <c r="I281" i="2"/>
  <c r="H281" i="2"/>
  <c r="U280" i="2"/>
  <c r="T280" i="2"/>
  <c r="Q280" i="2"/>
  <c r="P280" i="2"/>
  <c r="O280" i="2"/>
  <c r="N280" i="2"/>
  <c r="M280" i="2"/>
  <c r="J280" i="2"/>
  <c r="K280" i="2" s="1"/>
  <c r="L280" i="2" s="1"/>
  <c r="I280" i="2"/>
  <c r="H280" i="2"/>
  <c r="U279" i="2"/>
  <c r="T279" i="2"/>
  <c r="Q279" i="2"/>
  <c r="P279" i="2"/>
  <c r="O279" i="2"/>
  <c r="R279" i="2" s="1"/>
  <c r="N279" i="2"/>
  <c r="M279" i="2"/>
  <c r="J279" i="2"/>
  <c r="K279" i="2" s="1"/>
  <c r="L279" i="2" s="1"/>
  <c r="I279" i="2"/>
  <c r="H279" i="2"/>
  <c r="U278" i="2"/>
  <c r="T278" i="2"/>
  <c r="Q278" i="2"/>
  <c r="P278" i="2"/>
  <c r="O278" i="2"/>
  <c r="N278" i="2"/>
  <c r="M278" i="2"/>
  <c r="J278" i="2"/>
  <c r="K278" i="2" s="1"/>
  <c r="L278" i="2" s="1"/>
  <c r="I278" i="2"/>
  <c r="H278" i="2"/>
  <c r="U277" i="2"/>
  <c r="T277" i="2"/>
  <c r="Q277" i="2"/>
  <c r="P277" i="2"/>
  <c r="O277" i="2"/>
  <c r="R277" i="2" s="1"/>
  <c r="N277" i="2"/>
  <c r="M277" i="2"/>
  <c r="J277" i="2"/>
  <c r="K277" i="2" s="1"/>
  <c r="L277" i="2" s="1"/>
  <c r="I277" i="2"/>
  <c r="H277" i="2"/>
  <c r="U276" i="2"/>
  <c r="T276" i="2"/>
  <c r="Q276" i="2"/>
  <c r="P276" i="2"/>
  <c r="O276" i="2"/>
  <c r="N276" i="2"/>
  <c r="M276" i="2"/>
  <c r="J276" i="2"/>
  <c r="K276" i="2" s="1"/>
  <c r="L276" i="2" s="1"/>
  <c r="I276" i="2"/>
  <c r="H276" i="2"/>
  <c r="U275" i="2"/>
  <c r="T275" i="2"/>
  <c r="Q275" i="2"/>
  <c r="P275" i="2"/>
  <c r="O275" i="2"/>
  <c r="R275" i="2" s="1"/>
  <c r="N275" i="2"/>
  <c r="M275" i="2"/>
  <c r="J275" i="2"/>
  <c r="K275" i="2" s="1"/>
  <c r="L275" i="2" s="1"/>
  <c r="I275" i="2"/>
  <c r="H275" i="2"/>
  <c r="U274" i="2"/>
  <c r="T274" i="2"/>
  <c r="Q274" i="2"/>
  <c r="P274" i="2"/>
  <c r="O274" i="2"/>
  <c r="N274" i="2"/>
  <c r="M274" i="2"/>
  <c r="J274" i="2"/>
  <c r="K274" i="2" s="1"/>
  <c r="L274" i="2" s="1"/>
  <c r="I274" i="2"/>
  <c r="H274" i="2"/>
  <c r="U273" i="2"/>
  <c r="T273" i="2"/>
  <c r="Q273" i="2"/>
  <c r="P273" i="2"/>
  <c r="O273" i="2"/>
  <c r="N273" i="2"/>
  <c r="M273" i="2"/>
  <c r="J273" i="2"/>
  <c r="K273" i="2" s="1"/>
  <c r="L273" i="2" s="1"/>
  <c r="I273" i="2"/>
  <c r="H273" i="2"/>
  <c r="U272" i="2"/>
  <c r="T272" i="2"/>
  <c r="Q272" i="2"/>
  <c r="P272" i="2"/>
  <c r="O272" i="2"/>
  <c r="N272" i="2"/>
  <c r="M272" i="2"/>
  <c r="J272" i="2"/>
  <c r="K272" i="2" s="1"/>
  <c r="L272" i="2" s="1"/>
  <c r="I272" i="2"/>
  <c r="H272" i="2"/>
  <c r="U271" i="2"/>
  <c r="T271" i="2"/>
  <c r="Q271" i="2"/>
  <c r="P271" i="2"/>
  <c r="O271" i="2"/>
  <c r="R271" i="2" s="1"/>
  <c r="N271" i="2"/>
  <c r="M271" i="2"/>
  <c r="J271" i="2"/>
  <c r="K271" i="2" s="1"/>
  <c r="L271" i="2" s="1"/>
  <c r="I271" i="2"/>
  <c r="H271" i="2"/>
  <c r="U270" i="2"/>
  <c r="T270" i="2"/>
  <c r="Q270" i="2"/>
  <c r="P270" i="2"/>
  <c r="O270" i="2"/>
  <c r="N270" i="2"/>
  <c r="M270" i="2"/>
  <c r="J270" i="2"/>
  <c r="K270" i="2" s="1"/>
  <c r="L270" i="2" s="1"/>
  <c r="I270" i="2"/>
  <c r="H270" i="2"/>
  <c r="U269" i="2"/>
  <c r="T269" i="2"/>
  <c r="Q269" i="2"/>
  <c r="P269" i="2"/>
  <c r="O269" i="2"/>
  <c r="R269" i="2" s="1"/>
  <c r="N269" i="2"/>
  <c r="M269" i="2"/>
  <c r="J269" i="2"/>
  <c r="K269" i="2" s="1"/>
  <c r="L269" i="2" s="1"/>
  <c r="I269" i="2"/>
  <c r="H269" i="2"/>
  <c r="U268" i="2"/>
  <c r="T268" i="2"/>
  <c r="Q268" i="2"/>
  <c r="P268" i="2"/>
  <c r="O268" i="2"/>
  <c r="N268" i="2"/>
  <c r="M268" i="2"/>
  <c r="J268" i="2"/>
  <c r="K268" i="2" s="1"/>
  <c r="L268" i="2" s="1"/>
  <c r="I268" i="2"/>
  <c r="H268" i="2"/>
  <c r="U267" i="2"/>
  <c r="T267" i="2"/>
  <c r="Q267" i="2"/>
  <c r="P267" i="2"/>
  <c r="O267" i="2"/>
  <c r="R267" i="2" s="1"/>
  <c r="N267" i="2"/>
  <c r="M267" i="2"/>
  <c r="J267" i="2"/>
  <c r="K267" i="2" s="1"/>
  <c r="L267" i="2" s="1"/>
  <c r="I267" i="2"/>
  <c r="H267" i="2"/>
  <c r="U266" i="2"/>
  <c r="T266" i="2"/>
  <c r="Q266" i="2"/>
  <c r="P266" i="2"/>
  <c r="O266" i="2"/>
  <c r="R266" i="2" s="1"/>
  <c r="N266" i="2"/>
  <c r="M266" i="2"/>
  <c r="J266" i="2"/>
  <c r="K266" i="2" s="1"/>
  <c r="L266" i="2" s="1"/>
  <c r="I266" i="2"/>
  <c r="H266" i="2"/>
  <c r="U265" i="2"/>
  <c r="T265" i="2"/>
  <c r="Q265" i="2"/>
  <c r="P265" i="2"/>
  <c r="O265" i="2"/>
  <c r="N265" i="2"/>
  <c r="M265" i="2"/>
  <c r="J265" i="2"/>
  <c r="K265" i="2" s="1"/>
  <c r="L265" i="2" s="1"/>
  <c r="I265" i="2"/>
  <c r="H265" i="2"/>
  <c r="U264" i="2"/>
  <c r="T264" i="2"/>
  <c r="Q264" i="2"/>
  <c r="P264" i="2"/>
  <c r="O264" i="2"/>
  <c r="R264" i="2" s="1"/>
  <c r="N264" i="2"/>
  <c r="M264" i="2"/>
  <c r="J264" i="2"/>
  <c r="K264" i="2" s="1"/>
  <c r="L264" i="2" s="1"/>
  <c r="I264" i="2"/>
  <c r="H264" i="2"/>
  <c r="U263" i="2"/>
  <c r="T263" i="2"/>
  <c r="Q263" i="2"/>
  <c r="P263" i="2"/>
  <c r="O263" i="2"/>
  <c r="R263" i="2" s="1"/>
  <c r="N263" i="2"/>
  <c r="M263" i="2"/>
  <c r="J263" i="2"/>
  <c r="K263" i="2" s="1"/>
  <c r="L263" i="2" s="1"/>
  <c r="I263" i="2"/>
  <c r="H263" i="2"/>
  <c r="U262" i="2"/>
  <c r="T262" i="2"/>
  <c r="Q262" i="2"/>
  <c r="P262" i="2"/>
  <c r="O262" i="2"/>
  <c r="R262" i="2" s="1"/>
  <c r="N262" i="2"/>
  <c r="M262" i="2"/>
  <c r="J262" i="2"/>
  <c r="K262" i="2" s="1"/>
  <c r="L262" i="2" s="1"/>
  <c r="I262" i="2"/>
  <c r="H262" i="2"/>
  <c r="U261" i="2"/>
  <c r="T261" i="2"/>
  <c r="Q261" i="2"/>
  <c r="P261" i="2"/>
  <c r="O261" i="2"/>
  <c r="R261" i="2" s="1"/>
  <c r="N261" i="2"/>
  <c r="M261" i="2"/>
  <c r="J261" i="2"/>
  <c r="K261" i="2" s="1"/>
  <c r="L261" i="2" s="1"/>
  <c r="I261" i="2"/>
  <c r="H261" i="2"/>
  <c r="U260" i="2"/>
  <c r="T260" i="2"/>
  <c r="Q260" i="2"/>
  <c r="P260" i="2"/>
  <c r="O260" i="2"/>
  <c r="N260" i="2"/>
  <c r="M260" i="2"/>
  <c r="J260" i="2"/>
  <c r="K260" i="2" s="1"/>
  <c r="L260" i="2" s="1"/>
  <c r="I260" i="2"/>
  <c r="H260" i="2"/>
  <c r="U259" i="2"/>
  <c r="T259" i="2"/>
  <c r="Q259" i="2"/>
  <c r="P259" i="2"/>
  <c r="O259" i="2"/>
  <c r="N259" i="2"/>
  <c r="M259" i="2"/>
  <c r="J259" i="2"/>
  <c r="K259" i="2" s="1"/>
  <c r="L259" i="2" s="1"/>
  <c r="I259" i="2"/>
  <c r="H259" i="2"/>
  <c r="U258" i="2"/>
  <c r="T258" i="2"/>
  <c r="Q258" i="2"/>
  <c r="P258" i="2"/>
  <c r="O258" i="2"/>
  <c r="N258" i="2"/>
  <c r="M258" i="2"/>
  <c r="J258" i="2"/>
  <c r="K258" i="2" s="1"/>
  <c r="L258" i="2" s="1"/>
  <c r="I258" i="2"/>
  <c r="H258" i="2"/>
  <c r="U257" i="2"/>
  <c r="T257" i="2"/>
  <c r="Q257" i="2"/>
  <c r="P257" i="2"/>
  <c r="O257" i="2"/>
  <c r="R257" i="2" s="1"/>
  <c r="N257" i="2"/>
  <c r="M257" i="2"/>
  <c r="J257" i="2"/>
  <c r="K257" i="2" s="1"/>
  <c r="L257" i="2" s="1"/>
  <c r="I257" i="2"/>
  <c r="H257" i="2"/>
  <c r="U256" i="2"/>
  <c r="T256" i="2"/>
  <c r="Q256" i="2"/>
  <c r="P256" i="2"/>
  <c r="O256" i="2"/>
  <c r="N256" i="2"/>
  <c r="M256" i="2"/>
  <c r="J256" i="2"/>
  <c r="K256" i="2" s="1"/>
  <c r="L256" i="2" s="1"/>
  <c r="I256" i="2"/>
  <c r="H256" i="2"/>
  <c r="U255" i="2"/>
  <c r="T255" i="2"/>
  <c r="Q255" i="2"/>
  <c r="P255" i="2"/>
  <c r="O255" i="2"/>
  <c r="N255" i="2"/>
  <c r="M255" i="2"/>
  <c r="J255" i="2"/>
  <c r="K255" i="2" s="1"/>
  <c r="L255" i="2" s="1"/>
  <c r="I255" i="2"/>
  <c r="H255" i="2"/>
  <c r="U254" i="2"/>
  <c r="T254" i="2"/>
  <c r="Q254" i="2"/>
  <c r="P254" i="2"/>
  <c r="O254" i="2"/>
  <c r="N254" i="2"/>
  <c r="M254" i="2"/>
  <c r="J254" i="2"/>
  <c r="K254" i="2" s="1"/>
  <c r="L254" i="2" s="1"/>
  <c r="I254" i="2"/>
  <c r="H254" i="2"/>
  <c r="U253" i="2"/>
  <c r="T253" i="2"/>
  <c r="Q253" i="2"/>
  <c r="P253" i="2"/>
  <c r="O253" i="2"/>
  <c r="R253" i="2" s="1"/>
  <c r="N253" i="2"/>
  <c r="M253" i="2"/>
  <c r="J253" i="2"/>
  <c r="K253" i="2" s="1"/>
  <c r="L253" i="2" s="1"/>
  <c r="I253" i="2"/>
  <c r="H253" i="2"/>
  <c r="U252" i="2"/>
  <c r="T252" i="2"/>
  <c r="Q252" i="2"/>
  <c r="P252" i="2"/>
  <c r="O252" i="2"/>
  <c r="N252" i="2"/>
  <c r="M252" i="2"/>
  <c r="J252" i="2"/>
  <c r="K252" i="2" s="1"/>
  <c r="L252" i="2" s="1"/>
  <c r="I252" i="2"/>
  <c r="H252" i="2"/>
  <c r="U251" i="2"/>
  <c r="T251" i="2"/>
  <c r="Q251" i="2"/>
  <c r="P251" i="2"/>
  <c r="O251" i="2"/>
  <c r="R251" i="2" s="1"/>
  <c r="N251" i="2"/>
  <c r="M251" i="2"/>
  <c r="J251" i="2"/>
  <c r="K251" i="2" s="1"/>
  <c r="L251" i="2" s="1"/>
  <c r="I251" i="2"/>
  <c r="H251" i="2"/>
  <c r="U250" i="2"/>
  <c r="T250" i="2"/>
  <c r="Q250" i="2"/>
  <c r="P250" i="2"/>
  <c r="O250" i="2"/>
  <c r="N250" i="2"/>
  <c r="M250" i="2"/>
  <c r="J250" i="2"/>
  <c r="K250" i="2" s="1"/>
  <c r="L250" i="2" s="1"/>
  <c r="I250" i="2"/>
  <c r="H250" i="2"/>
  <c r="U249" i="2"/>
  <c r="T249" i="2"/>
  <c r="Q249" i="2"/>
  <c r="P249" i="2"/>
  <c r="O249" i="2"/>
  <c r="R249" i="2" s="1"/>
  <c r="N249" i="2"/>
  <c r="M249" i="2"/>
  <c r="J249" i="2"/>
  <c r="K249" i="2" s="1"/>
  <c r="L249" i="2" s="1"/>
  <c r="I249" i="2"/>
  <c r="H249" i="2"/>
  <c r="U248" i="2"/>
  <c r="T248" i="2"/>
  <c r="Q248" i="2"/>
  <c r="P248" i="2"/>
  <c r="O248" i="2"/>
  <c r="R248" i="2" s="1"/>
  <c r="N248" i="2"/>
  <c r="M248" i="2"/>
  <c r="J248" i="2"/>
  <c r="K248" i="2" s="1"/>
  <c r="L248" i="2" s="1"/>
  <c r="I248" i="2"/>
  <c r="H248" i="2"/>
  <c r="U247" i="2"/>
  <c r="T247" i="2"/>
  <c r="Q247" i="2"/>
  <c r="P247" i="2"/>
  <c r="O247" i="2"/>
  <c r="R247" i="2" s="1"/>
  <c r="N247" i="2"/>
  <c r="M247" i="2"/>
  <c r="J247" i="2"/>
  <c r="K247" i="2" s="1"/>
  <c r="L247" i="2" s="1"/>
  <c r="I247" i="2"/>
  <c r="H247" i="2"/>
  <c r="U246" i="2"/>
  <c r="T246" i="2"/>
  <c r="Q246" i="2"/>
  <c r="P246" i="2"/>
  <c r="O246" i="2"/>
  <c r="N246" i="2"/>
  <c r="M246" i="2"/>
  <c r="J246" i="2"/>
  <c r="K246" i="2" s="1"/>
  <c r="L246" i="2" s="1"/>
  <c r="I246" i="2"/>
  <c r="H246" i="2"/>
  <c r="U245" i="2"/>
  <c r="T245" i="2"/>
  <c r="Q245" i="2"/>
  <c r="P245" i="2"/>
  <c r="O245" i="2"/>
  <c r="R245" i="2" s="1"/>
  <c r="N245" i="2"/>
  <c r="M245" i="2"/>
  <c r="J245" i="2"/>
  <c r="K245" i="2" s="1"/>
  <c r="L245" i="2" s="1"/>
  <c r="I245" i="2"/>
  <c r="H245" i="2"/>
  <c r="U244" i="2"/>
  <c r="T244" i="2"/>
  <c r="Q244" i="2"/>
  <c r="P244" i="2"/>
  <c r="O244" i="2"/>
  <c r="R244" i="2" s="1"/>
  <c r="N244" i="2"/>
  <c r="M244" i="2"/>
  <c r="J244" i="2"/>
  <c r="K244" i="2" s="1"/>
  <c r="L244" i="2" s="1"/>
  <c r="I244" i="2"/>
  <c r="H244" i="2"/>
  <c r="U243" i="2"/>
  <c r="T243" i="2"/>
  <c r="Q243" i="2"/>
  <c r="P243" i="2"/>
  <c r="O243" i="2"/>
  <c r="R243" i="2" s="1"/>
  <c r="N243" i="2"/>
  <c r="M243" i="2"/>
  <c r="J243" i="2"/>
  <c r="K243" i="2" s="1"/>
  <c r="L243" i="2" s="1"/>
  <c r="I243" i="2"/>
  <c r="H243" i="2"/>
  <c r="U242" i="2"/>
  <c r="T242" i="2"/>
  <c r="Q242" i="2"/>
  <c r="P242" i="2"/>
  <c r="O242" i="2"/>
  <c r="N242" i="2"/>
  <c r="M242" i="2"/>
  <c r="J242" i="2"/>
  <c r="K242" i="2" s="1"/>
  <c r="L242" i="2" s="1"/>
  <c r="I242" i="2"/>
  <c r="H242" i="2"/>
  <c r="U241" i="2"/>
  <c r="T241" i="2"/>
  <c r="Q241" i="2"/>
  <c r="P241" i="2"/>
  <c r="O241" i="2"/>
  <c r="R241" i="2" s="1"/>
  <c r="N241" i="2"/>
  <c r="M241" i="2"/>
  <c r="J241" i="2"/>
  <c r="K241" i="2" s="1"/>
  <c r="L241" i="2" s="1"/>
  <c r="I241" i="2"/>
  <c r="H241" i="2"/>
  <c r="U240" i="2"/>
  <c r="T240" i="2"/>
  <c r="Q240" i="2"/>
  <c r="P240" i="2"/>
  <c r="O240" i="2"/>
  <c r="N240" i="2"/>
  <c r="M240" i="2"/>
  <c r="J240" i="2"/>
  <c r="K240" i="2" s="1"/>
  <c r="L240" i="2" s="1"/>
  <c r="I240" i="2"/>
  <c r="H240" i="2"/>
  <c r="U239" i="2"/>
  <c r="T239" i="2"/>
  <c r="Q239" i="2"/>
  <c r="P239" i="2"/>
  <c r="O239" i="2"/>
  <c r="R239" i="2" s="1"/>
  <c r="N239" i="2"/>
  <c r="M239" i="2"/>
  <c r="J239" i="2"/>
  <c r="K239" i="2" s="1"/>
  <c r="L239" i="2" s="1"/>
  <c r="I239" i="2"/>
  <c r="H239" i="2"/>
  <c r="U238" i="2"/>
  <c r="T238" i="2"/>
  <c r="Q238" i="2"/>
  <c r="P238" i="2"/>
  <c r="O238" i="2"/>
  <c r="N238" i="2"/>
  <c r="M238" i="2"/>
  <c r="J238" i="2"/>
  <c r="K238" i="2" s="1"/>
  <c r="L238" i="2" s="1"/>
  <c r="I238" i="2"/>
  <c r="H238" i="2"/>
  <c r="U237" i="2"/>
  <c r="T237" i="2"/>
  <c r="Q237" i="2"/>
  <c r="P237" i="2"/>
  <c r="O237" i="2"/>
  <c r="R237" i="2" s="1"/>
  <c r="N237" i="2"/>
  <c r="M237" i="2"/>
  <c r="J237" i="2"/>
  <c r="K237" i="2" s="1"/>
  <c r="L237" i="2" s="1"/>
  <c r="I237" i="2"/>
  <c r="H237" i="2"/>
  <c r="U236" i="2"/>
  <c r="T236" i="2"/>
  <c r="Q236" i="2"/>
  <c r="P236" i="2"/>
  <c r="O236" i="2"/>
  <c r="N236" i="2"/>
  <c r="M236" i="2"/>
  <c r="J236" i="2"/>
  <c r="K236" i="2" s="1"/>
  <c r="L236" i="2" s="1"/>
  <c r="I236" i="2"/>
  <c r="H236" i="2"/>
  <c r="U235" i="2"/>
  <c r="T235" i="2"/>
  <c r="Q235" i="2"/>
  <c r="P235" i="2"/>
  <c r="O235" i="2"/>
  <c r="R235" i="2" s="1"/>
  <c r="N235" i="2"/>
  <c r="M235" i="2"/>
  <c r="J235" i="2"/>
  <c r="K235" i="2" s="1"/>
  <c r="L235" i="2" s="1"/>
  <c r="I235" i="2"/>
  <c r="H235" i="2"/>
  <c r="U234" i="2"/>
  <c r="T234" i="2"/>
  <c r="Q234" i="2"/>
  <c r="P234" i="2"/>
  <c r="O234" i="2"/>
  <c r="N234" i="2"/>
  <c r="M234" i="2"/>
  <c r="J234" i="2"/>
  <c r="K234" i="2" s="1"/>
  <c r="L234" i="2" s="1"/>
  <c r="I234" i="2"/>
  <c r="H234" i="2"/>
  <c r="U233" i="2"/>
  <c r="T233" i="2"/>
  <c r="Q233" i="2"/>
  <c r="P233" i="2"/>
  <c r="O233" i="2"/>
  <c r="R233" i="2" s="1"/>
  <c r="N233" i="2"/>
  <c r="M233" i="2"/>
  <c r="J233" i="2"/>
  <c r="K233" i="2" s="1"/>
  <c r="L233" i="2" s="1"/>
  <c r="I233" i="2"/>
  <c r="H233" i="2"/>
  <c r="U232" i="2"/>
  <c r="T232" i="2"/>
  <c r="Q232" i="2"/>
  <c r="P232" i="2"/>
  <c r="O232" i="2"/>
  <c r="N232" i="2"/>
  <c r="M232" i="2"/>
  <c r="J232" i="2"/>
  <c r="K232" i="2" s="1"/>
  <c r="L232" i="2" s="1"/>
  <c r="I232" i="2"/>
  <c r="H232" i="2"/>
  <c r="U231" i="2"/>
  <c r="T231" i="2"/>
  <c r="Q231" i="2"/>
  <c r="P231" i="2"/>
  <c r="O231" i="2"/>
  <c r="R231" i="2" s="1"/>
  <c r="N231" i="2"/>
  <c r="M231" i="2"/>
  <c r="J231" i="2"/>
  <c r="K231" i="2" s="1"/>
  <c r="L231" i="2" s="1"/>
  <c r="I231" i="2"/>
  <c r="H231" i="2"/>
  <c r="U230" i="2"/>
  <c r="T230" i="2"/>
  <c r="Q230" i="2"/>
  <c r="P230" i="2"/>
  <c r="O230" i="2"/>
  <c r="N230" i="2"/>
  <c r="M230" i="2"/>
  <c r="J230" i="2"/>
  <c r="K230" i="2" s="1"/>
  <c r="L230" i="2" s="1"/>
  <c r="I230" i="2"/>
  <c r="H230" i="2"/>
  <c r="U229" i="2"/>
  <c r="T229" i="2"/>
  <c r="Q229" i="2"/>
  <c r="P229" i="2"/>
  <c r="O229" i="2"/>
  <c r="R229" i="2" s="1"/>
  <c r="N229" i="2"/>
  <c r="M229" i="2"/>
  <c r="J229" i="2"/>
  <c r="K229" i="2" s="1"/>
  <c r="L229" i="2" s="1"/>
  <c r="I229" i="2"/>
  <c r="H229" i="2"/>
  <c r="U228" i="2"/>
  <c r="T228" i="2"/>
  <c r="Q228" i="2"/>
  <c r="P228" i="2"/>
  <c r="O228" i="2"/>
  <c r="R228" i="2" s="1"/>
  <c r="N228" i="2"/>
  <c r="M228" i="2"/>
  <c r="J228" i="2"/>
  <c r="K228" i="2" s="1"/>
  <c r="L228" i="2" s="1"/>
  <c r="I228" i="2"/>
  <c r="H228" i="2"/>
  <c r="U227" i="2"/>
  <c r="T227" i="2"/>
  <c r="Q227" i="2"/>
  <c r="P227" i="2"/>
  <c r="O227" i="2"/>
  <c r="R227" i="2" s="1"/>
  <c r="N227" i="2"/>
  <c r="M227" i="2"/>
  <c r="J227" i="2"/>
  <c r="K227" i="2" s="1"/>
  <c r="L227" i="2" s="1"/>
  <c r="I227" i="2"/>
  <c r="H227" i="2"/>
  <c r="U226" i="2"/>
  <c r="T226" i="2"/>
  <c r="Q226" i="2"/>
  <c r="P226" i="2"/>
  <c r="O226" i="2"/>
  <c r="N226" i="2"/>
  <c r="M226" i="2"/>
  <c r="J226" i="2"/>
  <c r="K226" i="2" s="1"/>
  <c r="L226" i="2" s="1"/>
  <c r="I226" i="2"/>
  <c r="H226" i="2"/>
  <c r="U225" i="2"/>
  <c r="T225" i="2"/>
  <c r="Q225" i="2"/>
  <c r="P225" i="2"/>
  <c r="O225" i="2"/>
  <c r="R225" i="2" s="1"/>
  <c r="N225" i="2"/>
  <c r="M225" i="2"/>
  <c r="J225" i="2"/>
  <c r="K225" i="2" s="1"/>
  <c r="L225" i="2" s="1"/>
  <c r="I225" i="2"/>
  <c r="H225" i="2"/>
  <c r="U224" i="2"/>
  <c r="T224" i="2"/>
  <c r="Q224" i="2"/>
  <c r="P224" i="2"/>
  <c r="O224" i="2"/>
  <c r="R224" i="2" s="1"/>
  <c r="N224" i="2"/>
  <c r="M224" i="2"/>
  <c r="J224" i="2"/>
  <c r="K224" i="2" s="1"/>
  <c r="L224" i="2" s="1"/>
  <c r="I224" i="2"/>
  <c r="H224" i="2"/>
  <c r="U223" i="2"/>
  <c r="T223" i="2"/>
  <c r="Q223" i="2"/>
  <c r="P223" i="2"/>
  <c r="O223" i="2"/>
  <c r="R223" i="2" s="1"/>
  <c r="N223" i="2"/>
  <c r="M223" i="2"/>
  <c r="J223" i="2"/>
  <c r="K223" i="2" s="1"/>
  <c r="L223" i="2" s="1"/>
  <c r="I223" i="2"/>
  <c r="H223" i="2"/>
  <c r="U222" i="2"/>
  <c r="T222" i="2"/>
  <c r="Q222" i="2"/>
  <c r="P222" i="2"/>
  <c r="O222" i="2"/>
  <c r="N222" i="2"/>
  <c r="M222" i="2"/>
  <c r="J222" i="2"/>
  <c r="K222" i="2" s="1"/>
  <c r="L222" i="2" s="1"/>
  <c r="I222" i="2"/>
  <c r="H222" i="2"/>
  <c r="U221" i="2"/>
  <c r="T221" i="2"/>
  <c r="Q221" i="2"/>
  <c r="P221" i="2"/>
  <c r="O221" i="2"/>
  <c r="R221" i="2" s="1"/>
  <c r="N221" i="2"/>
  <c r="M221" i="2"/>
  <c r="J221" i="2"/>
  <c r="K221" i="2" s="1"/>
  <c r="L221" i="2" s="1"/>
  <c r="I221" i="2"/>
  <c r="H221" i="2"/>
  <c r="U220" i="2"/>
  <c r="T220" i="2"/>
  <c r="Q220" i="2"/>
  <c r="P220" i="2"/>
  <c r="O220" i="2"/>
  <c r="R220" i="2" s="1"/>
  <c r="N220" i="2"/>
  <c r="M220" i="2"/>
  <c r="J220" i="2"/>
  <c r="K220" i="2" s="1"/>
  <c r="L220" i="2" s="1"/>
  <c r="I220" i="2"/>
  <c r="H220" i="2"/>
  <c r="U219" i="2"/>
  <c r="T219" i="2"/>
  <c r="Q219" i="2"/>
  <c r="P219" i="2"/>
  <c r="O219" i="2"/>
  <c r="R219" i="2" s="1"/>
  <c r="N219" i="2"/>
  <c r="M219" i="2"/>
  <c r="J219" i="2"/>
  <c r="K219" i="2" s="1"/>
  <c r="L219" i="2" s="1"/>
  <c r="I219" i="2"/>
  <c r="H219" i="2"/>
  <c r="U218" i="2"/>
  <c r="T218" i="2"/>
  <c r="Q218" i="2"/>
  <c r="P218" i="2"/>
  <c r="O218" i="2"/>
  <c r="N218" i="2"/>
  <c r="M218" i="2"/>
  <c r="J218" i="2"/>
  <c r="K218" i="2" s="1"/>
  <c r="L218" i="2" s="1"/>
  <c r="I218" i="2"/>
  <c r="H218" i="2"/>
  <c r="U217" i="2"/>
  <c r="T217" i="2"/>
  <c r="Q217" i="2"/>
  <c r="P217" i="2"/>
  <c r="O217" i="2"/>
  <c r="R217" i="2" s="1"/>
  <c r="N217" i="2"/>
  <c r="M217" i="2"/>
  <c r="J217" i="2"/>
  <c r="K217" i="2" s="1"/>
  <c r="L217" i="2" s="1"/>
  <c r="I217" i="2"/>
  <c r="H217" i="2"/>
  <c r="U216" i="2"/>
  <c r="T216" i="2"/>
  <c r="Q216" i="2"/>
  <c r="P216" i="2"/>
  <c r="O216" i="2"/>
  <c r="N216" i="2"/>
  <c r="M216" i="2"/>
  <c r="J216" i="2"/>
  <c r="K216" i="2" s="1"/>
  <c r="L216" i="2" s="1"/>
  <c r="I216" i="2"/>
  <c r="H216" i="2"/>
  <c r="U215" i="2"/>
  <c r="T215" i="2"/>
  <c r="Q215" i="2"/>
  <c r="P215" i="2"/>
  <c r="O215" i="2"/>
  <c r="R215" i="2" s="1"/>
  <c r="N215" i="2"/>
  <c r="M215" i="2"/>
  <c r="J215" i="2"/>
  <c r="K215" i="2" s="1"/>
  <c r="L215" i="2" s="1"/>
  <c r="I215" i="2"/>
  <c r="H215" i="2"/>
  <c r="U214" i="2"/>
  <c r="T214" i="2"/>
  <c r="Q214" i="2"/>
  <c r="P214" i="2"/>
  <c r="O214" i="2"/>
  <c r="N214" i="2"/>
  <c r="M214" i="2"/>
  <c r="J214" i="2"/>
  <c r="K214" i="2" s="1"/>
  <c r="L214" i="2" s="1"/>
  <c r="I214" i="2"/>
  <c r="H214" i="2"/>
  <c r="U213" i="2"/>
  <c r="T213" i="2"/>
  <c r="Q213" i="2"/>
  <c r="P213" i="2"/>
  <c r="O213" i="2"/>
  <c r="R213" i="2" s="1"/>
  <c r="N213" i="2"/>
  <c r="M213" i="2"/>
  <c r="J213" i="2"/>
  <c r="K213" i="2" s="1"/>
  <c r="L213" i="2" s="1"/>
  <c r="I213" i="2"/>
  <c r="H213" i="2"/>
  <c r="U212" i="2"/>
  <c r="T212" i="2"/>
  <c r="Q212" i="2"/>
  <c r="P212" i="2"/>
  <c r="O212" i="2"/>
  <c r="N212" i="2"/>
  <c r="M212" i="2"/>
  <c r="J212" i="2"/>
  <c r="K212" i="2" s="1"/>
  <c r="L212" i="2" s="1"/>
  <c r="I212" i="2"/>
  <c r="H212" i="2"/>
  <c r="U211" i="2"/>
  <c r="T211" i="2"/>
  <c r="Q211" i="2"/>
  <c r="P211" i="2"/>
  <c r="O211" i="2"/>
  <c r="R211" i="2" s="1"/>
  <c r="N211" i="2"/>
  <c r="M211" i="2"/>
  <c r="J211" i="2"/>
  <c r="K211" i="2" s="1"/>
  <c r="L211" i="2" s="1"/>
  <c r="I211" i="2"/>
  <c r="H211" i="2"/>
  <c r="F211" i="2"/>
  <c r="U210" i="2"/>
  <c r="T210" i="2"/>
  <c r="Q210" i="2"/>
  <c r="P210" i="2"/>
  <c r="O210" i="2"/>
  <c r="N210" i="2"/>
  <c r="M210" i="2"/>
  <c r="J210" i="2"/>
  <c r="K210" i="2" s="1"/>
  <c r="L210" i="2" s="1"/>
  <c r="I210" i="2"/>
  <c r="H210" i="2"/>
  <c r="F210" i="2"/>
  <c r="U209" i="2"/>
  <c r="T209" i="2"/>
  <c r="Q209" i="2"/>
  <c r="P209" i="2"/>
  <c r="O209" i="2"/>
  <c r="R209" i="2" s="1"/>
  <c r="N209" i="2"/>
  <c r="M209" i="2"/>
  <c r="J209" i="2"/>
  <c r="K209" i="2" s="1"/>
  <c r="L209" i="2" s="1"/>
  <c r="I209" i="2"/>
  <c r="H209" i="2"/>
  <c r="F209" i="2"/>
  <c r="U208" i="2"/>
  <c r="T208" i="2"/>
  <c r="Q208" i="2"/>
  <c r="P208" i="2"/>
  <c r="O208" i="2"/>
  <c r="R208" i="2" s="1"/>
  <c r="N208" i="2"/>
  <c r="M208" i="2"/>
  <c r="J208" i="2"/>
  <c r="K208" i="2" s="1"/>
  <c r="L208" i="2" s="1"/>
  <c r="I208" i="2"/>
  <c r="H208" i="2"/>
  <c r="F208" i="2"/>
  <c r="U207" i="2"/>
  <c r="T207" i="2"/>
  <c r="Q207" i="2"/>
  <c r="P207" i="2"/>
  <c r="O207" i="2"/>
  <c r="N207" i="2"/>
  <c r="M207" i="2"/>
  <c r="J207" i="2"/>
  <c r="K207" i="2" s="1"/>
  <c r="L207" i="2" s="1"/>
  <c r="I207" i="2"/>
  <c r="H207" i="2"/>
  <c r="F207" i="2"/>
  <c r="U206" i="2"/>
  <c r="T206" i="2"/>
  <c r="Q206" i="2"/>
  <c r="P206" i="2"/>
  <c r="O206" i="2"/>
  <c r="R206" i="2" s="1"/>
  <c r="N206" i="2"/>
  <c r="M206" i="2"/>
  <c r="J206" i="2"/>
  <c r="K206" i="2" s="1"/>
  <c r="L206" i="2" s="1"/>
  <c r="I206" i="2"/>
  <c r="H206" i="2"/>
  <c r="F206" i="2"/>
  <c r="U205" i="2"/>
  <c r="T205" i="2"/>
  <c r="Q205" i="2"/>
  <c r="P205" i="2"/>
  <c r="O205" i="2"/>
  <c r="R205" i="2" s="1"/>
  <c r="N205" i="2"/>
  <c r="M205" i="2"/>
  <c r="J205" i="2"/>
  <c r="K205" i="2" s="1"/>
  <c r="L205" i="2" s="1"/>
  <c r="I205" i="2"/>
  <c r="H205" i="2"/>
  <c r="F205" i="2"/>
  <c r="U204" i="2"/>
  <c r="T204" i="2"/>
  <c r="Q204" i="2"/>
  <c r="P204" i="2"/>
  <c r="O204" i="2"/>
  <c r="N204" i="2"/>
  <c r="M204" i="2"/>
  <c r="J204" i="2"/>
  <c r="K204" i="2" s="1"/>
  <c r="L204" i="2" s="1"/>
  <c r="I204" i="2"/>
  <c r="H204" i="2"/>
  <c r="F204" i="2"/>
  <c r="U203" i="2"/>
  <c r="T203" i="2"/>
  <c r="Q203" i="2"/>
  <c r="P203" i="2"/>
  <c r="O203" i="2"/>
  <c r="R203" i="2" s="1"/>
  <c r="N203" i="2"/>
  <c r="M203" i="2"/>
  <c r="J203" i="2"/>
  <c r="K203" i="2" s="1"/>
  <c r="L203" i="2" s="1"/>
  <c r="I203" i="2"/>
  <c r="H203" i="2"/>
  <c r="F203" i="2"/>
  <c r="U202" i="2"/>
  <c r="T202" i="2"/>
  <c r="Q202" i="2"/>
  <c r="P202" i="2"/>
  <c r="O202" i="2"/>
  <c r="R202" i="2" s="1"/>
  <c r="N202" i="2"/>
  <c r="M202" i="2"/>
  <c r="J202" i="2"/>
  <c r="K202" i="2" s="1"/>
  <c r="L202" i="2" s="1"/>
  <c r="I202" i="2"/>
  <c r="H202" i="2"/>
  <c r="F202" i="2"/>
  <c r="U201" i="2"/>
  <c r="T201" i="2"/>
  <c r="Q201" i="2"/>
  <c r="P201" i="2"/>
  <c r="O201" i="2"/>
  <c r="N201" i="2"/>
  <c r="M201" i="2"/>
  <c r="J201" i="2"/>
  <c r="K201" i="2" s="1"/>
  <c r="L201" i="2" s="1"/>
  <c r="I201" i="2"/>
  <c r="H201" i="2"/>
  <c r="F201" i="2"/>
  <c r="U200" i="2"/>
  <c r="T200" i="2"/>
  <c r="Q200" i="2"/>
  <c r="P200" i="2"/>
  <c r="O200" i="2"/>
  <c r="R200" i="2" s="1"/>
  <c r="N200" i="2"/>
  <c r="M200" i="2"/>
  <c r="J200" i="2"/>
  <c r="K200" i="2" s="1"/>
  <c r="L200" i="2" s="1"/>
  <c r="I200" i="2"/>
  <c r="H200" i="2"/>
  <c r="F200" i="2"/>
  <c r="U199" i="2"/>
  <c r="T199" i="2"/>
  <c r="Q199" i="2"/>
  <c r="P199" i="2"/>
  <c r="O199" i="2"/>
  <c r="R199" i="2" s="1"/>
  <c r="N199" i="2"/>
  <c r="M199" i="2"/>
  <c r="J199" i="2"/>
  <c r="K199" i="2" s="1"/>
  <c r="L199" i="2" s="1"/>
  <c r="I199" i="2"/>
  <c r="H199" i="2"/>
  <c r="F199" i="2"/>
  <c r="U198" i="2"/>
  <c r="T198" i="2"/>
  <c r="Q198" i="2"/>
  <c r="P198" i="2"/>
  <c r="O198" i="2"/>
  <c r="N198" i="2"/>
  <c r="M198" i="2"/>
  <c r="J198" i="2"/>
  <c r="K198" i="2" s="1"/>
  <c r="L198" i="2" s="1"/>
  <c r="I198" i="2"/>
  <c r="H198" i="2"/>
  <c r="F198" i="2"/>
  <c r="U197" i="2"/>
  <c r="T197" i="2"/>
  <c r="Q197" i="2"/>
  <c r="P197" i="2"/>
  <c r="O197" i="2"/>
  <c r="R197" i="2" s="1"/>
  <c r="N197" i="2"/>
  <c r="M197" i="2"/>
  <c r="J197" i="2"/>
  <c r="K197" i="2" s="1"/>
  <c r="L197" i="2" s="1"/>
  <c r="I197" i="2"/>
  <c r="H197" i="2"/>
  <c r="F197" i="2"/>
  <c r="U196" i="2"/>
  <c r="T196" i="2"/>
  <c r="Q196" i="2"/>
  <c r="P196" i="2"/>
  <c r="O196" i="2"/>
  <c r="R196" i="2" s="1"/>
  <c r="N196" i="2"/>
  <c r="M196" i="2"/>
  <c r="J196" i="2"/>
  <c r="K196" i="2" s="1"/>
  <c r="L196" i="2" s="1"/>
  <c r="I196" i="2"/>
  <c r="H196" i="2"/>
  <c r="F196" i="2"/>
  <c r="U195" i="2"/>
  <c r="T195" i="2"/>
  <c r="Q195" i="2"/>
  <c r="P195" i="2"/>
  <c r="O195" i="2"/>
  <c r="N195" i="2"/>
  <c r="M195" i="2"/>
  <c r="J195" i="2"/>
  <c r="K195" i="2" s="1"/>
  <c r="L195" i="2" s="1"/>
  <c r="I195" i="2"/>
  <c r="H195" i="2"/>
  <c r="F195" i="2"/>
  <c r="U194" i="2"/>
  <c r="T194" i="2"/>
  <c r="Q194" i="2"/>
  <c r="P194" i="2"/>
  <c r="O194" i="2"/>
  <c r="R194" i="2" s="1"/>
  <c r="N194" i="2"/>
  <c r="M194" i="2"/>
  <c r="J194" i="2"/>
  <c r="K194" i="2" s="1"/>
  <c r="L194" i="2" s="1"/>
  <c r="I194" i="2"/>
  <c r="H194" i="2"/>
  <c r="F194" i="2"/>
  <c r="U193" i="2"/>
  <c r="T193" i="2"/>
  <c r="Q193" i="2"/>
  <c r="P193" i="2"/>
  <c r="O193" i="2"/>
  <c r="R193" i="2" s="1"/>
  <c r="N193" i="2"/>
  <c r="M193" i="2"/>
  <c r="J193" i="2"/>
  <c r="K193" i="2" s="1"/>
  <c r="L193" i="2" s="1"/>
  <c r="I193" i="2"/>
  <c r="H193" i="2"/>
  <c r="F193" i="2"/>
  <c r="U192" i="2"/>
  <c r="T192" i="2"/>
  <c r="Q192" i="2"/>
  <c r="P192" i="2"/>
  <c r="O192" i="2"/>
  <c r="N192" i="2"/>
  <c r="M192" i="2"/>
  <c r="J192" i="2"/>
  <c r="K192" i="2" s="1"/>
  <c r="L192" i="2" s="1"/>
  <c r="I192" i="2"/>
  <c r="H192" i="2"/>
  <c r="F192" i="2"/>
  <c r="U191" i="2"/>
  <c r="T191" i="2"/>
  <c r="Q191" i="2"/>
  <c r="P191" i="2"/>
  <c r="O191" i="2"/>
  <c r="R191" i="2" s="1"/>
  <c r="N191" i="2"/>
  <c r="M191" i="2"/>
  <c r="J191" i="2"/>
  <c r="K191" i="2" s="1"/>
  <c r="L191" i="2" s="1"/>
  <c r="I191" i="2"/>
  <c r="H191" i="2"/>
  <c r="F191" i="2"/>
  <c r="U190" i="2"/>
  <c r="T190" i="2"/>
  <c r="Q190" i="2"/>
  <c r="P190" i="2"/>
  <c r="O190" i="2"/>
  <c r="R190" i="2" s="1"/>
  <c r="N190" i="2"/>
  <c r="M190" i="2"/>
  <c r="J190" i="2"/>
  <c r="K190" i="2" s="1"/>
  <c r="L190" i="2" s="1"/>
  <c r="I190" i="2"/>
  <c r="H190" i="2"/>
  <c r="U189" i="2"/>
  <c r="T189" i="2"/>
  <c r="Q189" i="2"/>
  <c r="P189" i="2"/>
  <c r="O189" i="2"/>
  <c r="N189" i="2"/>
  <c r="M189" i="2"/>
  <c r="J189" i="2"/>
  <c r="K189" i="2" s="1"/>
  <c r="L189" i="2" s="1"/>
  <c r="I189" i="2"/>
  <c r="H189" i="2"/>
  <c r="U188" i="2"/>
  <c r="T188" i="2"/>
  <c r="Q188" i="2"/>
  <c r="P188" i="2"/>
  <c r="O188" i="2"/>
  <c r="R188" i="2" s="1"/>
  <c r="N188" i="2"/>
  <c r="M188" i="2"/>
  <c r="J188" i="2"/>
  <c r="K188" i="2" s="1"/>
  <c r="L188" i="2" s="1"/>
  <c r="I188" i="2"/>
  <c r="H188" i="2"/>
  <c r="U187" i="2"/>
  <c r="T187" i="2"/>
  <c r="Q187" i="2"/>
  <c r="P187" i="2"/>
  <c r="O187" i="2"/>
  <c r="N187" i="2"/>
  <c r="M187" i="2"/>
  <c r="J187" i="2"/>
  <c r="K187" i="2" s="1"/>
  <c r="L187" i="2" s="1"/>
  <c r="I187" i="2"/>
  <c r="H187" i="2"/>
  <c r="U186" i="2"/>
  <c r="T186" i="2"/>
  <c r="Q186" i="2"/>
  <c r="P186" i="2"/>
  <c r="O186" i="2"/>
  <c r="R186" i="2" s="1"/>
  <c r="N186" i="2"/>
  <c r="M186" i="2"/>
  <c r="J186" i="2"/>
  <c r="K186" i="2" s="1"/>
  <c r="L186" i="2" s="1"/>
  <c r="I186" i="2"/>
  <c r="H186" i="2"/>
  <c r="U185" i="2"/>
  <c r="T185" i="2"/>
  <c r="Q185" i="2"/>
  <c r="P185" i="2"/>
  <c r="O185" i="2"/>
  <c r="N185" i="2"/>
  <c r="M185" i="2"/>
  <c r="J185" i="2"/>
  <c r="K185" i="2" s="1"/>
  <c r="L185" i="2" s="1"/>
  <c r="I185" i="2"/>
  <c r="H185" i="2"/>
  <c r="U184" i="2"/>
  <c r="T184" i="2"/>
  <c r="Q184" i="2"/>
  <c r="P184" i="2"/>
  <c r="O184" i="2"/>
  <c r="R184" i="2" s="1"/>
  <c r="N184" i="2"/>
  <c r="M184" i="2"/>
  <c r="J184" i="2"/>
  <c r="K184" i="2" s="1"/>
  <c r="L184" i="2" s="1"/>
  <c r="I184" i="2"/>
  <c r="H184" i="2"/>
  <c r="U183" i="2"/>
  <c r="T183" i="2"/>
  <c r="Q183" i="2"/>
  <c r="P183" i="2"/>
  <c r="O183" i="2"/>
  <c r="N183" i="2"/>
  <c r="M183" i="2"/>
  <c r="J183" i="2"/>
  <c r="K183" i="2" s="1"/>
  <c r="L183" i="2" s="1"/>
  <c r="I183" i="2"/>
  <c r="H183" i="2"/>
  <c r="U182" i="2"/>
  <c r="T182" i="2"/>
  <c r="Q182" i="2"/>
  <c r="P182" i="2"/>
  <c r="O182" i="2"/>
  <c r="R182" i="2" s="1"/>
  <c r="N182" i="2"/>
  <c r="M182" i="2"/>
  <c r="J182" i="2"/>
  <c r="K182" i="2" s="1"/>
  <c r="L182" i="2" s="1"/>
  <c r="I182" i="2"/>
  <c r="H182" i="2"/>
  <c r="U181" i="2"/>
  <c r="T181" i="2"/>
  <c r="Q181" i="2"/>
  <c r="P181" i="2"/>
  <c r="O181" i="2"/>
  <c r="N181" i="2"/>
  <c r="M181" i="2"/>
  <c r="J181" i="2"/>
  <c r="K181" i="2" s="1"/>
  <c r="L181" i="2" s="1"/>
  <c r="I181" i="2"/>
  <c r="H181" i="2"/>
  <c r="U180" i="2"/>
  <c r="T180" i="2"/>
  <c r="Q180" i="2"/>
  <c r="P180" i="2"/>
  <c r="O180" i="2"/>
  <c r="R180" i="2" s="1"/>
  <c r="N180" i="2"/>
  <c r="M180" i="2"/>
  <c r="J180" i="2"/>
  <c r="K180" i="2" s="1"/>
  <c r="L180" i="2" s="1"/>
  <c r="I180" i="2"/>
  <c r="H180" i="2"/>
  <c r="U179" i="2"/>
  <c r="T179" i="2"/>
  <c r="Q179" i="2"/>
  <c r="P179" i="2"/>
  <c r="O179" i="2"/>
  <c r="N179" i="2"/>
  <c r="M179" i="2"/>
  <c r="J179" i="2"/>
  <c r="K179" i="2" s="1"/>
  <c r="L179" i="2" s="1"/>
  <c r="I179" i="2"/>
  <c r="H179" i="2"/>
  <c r="U178" i="2"/>
  <c r="T178" i="2"/>
  <c r="Q178" i="2"/>
  <c r="P178" i="2"/>
  <c r="O178" i="2"/>
  <c r="R178" i="2" s="1"/>
  <c r="N178" i="2"/>
  <c r="M178" i="2"/>
  <c r="J178" i="2"/>
  <c r="K178" i="2" s="1"/>
  <c r="L178" i="2" s="1"/>
  <c r="I178" i="2"/>
  <c r="H178" i="2"/>
  <c r="U177" i="2"/>
  <c r="T177" i="2"/>
  <c r="Q177" i="2"/>
  <c r="P177" i="2"/>
  <c r="O177" i="2"/>
  <c r="N177" i="2"/>
  <c r="M177" i="2"/>
  <c r="J177" i="2"/>
  <c r="K177" i="2" s="1"/>
  <c r="L177" i="2" s="1"/>
  <c r="I177" i="2"/>
  <c r="H177" i="2"/>
  <c r="U176" i="2"/>
  <c r="T176" i="2"/>
  <c r="Q176" i="2"/>
  <c r="P176" i="2"/>
  <c r="O176" i="2"/>
  <c r="R176" i="2" s="1"/>
  <c r="N176" i="2"/>
  <c r="M176" i="2"/>
  <c r="J176" i="2"/>
  <c r="K176" i="2" s="1"/>
  <c r="L176" i="2" s="1"/>
  <c r="I176" i="2"/>
  <c r="H176" i="2"/>
  <c r="U175" i="2"/>
  <c r="T175" i="2"/>
  <c r="Q175" i="2"/>
  <c r="P175" i="2"/>
  <c r="O175" i="2"/>
  <c r="R175" i="2" s="1"/>
  <c r="N175" i="2"/>
  <c r="M175" i="2"/>
  <c r="J175" i="2"/>
  <c r="K175" i="2" s="1"/>
  <c r="L175" i="2" s="1"/>
  <c r="I175" i="2"/>
  <c r="H175" i="2"/>
  <c r="U174" i="2"/>
  <c r="T174" i="2"/>
  <c r="Q174" i="2"/>
  <c r="P174" i="2"/>
  <c r="O174" i="2"/>
  <c r="N174" i="2"/>
  <c r="M174" i="2"/>
  <c r="J174" i="2"/>
  <c r="K174" i="2" s="1"/>
  <c r="L174" i="2" s="1"/>
  <c r="I174" i="2"/>
  <c r="H174" i="2"/>
  <c r="U173" i="2"/>
  <c r="T173" i="2"/>
  <c r="Q173" i="2"/>
  <c r="P173" i="2"/>
  <c r="O173" i="2"/>
  <c r="N173" i="2"/>
  <c r="M173" i="2"/>
  <c r="J173" i="2"/>
  <c r="K173" i="2" s="1"/>
  <c r="L173" i="2" s="1"/>
  <c r="I173" i="2"/>
  <c r="H173" i="2"/>
  <c r="U172" i="2"/>
  <c r="T172" i="2"/>
  <c r="Q172" i="2"/>
  <c r="P172" i="2"/>
  <c r="O172" i="2"/>
  <c r="R172" i="2" s="1"/>
  <c r="N172" i="2"/>
  <c r="M172" i="2"/>
  <c r="J172" i="2"/>
  <c r="K172" i="2" s="1"/>
  <c r="L172" i="2" s="1"/>
  <c r="I172" i="2"/>
  <c r="H172" i="2"/>
  <c r="U171" i="2"/>
  <c r="T171" i="2"/>
  <c r="Q171" i="2"/>
  <c r="P171" i="2"/>
  <c r="O171" i="2"/>
  <c r="R171" i="2" s="1"/>
  <c r="N171" i="2"/>
  <c r="M171" i="2"/>
  <c r="J171" i="2"/>
  <c r="K171" i="2" s="1"/>
  <c r="L171" i="2" s="1"/>
  <c r="I171" i="2"/>
  <c r="H171" i="2"/>
  <c r="U170" i="2"/>
  <c r="T170" i="2"/>
  <c r="Q170" i="2"/>
  <c r="P170" i="2"/>
  <c r="O170" i="2"/>
  <c r="N170" i="2"/>
  <c r="M170" i="2"/>
  <c r="J170" i="2"/>
  <c r="K170" i="2" s="1"/>
  <c r="L170" i="2" s="1"/>
  <c r="I170" i="2"/>
  <c r="H170" i="2"/>
  <c r="U169" i="2"/>
  <c r="T169" i="2"/>
  <c r="Q169" i="2"/>
  <c r="P169" i="2"/>
  <c r="O169" i="2"/>
  <c r="N169" i="2"/>
  <c r="M169" i="2"/>
  <c r="J169" i="2"/>
  <c r="K169" i="2" s="1"/>
  <c r="L169" i="2" s="1"/>
  <c r="I169" i="2"/>
  <c r="H169" i="2"/>
  <c r="U168" i="2"/>
  <c r="T168" i="2"/>
  <c r="Q168" i="2"/>
  <c r="P168" i="2"/>
  <c r="O168" i="2"/>
  <c r="R168" i="2" s="1"/>
  <c r="N168" i="2"/>
  <c r="M168" i="2"/>
  <c r="J168" i="2"/>
  <c r="K168" i="2" s="1"/>
  <c r="L168" i="2" s="1"/>
  <c r="I168" i="2"/>
  <c r="H168" i="2"/>
  <c r="U167" i="2"/>
  <c r="T167" i="2"/>
  <c r="Q167" i="2"/>
  <c r="P167" i="2"/>
  <c r="O167" i="2"/>
  <c r="R167" i="2" s="1"/>
  <c r="N167" i="2"/>
  <c r="M167" i="2"/>
  <c r="J167" i="2"/>
  <c r="K167" i="2" s="1"/>
  <c r="L167" i="2" s="1"/>
  <c r="I167" i="2"/>
  <c r="H167" i="2"/>
  <c r="U166" i="2"/>
  <c r="T166" i="2"/>
  <c r="Q166" i="2"/>
  <c r="P166" i="2"/>
  <c r="O166" i="2"/>
  <c r="N166" i="2"/>
  <c r="M166" i="2"/>
  <c r="J166" i="2"/>
  <c r="K166" i="2" s="1"/>
  <c r="L166" i="2" s="1"/>
  <c r="I166" i="2"/>
  <c r="H166" i="2"/>
  <c r="U165" i="2"/>
  <c r="T165" i="2"/>
  <c r="Q165" i="2"/>
  <c r="P165" i="2"/>
  <c r="O165" i="2"/>
  <c r="N165" i="2"/>
  <c r="M165" i="2"/>
  <c r="J165" i="2"/>
  <c r="K165" i="2" s="1"/>
  <c r="L165" i="2" s="1"/>
  <c r="I165" i="2"/>
  <c r="H165" i="2"/>
  <c r="U164" i="2"/>
  <c r="T164" i="2"/>
  <c r="Q164" i="2"/>
  <c r="P164" i="2"/>
  <c r="O164" i="2"/>
  <c r="R164" i="2" s="1"/>
  <c r="N164" i="2"/>
  <c r="M164" i="2"/>
  <c r="J164" i="2"/>
  <c r="K164" i="2" s="1"/>
  <c r="L164" i="2" s="1"/>
  <c r="I164" i="2"/>
  <c r="H164" i="2"/>
  <c r="U163" i="2"/>
  <c r="T163" i="2"/>
  <c r="Q163" i="2"/>
  <c r="P163" i="2"/>
  <c r="O163" i="2"/>
  <c r="R163" i="2" s="1"/>
  <c r="N163" i="2"/>
  <c r="M163" i="2"/>
  <c r="J163" i="2"/>
  <c r="K163" i="2" s="1"/>
  <c r="L163" i="2" s="1"/>
  <c r="I163" i="2"/>
  <c r="H163" i="2"/>
  <c r="U162" i="2"/>
  <c r="T162" i="2"/>
  <c r="Q162" i="2"/>
  <c r="P162" i="2"/>
  <c r="O162" i="2"/>
  <c r="N162" i="2"/>
  <c r="M162" i="2"/>
  <c r="J162" i="2"/>
  <c r="K162" i="2" s="1"/>
  <c r="L162" i="2" s="1"/>
  <c r="I162" i="2"/>
  <c r="H162" i="2"/>
  <c r="U161" i="2"/>
  <c r="T161" i="2"/>
  <c r="Q161" i="2"/>
  <c r="P161" i="2"/>
  <c r="O161" i="2"/>
  <c r="N161" i="2"/>
  <c r="M161" i="2"/>
  <c r="J161" i="2"/>
  <c r="K161" i="2" s="1"/>
  <c r="L161" i="2" s="1"/>
  <c r="I161" i="2"/>
  <c r="H161" i="2"/>
  <c r="U160" i="2"/>
  <c r="T160" i="2"/>
  <c r="Q160" i="2"/>
  <c r="P160" i="2"/>
  <c r="O160" i="2"/>
  <c r="R160" i="2" s="1"/>
  <c r="N160" i="2"/>
  <c r="M160" i="2"/>
  <c r="J160" i="2"/>
  <c r="K160" i="2" s="1"/>
  <c r="L160" i="2" s="1"/>
  <c r="I160" i="2"/>
  <c r="H160" i="2"/>
  <c r="U159" i="2"/>
  <c r="T159" i="2"/>
  <c r="Q159" i="2"/>
  <c r="P159" i="2"/>
  <c r="O159" i="2"/>
  <c r="N159" i="2"/>
  <c r="M159" i="2"/>
  <c r="J159" i="2"/>
  <c r="K159" i="2" s="1"/>
  <c r="L159" i="2" s="1"/>
  <c r="I159" i="2"/>
  <c r="H159" i="2"/>
  <c r="U158" i="2"/>
  <c r="T158" i="2"/>
  <c r="Q158" i="2"/>
  <c r="P158" i="2"/>
  <c r="O158" i="2"/>
  <c r="N158" i="2"/>
  <c r="M158" i="2"/>
  <c r="J158" i="2"/>
  <c r="K158" i="2" s="1"/>
  <c r="L158" i="2" s="1"/>
  <c r="I158" i="2"/>
  <c r="H158" i="2"/>
  <c r="U157" i="2"/>
  <c r="T157" i="2"/>
  <c r="Q157" i="2"/>
  <c r="P157" i="2"/>
  <c r="O157" i="2"/>
  <c r="N157" i="2"/>
  <c r="M157" i="2"/>
  <c r="J157" i="2"/>
  <c r="K157" i="2" s="1"/>
  <c r="L157" i="2" s="1"/>
  <c r="I157" i="2"/>
  <c r="H157" i="2"/>
  <c r="U156" i="2"/>
  <c r="T156" i="2"/>
  <c r="Q156" i="2"/>
  <c r="P156" i="2"/>
  <c r="O156" i="2"/>
  <c r="R156" i="2" s="1"/>
  <c r="N156" i="2"/>
  <c r="M156" i="2"/>
  <c r="J156" i="2"/>
  <c r="K156" i="2" s="1"/>
  <c r="L156" i="2" s="1"/>
  <c r="I156" i="2"/>
  <c r="H156" i="2"/>
  <c r="U155" i="2"/>
  <c r="T155" i="2"/>
  <c r="Q155" i="2"/>
  <c r="P155" i="2"/>
  <c r="O155" i="2"/>
  <c r="N155" i="2"/>
  <c r="M155" i="2"/>
  <c r="J155" i="2"/>
  <c r="K155" i="2" s="1"/>
  <c r="L155" i="2" s="1"/>
  <c r="I155" i="2"/>
  <c r="H155" i="2"/>
  <c r="U154" i="2"/>
  <c r="T154" i="2"/>
  <c r="Q154" i="2"/>
  <c r="P154" i="2"/>
  <c r="O154" i="2"/>
  <c r="N154" i="2"/>
  <c r="M154" i="2"/>
  <c r="J154" i="2"/>
  <c r="K154" i="2" s="1"/>
  <c r="L154" i="2" s="1"/>
  <c r="I154" i="2"/>
  <c r="H154" i="2"/>
  <c r="U153" i="2"/>
  <c r="T153" i="2"/>
  <c r="Q153" i="2"/>
  <c r="P153" i="2"/>
  <c r="O153" i="2"/>
  <c r="N153" i="2"/>
  <c r="M153" i="2"/>
  <c r="J153" i="2"/>
  <c r="K153" i="2" s="1"/>
  <c r="L153" i="2" s="1"/>
  <c r="I153" i="2"/>
  <c r="H153" i="2"/>
  <c r="U152" i="2"/>
  <c r="T152" i="2"/>
  <c r="Q152" i="2"/>
  <c r="P152" i="2"/>
  <c r="O152" i="2"/>
  <c r="R152" i="2" s="1"/>
  <c r="N152" i="2"/>
  <c r="M152" i="2"/>
  <c r="J152" i="2"/>
  <c r="K152" i="2" s="1"/>
  <c r="L152" i="2" s="1"/>
  <c r="I152" i="2"/>
  <c r="H152" i="2"/>
  <c r="U151" i="2"/>
  <c r="T151" i="2"/>
  <c r="Q151" i="2"/>
  <c r="P151" i="2"/>
  <c r="O151" i="2"/>
  <c r="N151" i="2"/>
  <c r="M151" i="2"/>
  <c r="J151" i="2"/>
  <c r="K151" i="2" s="1"/>
  <c r="L151" i="2" s="1"/>
  <c r="I151" i="2"/>
  <c r="H151" i="2"/>
  <c r="U150" i="2"/>
  <c r="T150" i="2"/>
  <c r="Q150" i="2"/>
  <c r="P150" i="2"/>
  <c r="O150" i="2"/>
  <c r="N150" i="2"/>
  <c r="M150" i="2"/>
  <c r="J150" i="2"/>
  <c r="K150" i="2" s="1"/>
  <c r="L150" i="2" s="1"/>
  <c r="I150" i="2"/>
  <c r="H150" i="2"/>
  <c r="U149" i="2"/>
  <c r="T149" i="2"/>
  <c r="Q149" i="2"/>
  <c r="P149" i="2"/>
  <c r="O149" i="2"/>
  <c r="N149" i="2"/>
  <c r="M149" i="2"/>
  <c r="J149" i="2"/>
  <c r="K149" i="2" s="1"/>
  <c r="L149" i="2" s="1"/>
  <c r="I149" i="2"/>
  <c r="H149" i="2"/>
  <c r="U148" i="2"/>
  <c r="T148" i="2"/>
  <c r="Q148" i="2"/>
  <c r="P148" i="2"/>
  <c r="O148" i="2"/>
  <c r="R148" i="2" s="1"/>
  <c r="N148" i="2"/>
  <c r="M148" i="2"/>
  <c r="J148" i="2"/>
  <c r="K148" i="2" s="1"/>
  <c r="L148" i="2" s="1"/>
  <c r="I148" i="2"/>
  <c r="H148" i="2"/>
  <c r="U147" i="2"/>
  <c r="T147" i="2"/>
  <c r="Q147" i="2"/>
  <c r="P147" i="2"/>
  <c r="O147" i="2"/>
  <c r="N147" i="2"/>
  <c r="M147" i="2"/>
  <c r="J147" i="2"/>
  <c r="K147" i="2" s="1"/>
  <c r="L147" i="2" s="1"/>
  <c r="I147" i="2"/>
  <c r="H147" i="2"/>
  <c r="U146" i="2"/>
  <c r="T146" i="2"/>
  <c r="Q146" i="2"/>
  <c r="P146" i="2"/>
  <c r="O146" i="2"/>
  <c r="N146" i="2"/>
  <c r="M146" i="2"/>
  <c r="J146" i="2"/>
  <c r="K146" i="2" s="1"/>
  <c r="L146" i="2" s="1"/>
  <c r="I146" i="2"/>
  <c r="H146" i="2"/>
  <c r="U145" i="2"/>
  <c r="T145" i="2"/>
  <c r="Q145" i="2"/>
  <c r="P145" i="2"/>
  <c r="O145" i="2"/>
  <c r="N145" i="2"/>
  <c r="M145" i="2"/>
  <c r="J145" i="2"/>
  <c r="K145" i="2" s="1"/>
  <c r="L145" i="2" s="1"/>
  <c r="I145" i="2"/>
  <c r="H145" i="2"/>
  <c r="U144" i="2"/>
  <c r="T144" i="2"/>
  <c r="Q144" i="2"/>
  <c r="P144" i="2"/>
  <c r="O144" i="2"/>
  <c r="R144" i="2" s="1"/>
  <c r="N144" i="2"/>
  <c r="M144" i="2"/>
  <c r="J144" i="2"/>
  <c r="K144" i="2" s="1"/>
  <c r="L144" i="2" s="1"/>
  <c r="I144" i="2"/>
  <c r="H144" i="2"/>
  <c r="U143" i="2"/>
  <c r="T143" i="2"/>
  <c r="Q143" i="2"/>
  <c r="P143" i="2"/>
  <c r="O143" i="2"/>
  <c r="N143" i="2"/>
  <c r="M143" i="2"/>
  <c r="J143" i="2"/>
  <c r="K143" i="2" s="1"/>
  <c r="L143" i="2" s="1"/>
  <c r="I143" i="2"/>
  <c r="H143" i="2"/>
  <c r="U142" i="2"/>
  <c r="T142" i="2"/>
  <c r="Q142" i="2"/>
  <c r="P142" i="2"/>
  <c r="O142" i="2"/>
  <c r="N142" i="2"/>
  <c r="M142" i="2"/>
  <c r="J142" i="2"/>
  <c r="K142" i="2" s="1"/>
  <c r="L142" i="2" s="1"/>
  <c r="I142" i="2"/>
  <c r="H142" i="2"/>
  <c r="U141" i="2"/>
  <c r="T141" i="2"/>
  <c r="Q141" i="2"/>
  <c r="P141" i="2"/>
  <c r="O141" i="2"/>
  <c r="N141" i="2"/>
  <c r="M141" i="2"/>
  <c r="J141" i="2"/>
  <c r="K141" i="2" s="1"/>
  <c r="L141" i="2" s="1"/>
  <c r="I141" i="2"/>
  <c r="H141" i="2"/>
  <c r="U140" i="2"/>
  <c r="T140" i="2"/>
  <c r="Q140" i="2"/>
  <c r="P140" i="2"/>
  <c r="O140" i="2"/>
  <c r="R140" i="2" s="1"/>
  <c r="N140" i="2"/>
  <c r="M140" i="2"/>
  <c r="J140" i="2"/>
  <c r="K140" i="2" s="1"/>
  <c r="L140" i="2" s="1"/>
  <c r="I140" i="2"/>
  <c r="H140" i="2"/>
  <c r="U139" i="2"/>
  <c r="T139" i="2"/>
  <c r="Q139" i="2"/>
  <c r="P139" i="2"/>
  <c r="O139" i="2"/>
  <c r="R139" i="2" s="1"/>
  <c r="N139" i="2"/>
  <c r="M139" i="2"/>
  <c r="J139" i="2"/>
  <c r="K139" i="2" s="1"/>
  <c r="L139" i="2" s="1"/>
  <c r="I139" i="2"/>
  <c r="H139" i="2"/>
  <c r="U138" i="2"/>
  <c r="T138" i="2"/>
  <c r="Q138" i="2"/>
  <c r="P138" i="2"/>
  <c r="O138" i="2"/>
  <c r="N138" i="2"/>
  <c r="M138" i="2"/>
  <c r="J138" i="2"/>
  <c r="K138" i="2" s="1"/>
  <c r="L138" i="2" s="1"/>
  <c r="I138" i="2"/>
  <c r="H138" i="2"/>
  <c r="U137" i="2"/>
  <c r="T137" i="2"/>
  <c r="Q137" i="2"/>
  <c r="P137" i="2"/>
  <c r="O137" i="2"/>
  <c r="N137" i="2"/>
  <c r="M137" i="2"/>
  <c r="J137" i="2"/>
  <c r="K137" i="2" s="1"/>
  <c r="L137" i="2" s="1"/>
  <c r="I137" i="2"/>
  <c r="H137" i="2"/>
  <c r="U136" i="2"/>
  <c r="T136" i="2"/>
  <c r="Q136" i="2"/>
  <c r="P136" i="2"/>
  <c r="O136" i="2"/>
  <c r="R136" i="2" s="1"/>
  <c r="N136" i="2"/>
  <c r="M136" i="2"/>
  <c r="J136" i="2"/>
  <c r="K136" i="2" s="1"/>
  <c r="L136" i="2" s="1"/>
  <c r="I136" i="2"/>
  <c r="H136" i="2"/>
  <c r="U135" i="2"/>
  <c r="T135" i="2"/>
  <c r="Q135" i="2"/>
  <c r="P135" i="2"/>
  <c r="O135" i="2"/>
  <c r="R135" i="2" s="1"/>
  <c r="N135" i="2"/>
  <c r="M135" i="2"/>
  <c r="J135" i="2"/>
  <c r="K135" i="2" s="1"/>
  <c r="L135" i="2" s="1"/>
  <c r="I135" i="2"/>
  <c r="H135" i="2"/>
  <c r="U134" i="2"/>
  <c r="T134" i="2"/>
  <c r="Q134" i="2"/>
  <c r="P134" i="2"/>
  <c r="O134" i="2"/>
  <c r="N134" i="2"/>
  <c r="M134" i="2"/>
  <c r="J134" i="2"/>
  <c r="K134" i="2" s="1"/>
  <c r="L134" i="2" s="1"/>
  <c r="I134" i="2"/>
  <c r="H134" i="2"/>
  <c r="U133" i="2"/>
  <c r="T133" i="2"/>
  <c r="Q133" i="2"/>
  <c r="P133" i="2"/>
  <c r="O133" i="2"/>
  <c r="N133" i="2"/>
  <c r="M133" i="2"/>
  <c r="J133" i="2"/>
  <c r="K133" i="2" s="1"/>
  <c r="L133" i="2" s="1"/>
  <c r="I133" i="2"/>
  <c r="H133" i="2"/>
  <c r="U132" i="2"/>
  <c r="T132" i="2"/>
  <c r="Q132" i="2"/>
  <c r="P132" i="2"/>
  <c r="O132" i="2"/>
  <c r="R132" i="2" s="1"/>
  <c r="N132" i="2"/>
  <c r="M132" i="2"/>
  <c r="J132" i="2"/>
  <c r="K132" i="2" s="1"/>
  <c r="L132" i="2" s="1"/>
  <c r="I132" i="2"/>
  <c r="H132" i="2"/>
  <c r="U131" i="2"/>
  <c r="T131" i="2"/>
  <c r="Q131" i="2"/>
  <c r="P131" i="2"/>
  <c r="O131" i="2"/>
  <c r="R131" i="2" s="1"/>
  <c r="N131" i="2"/>
  <c r="M131" i="2"/>
  <c r="J131" i="2"/>
  <c r="K131" i="2" s="1"/>
  <c r="L131" i="2" s="1"/>
  <c r="I131" i="2"/>
  <c r="H131" i="2"/>
  <c r="U130" i="2"/>
  <c r="T130" i="2"/>
  <c r="Q130" i="2"/>
  <c r="P130" i="2"/>
  <c r="O130" i="2"/>
  <c r="N130" i="2"/>
  <c r="M130" i="2"/>
  <c r="J130" i="2"/>
  <c r="K130" i="2" s="1"/>
  <c r="L130" i="2" s="1"/>
  <c r="I130" i="2"/>
  <c r="H130" i="2"/>
  <c r="U129" i="2"/>
  <c r="T129" i="2"/>
  <c r="Q129" i="2"/>
  <c r="P129" i="2"/>
  <c r="O129" i="2"/>
  <c r="N129" i="2"/>
  <c r="M129" i="2"/>
  <c r="J129" i="2"/>
  <c r="K129" i="2" s="1"/>
  <c r="L129" i="2" s="1"/>
  <c r="I129" i="2"/>
  <c r="H129" i="2"/>
  <c r="U128" i="2"/>
  <c r="T128" i="2"/>
  <c r="Q128" i="2"/>
  <c r="P128" i="2"/>
  <c r="O128" i="2"/>
  <c r="R128" i="2" s="1"/>
  <c r="N128" i="2"/>
  <c r="M128" i="2"/>
  <c r="J128" i="2"/>
  <c r="K128" i="2" s="1"/>
  <c r="L128" i="2" s="1"/>
  <c r="I128" i="2"/>
  <c r="H128" i="2"/>
  <c r="U127" i="2"/>
  <c r="T127" i="2"/>
  <c r="Q127" i="2"/>
  <c r="P127" i="2"/>
  <c r="O127" i="2"/>
  <c r="R127" i="2" s="1"/>
  <c r="N127" i="2"/>
  <c r="M127" i="2"/>
  <c r="J127" i="2"/>
  <c r="K127" i="2" s="1"/>
  <c r="L127" i="2" s="1"/>
  <c r="I127" i="2"/>
  <c r="H127" i="2"/>
  <c r="U126" i="2"/>
  <c r="T126" i="2"/>
  <c r="Q126" i="2"/>
  <c r="P126" i="2"/>
  <c r="O126" i="2"/>
  <c r="N126" i="2"/>
  <c r="M126" i="2"/>
  <c r="J126" i="2"/>
  <c r="K126" i="2" s="1"/>
  <c r="L126" i="2" s="1"/>
  <c r="I126" i="2"/>
  <c r="H126" i="2"/>
  <c r="U125" i="2"/>
  <c r="T125" i="2"/>
  <c r="Q125" i="2"/>
  <c r="P125" i="2"/>
  <c r="O125" i="2"/>
  <c r="N125" i="2"/>
  <c r="M125" i="2"/>
  <c r="J125" i="2"/>
  <c r="K125" i="2" s="1"/>
  <c r="L125" i="2" s="1"/>
  <c r="I125" i="2"/>
  <c r="H125" i="2"/>
  <c r="U124" i="2"/>
  <c r="T124" i="2"/>
  <c r="Q124" i="2"/>
  <c r="P124" i="2"/>
  <c r="O124" i="2"/>
  <c r="R124" i="2" s="1"/>
  <c r="N124" i="2"/>
  <c r="M124" i="2"/>
  <c r="J124" i="2"/>
  <c r="K124" i="2" s="1"/>
  <c r="L124" i="2" s="1"/>
  <c r="I124" i="2"/>
  <c r="H124" i="2"/>
  <c r="U123" i="2"/>
  <c r="T123" i="2"/>
  <c r="Q123" i="2"/>
  <c r="P123" i="2"/>
  <c r="O123" i="2"/>
  <c r="R123" i="2" s="1"/>
  <c r="N123" i="2"/>
  <c r="M123" i="2"/>
  <c r="J123" i="2"/>
  <c r="K123" i="2" s="1"/>
  <c r="L123" i="2" s="1"/>
  <c r="I123" i="2"/>
  <c r="H123" i="2"/>
  <c r="U122" i="2"/>
  <c r="T122" i="2"/>
  <c r="Q122" i="2"/>
  <c r="P122" i="2"/>
  <c r="O122" i="2"/>
  <c r="N122" i="2"/>
  <c r="M122" i="2"/>
  <c r="J122" i="2"/>
  <c r="K122" i="2" s="1"/>
  <c r="L122" i="2" s="1"/>
  <c r="I122" i="2"/>
  <c r="H122" i="2"/>
  <c r="U121" i="2"/>
  <c r="T121" i="2"/>
  <c r="Q121" i="2"/>
  <c r="P121" i="2"/>
  <c r="O121" i="2"/>
  <c r="N121" i="2"/>
  <c r="M121" i="2"/>
  <c r="J121" i="2"/>
  <c r="K121" i="2" s="1"/>
  <c r="L121" i="2" s="1"/>
  <c r="I121" i="2"/>
  <c r="H121" i="2"/>
  <c r="U120" i="2"/>
  <c r="T120" i="2"/>
  <c r="Q120" i="2"/>
  <c r="P120" i="2"/>
  <c r="O120" i="2"/>
  <c r="R120" i="2" s="1"/>
  <c r="N120" i="2"/>
  <c r="M120" i="2"/>
  <c r="J120" i="2"/>
  <c r="K120" i="2" s="1"/>
  <c r="L120" i="2" s="1"/>
  <c r="I120" i="2"/>
  <c r="H120" i="2"/>
  <c r="U119" i="2"/>
  <c r="T119" i="2"/>
  <c r="Q119" i="2"/>
  <c r="P119" i="2"/>
  <c r="O119" i="2"/>
  <c r="N119" i="2"/>
  <c r="M119" i="2"/>
  <c r="J119" i="2"/>
  <c r="K119" i="2" s="1"/>
  <c r="L119" i="2" s="1"/>
  <c r="I119" i="2"/>
  <c r="H119" i="2"/>
  <c r="U118" i="2"/>
  <c r="T118" i="2"/>
  <c r="Q118" i="2"/>
  <c r="P118" i="2"/>
  <c r="O118" i="2"/>
  <c r="N118" i="2"/>
  <c r="M118" i="2"/>
  <c r="J118" i="2"/>
  <c r="K118" i="2" s="1"/>
  <c r="L118" i="2" s="1"/>
  <c r="I118" i="2"/>
  <c r="H118" i="2"/>
  <c r="U117" i="2"/>
  <c r="T117" i="2"/>
  <c r="Q117" i="2"/>
  <c r="P117" i="2"/>
  <c r="O117" i="2"/>
  <c r="N117" i="2"/>
  <c r="M117" i="2"/>
  <c r="J117" i="2"/>
  <c r="K117" i="2" s="1"/>
  <c r="L117" i="2" s="1"/>
  <c r="I117" i="2"/>
  <c r="H117" i="2"/>
  <c r="U116" i="2"/>
  <c r="T116" i="2"/>
  <c r="Q116" i="2"/>
  <c r="P116" i="2"/>
  <c r="O116" i="2"/>
  <c r="R116" i="2" s="1"/>
  <c r="N116" i="2"/>
  <c r="M116" i="2"/>
  <c r="J116" i="2"/>
  <c r="K116" i="2" s="1"/>
  <c r="L116" i="2" s="1"/>
  <c r="I116" i="2"/>
  <c r="H116" i="2"/>
  <c r="U115" i="2"/>
  <c r="T115" i="2"/>
  <c r="Q115" i="2"/>
  <c r="P115" i="2"/>
  <c r="O115" i="2"/>
  <c r="R115" i="2" s="1"/>
  <c r="N115" i="2"/>
  <c r="M115" i="2"/>
  <c r="J115" i="2"/>
  <c r="K115" i="2" s="1"/>
  <c r="L115" i="2" s="1"/>
  <c r="I115" i="2"/>
  <c r="H115" i="2"/>
  <c r="U114" i="2"/>
  <c r="T114" i="2"/>
  <c r="Q114" i="2"/>
  <c r="P114" i="2"/>
  <c r="O114" i="2"/>
  <c r="N114" i="2"/>
  <c r="M114" i="2"/>
  <c r="J114" i="2"/>
  <c r="K114" i="2" s="1"/>
  <c r="L114" i="2" s="1"/>
  <c r="I114" i="2"/>
  <c r="H114" i="2"/>
  <c r="U113" i="2"/>
  <c r="T113" i="2"/>
  <c r="Q113" i="2"/>
  <c r="P113" i="2"/>
  <c r="O113" i="2"/>
  <c r="N113" i="2"/>
  <c r="M113" i="2"/>
  <c r="J113" i="2"/>
  <c r="K113" i="2" s="1"/>
  <c r="L113" i="2" s="1"/>
  <c r="I113" i="2"/>
  <c r="H113" i="2"/>
  <c r="U112" i="2"/>
  <c r="T112" i="2"/>
  <c r="Q112" i="2"/>
  <c r="P112" i="2"/>
  <c r="O112" i="2"/>
  <c r="R112" i="2" s="1"/>
  <c r="N112" i="2"/>
  <c r="M112" i="2"/>
  <c r="J112" i="2"/>
  <c r="K112" i="2" s="1"/>
  <c r="L112" i="2" s="1"/>
  <c r="I112" i="2"/>
  <c r="H112" i="2"/>
  <c r="U111" i="2"/>
  <c r="T111" i="2"/>
  <c r="Q111" i="2"/>
  <c r="P111" i="2"/>
  <c r="O111" i="2"/>
  <c r="N111" i="2"/>
  <c r="M111" i="2"/>
  <c r="J111" i="2"/>
  <c r="K111" i="2" s="1"/>
  <c r="L111" i="2" s="1"/>
  <c r="I111" i="2"/>
  <c r="H111" i="2"/>
  <c r="U110" i="2"/>
  <c r="T110" i="2"/>
  <c r="Q110" i="2"/>
  <c r="P110" i="2"/>
  <c r="O110" i="2"/>
  <c r="N110" i="2"/>
  <c r="M110" i="2"/>
  <c r="J110" i="2"/>
  <c r="K110" i="2" s="1"/>
  <c r="L110" i="2" s="1"/>
  <c r="I110" i="2"/>
  <c r="H110" i="2"/>
  <c r="U109" i="2"/>
  <c r="T109" i="2"/>
  <c r="Q109" i="2"/>
  <c r="P109" i="2"/>
  <c r="O109" i="2"/>
  <c r="N109" i="2"/>
  <c r="M109" i="2"/>
  <c r="J109" i="2"/>
  <c r="K109" i="2" s="1"/>
  <c r="L109" i="2" s="1"/>
  <c r="I109" i="2"/>
  <c r="H109" i="2"/>
  <c r="U108" i="2"/>
  <c r="T108" i="2"/>
  <c r="Q108" i="2"/>
  <c r="P108" i="2"/>
  <c r="O108" i="2"/>
  <c r="R108" i="2" s="1"/>
  <c r="N108" i="2"/>
  <c r="M108" i="2"/>
  <c r="J108" i="2"/>
  <c r="K108" i="2" s="1"/>
  <c r="L108" i="2" s="1"/>
  <c r="I108" i="2"/>
  <c r="H108" i="2"/>
  <c r="U107" i="2"/>
  <c r="T107" i="2"/>
  <c r="Q107" i="2"/>
  <c r="P107" i="2"/>
  <c r="O107" i="2"/>
  <c r="N107" i="2"/>
  <c r="M107" i="2"/>
  <c r="J107" i="2"/>
  <c r="K107" i="2" s="1"/>
  <c r="L107" i="2" s="1"/>
  <c r="I107" i="2"/>
  <c r="H107" i="2"/>
  <c r="U106" i="2"/>
  <c r="T106" i="2"/>
  <c r="Q106" i="2"/>
  <c r="P106" i="2"/>
  <c r="O106" i="2"/>
  <c r="N106" i="2"/>
  <c r="M106" i="2"/>
  <c r="J106" i="2"/>
  <c r="K106" i="2" s="1"/>
  <c r="L106" i="2" s="1"/>
  <c r="I106" i="2"/>
  <c r="H106" i="2"/>
  <c r="U105" i="2"/>
  <c r="T105" i="2"/>
  <c r="Q105" i="2"/>
  <c r="P105" i="2"/>
  <c r="O105" i="2"/>
  <c r="N105" i="2"/>
  <c r="M105" i="2"/>
  <c r="J105" i="2"/>
  <c r="K105" i="2" s="1"/>
  <c r="L105" i="2" s="1"/>
  <c r="I105" i="2"/>
  <c r="H105" i="2"/>
  <c r="U104" i="2"/>
  <c r="T104" i="2"/>
  <c r="Q104" i="2"/>
  <c r="P104" i="2"/>
  <c r="O104" i="2"/>
  <c r="R104" i="2" s="1"/>
  <c r="N104" i="2"/>
  <c r="M104" i="2"/>
  <c r="J104" i="2"/>
  <c r="K104" i="2" s="1"/>
  <c r="L104" i="2" s="1"/>
  <c r="I104" i="2"/>
  <c r="H104" i="2"/>
  <c r="U103" i="2"/>
  <c r="T103" i="2"/>
  <c r="Q103" i="2"/>
  <c r="P103" i="2"/>
  <c r="O103" i="2"/>
  <c r="N103" i="2"/>
  <c r="M103" i="2"/>
  <c r="J103" i="2"/>
  <c r="K103" i="2" s="1"/>
  <c r="L103" i="2" s="1"/>
  <c r="I103" i="2"/>
  <c r="H103" i="2"/>
  <c r="U102" i="2"/>
  <c r="T102" i="2"/>
  <c r="Q102" i="2"/>
  <c r="P102" i="2"/>
  <c r="O102" i="2"/>
  <c r="N102" i="2"/>
  <c r="M102" i="2"/>
  <c r="J102" i="2"/>
  <c r="K102" i="2" s="1"/>
  <c r="L102" i="2" s="1"/>
  <c r="I102" i="2"/>
  <c r="H102" i="2"/>
  <c r="U101" i="2"/>
  <c r="T101" i="2"/>
  <c r="Q101" i="2"/>
  <c r="P101" i="2"/>
  <c r="O101" i="2"/>
  <c r="N101" i="2"/>
  <c r="M101" i="2"/>
  <c r="J101" i="2"/>
  <c r="K101" i="2" s="1"/>
  <c r="L101" i="2" s="1"/>
  <c r="I101" i="2"/>
  <c r="H101" i="2"/>
  <c r="U100" i="2"/>
  <c r="T100" i="2"/>
  <c r="Q100" i="2"/>
  <c r="P100" i="2"/>
  <c r="O100" i="2"/>
  <c r="R100" i="2" s="1"/>
  <c r="N100" i="2"/>
  <c r="M100" i="2"/>
  <c r="J100" i="2"/>
  <c r="K100" i="2" s="1"/>
  <c r="L100" i="2" s="1"/>
  <c r="I100" i="2"/>
  <c r="H100" i="2"/>
  <c r="U99" i="2"/>
  <c r="T99" i="2"/>
  <c r="Q99" i="2"/>
  <c r="P99" i="2"/>
  <c r="O99" i="2"/>
  <c r="N99" i="2"/>
  <c r="M99" i="2"/>
  <c r="J99" i="2"/>
  <c r="K99" i="2" s="1"/>
  <c r="L99" i="2" s="1"/>
  <c r="I99" i="2"/>
  <c r="H99" i="2"/>
  <c r="U98" i="2"/>
  <c r="T98" i="2"/>
  <c r="V98" i="2" s="1"/>
  <c r="Q98" i="2"/>
  <c r="P98" i="2"/>
  <c r="O98" i="2"/>
  <c r="N98" i="2"/>
  <c r="M98" i="2"/>
  <c r="J98" i="2"/>
  <c r="K98" i="2" s="1"/>
  <c r="L98" i="2" s="1"/>
  <c r="I98" i="2"/>
  <c r="H98" i="2"/>
  <c r="U97" i="2"/>
  <c r="T97" i="2"/>
  <c r="Q97" i="2"/>
  <c r="P97" i="2"/>
  <c r="O97" i="2"/>
  <c r="N97" i="2"/>
  <c r="M97" i="2"/>
  <c r="J97" i="2"/>
  <c r="K97" i="2" s="1"/>
  <c r="L97" i="2" s="1"/>
  <c r="I97" i="2"/>
  <c r="H97" i="2"/>
  <c r="U96" i="2"/>
  <c r="T96" i="2"/>
  <c r="Q96" i="2"/>
  <c r="P96" i="2"/>
  <c r="O96" i="2"/>
  <c r="R96" i="2" s="1"/>
  <c r="N96" i="2"/>
  <c r="M96" i="2"/>
  <c r="J96" i="2"/>
  <c r="K96" i="2" s="1"/>
  <c r="L96" i="2" s="1"/>
  <c r="I96" i="2"/>
  <c r="H96" i="2"/>
  <c r="U95" i="2"/>
  <c r="T95" i="2"/>
  <c r="Q95" i="2"/>
  <c r="P95" i="2"/>
  <c r="O95" i="2"/>
  <c r="N95" i="2"/>
  <c r="M95" i="2"/>
  <c r="J95" i="2"/>
  <c r="K95" i="2" s="1"/>
  <c r="L95" i="2" s="1"/>
  <c r="I95" i="2"/>
  <c r="H95" i="2"/>
  <c r="U94" i="2"/>
  <c r="T94" i="2"/>
  <c r="Q94" i="2"/>
  <c r="P94" i="2"/>
  <c r="O94" i="2"/>
  <c r="N94" i="2"/>
  <c r="M94" i="2"/>
  <c r="J94" i="2"/>
  <c r="K94" i="2" s="1"/>
  <c r="L94" i="2" s="1"/>
  <c r="I94" i="2"/>
  <c r="H94" i="2"/>
  <c r="U93" i="2"/>
  <c r="T93" i="2"/>
  <c r="Q93" i="2"/>
  <c r="P93" i="2"/>
  <c r="O93" i="2"/>
  <c r="N93" i="2"/>
  <c r="M93" i="2"/>
  <c r="J93" i="2"/>
  <c r="K93" i="2" s="1"/>
  <c r="L93" i="2" s="1"/>
  <c r="I93" i="2"/>
  <c r="H93" i="2"/>
  <c r="U92" i="2"/>
  <c r="T92" i="2"/>
  <c r="Q92" i="2"/>
  <c r="P92" i="2"/>
  <c r="O92" i="2"/>
  <c r="R92" i="2" s="1"/>
  <c r="N92" i="2"/>
  <c r="M92" i="2"/>
  <c r="J92" i="2"/>
  <c r="K92" i="2" s="1"/>
  <c r="L92" i="2" s="1"/>
  <c r="I92" i="2"/>
  <c r="H92" i="2"/>
  <c r="U91" i="2"/>
  <c r="T91" i="2"/>
  <c r="Q91" i="2"/>
  <c r="P91" i="2"/>
  <c r="O91" i="2"/>
  <c r="R91" i="2" s="1"/>
  <c r="S91" i="2" s="1"/>
  <c r="N91" i="2"/>
  <c r="M91" i="2"/>
  <c r="J91" i="2"/>
  <c r="K91" i="2" s="1"/>
  <c r="L91" i="2" s="1"/>
  <c r="I91" i="2"/>
  <c r="H91" i="2"/>
  <c r="U90" i="2"/>
  <c r="T90" i="2"/>
  <c r="Q90" i="2"/>
  <c r="P90" i="2"/>
  <c r="O90" i="2"/>
  <c r="N90" i="2"/>
  <c r="M90" i="2"/>
  <c r="J90" i="2"/>
  <c r="K90" i="2" s="1"/>
  <c r="L90" i="2" s="1"/>
  <c r="I90" i="2"/>
  <c r="H90" i="2"/>
  <c r="U89" i="2"/>
  <c r="T89" i="2"/>
  <c r="Q89" i="2"/>
  <c r="P89" i="2"/>
  <c r="O89" i="2"/>
  <c r="N89" i="2"/>
  <c r="M89" i="2"/>
  <c r="J89" i="2"/>
  <c r="K89" i="2" s="1"/>
  <c r="L89" i="2" s="1"/>
  <c r="I89" i="2"/>
  <c r="H89" i="2"/>
  <c r="U88" i="2"/>
  <c r="T88" i="2"/>
  <c r="Q88" i="2"/>
  <c r="P88" i="2"/>
  <c r="O88" i="2"/>
  <c r="R88" i="2" s="1"/>
  <c r="N88" i="2"/>
  <c r="M88" i="2"/>
  <c r="J88" i="2"/>
  <c r="K88" i="2" s="1"/>
  <c r="L88" i="2" s="1"/>
  <c r="I88" i="2"/>
  <c r="H88" i="2"/>
  <c r="U87" i="2"/>
  <c r="T87" i="2"/>
  <c r="Q87" i="2"/>
  <c r="P87" i="2"/>
  <c r="O87" i="2"/>
  <c r="R87" i="2" s="1"/>
  <c r="N87" i="2"/>
  <c r="M87" i="2"/>
  <c r="J87" i="2"/>
  <c r="K87" i="2" s="1"/>
  <c r="L87" i="2" s="1"/>
  <c r="I87" i="2"/>
  <c r="H87" i="2"/>
  <c r="U86" i="2"/>
  <c r="T86" i="2"/>
  <c r="Q86" i="2"/>
  <c r="P86" i="2"/>
  <c r="O86" i="2"/>
  <c r="N86" i="2"/>
  <c r="M86" i="2"/>
  <c r="J86" i="2"/>
  <c r="K86" i="2" s="1"/>
  <c r="L86" i="2" s="1"/>
  <c r="I86" i="2"/>
  <c r="H86" i="2"/>
  <c r="U85" i="2"/>
  <c r="T85" i="2"/>
  <c r="Q85" i="2"/>
  <c r="P85" i="2"/>
  <c r="O85" i="2"/>
  <c r="N85" i="2"/>
  <c r="M85" i="2"/>
  <c r="J85" i="2"/>
  <c r="K85" i="2" s="1"/>
  <c r="L85" i="2" s="1"/>
  <c r="I85" i="2"/>
  <c r="H85" i="2"/>
  <c r="U84" i="2"/>
  <c r="T84" i="2"/>
  <c r="Q84" i="2"/>
  <c r="P84" i="2"/>
  <c r="O84" i="2"/>
  <c r="R84" i="2" s="1"/>
  <c r="N84" i="2"/>
  <c r="M84" i="2"/>
  <c r="J84" i="2"/>
  <c r="K84" i="2" s="1"/>
  <c r="L84" i="2" s="1"/>
  <c r="I84" i="2"/>
  <c r="H84" i="2"/>
  <c r="U83" i="2"/>
  <c r="T83" i="2"/>
  <c r="Q83" i="2"/>
  <c r="P83" i="2"/>
  <c r="O83" i="2"/>
  <c r="N83" i="2"/>
  <c r="M83" i="2"/>
  <c r="J83" i="2"/>
  <c r="K83" i="2" s="1"/>
  <c r="L83" i="2" s="1"/>
  <c r="I83" i="2"/>
  <c r="H83" i="2"/>
  <c r="U82" i="2"/>
  <c r="T82" i="2"/>
  <c r="Q82" i="2"/>
  <c r="P82" i="2"/>
  <c r="O82" i="2"/>
  <c r="N82" i="2"/>
  <c r="M82" i="2"/>
  <c r="J82" i="2"/>
  <c r="K82" i="2" s="1"/>
  <c r="L82" i="2" s="1"/>
  <c r="I82" i="2"/>
  <c r="H82" i="2"/>
  <c r="U81" i="2"/>
  <c r="T81" i="2"/>
  <c r="Q81" i="2"/>
  <c r="P81" i="2"/>
  <c r="O81" i="2"/>
  <c r="N81" i="2"/>
  <c r="M81" i="2"/>
  <c r="J81" i="2"/>
  <c r="K81" i="2" s="1"/>
  <c r="L81" i="2" s="1"/>
  <c r="I81" i="2"/>
  <c r="H81" i="2"/>
  <c r="U80" i="2"/>
  <c r="T80" i="2"/>
  <c r="Q80" i="2"/>
  <c r="P80" i="2"/>
  <c r="O80" i="2"/>
  <c r="R80" i="2" s="1"/>
  <c r="N80" i="2"/>
  <c r="M80" i="2"/>
  <c r="J80" i="2"/>
  <c r="K80" i="2" s="1"/>
  <c r="L80" i="2" s="1"/>
  <c r="I80" i="2"/>
  <c r="H80" i="2"/>
  <c r="U79" i="2"/>
  <c r="T79" i="2"/>
  <c r="Q79" i="2"/>
  <c r="P79" i="2"/>
  <c r="O79" i="2"/>
  <c r="R79" i="2" s="1"/>
  <c r="N79" i="2"/>
  <c r="M79" i="2"/>
  <c r="J79" i="2"/>
  <c r="K79" i="2" s="1"/>
  <c r="L79" i="2" s="1"/>
  <c r="I79" i="2"/>
  <c r="H79" i="2"/>
  <c r="U78" i="2"/>
  <c r="T78" i="2"/>
  <c r="Q78" i="2"/>
  <c r="P78" i="2"/>
  <c r="O78" i="2"/>
  <c r="N78" i="2"/>
  <c r="M78" i="2"/>
  <c r="J78" i="2"/>
  <c r="K78" i="2" s="1"/>
  <c r="L78" i="2" s="1"/>
  <c r="I78" i="2"/>
  <c r="H78" i="2"/>
  <c r="U77" i="2"/>
  <c r="T77" i="2"/>
  <c r="Q77" i="2"/>
  <c r="P77" i="2"/>
  <c r="O77" i="2"/>
  <c r="N77" i="2"/>
  <c r="M77" i="2"/>
  <c r="J77" i="2"/>
  <c r="K77" i="2" s="1"/>
  <c r="L77" i="2" s="1"/>
  <c r="I77" i="2"/>
  <c r="H77" i="2"/>
  <c r="U76" i="2"/>
  <c r="T76" i="2"/>
  <c r="Q76" i="2"/>
  <c r="P76" i="2"/>
  <c r="O76" i="2"/>
  <c r="R76" i="2" s="1"/>
  <c r="N76" i="2"/>
  <c r="M76" i="2"/>
  <c r="J76" i="2"/>
  <c r="K76" i="2" s="1"/>
  <c r="L76" i="2" s="1"/>
  <c r="I76" i="2"/>
  <c r="H76" i="2"/>
  <c r="U75" i="2"/>
  <c r="T75" i="2"/>
  <c r="Q75" i="2"/>
  <c r="P75" i="2"/>
  <c r="O75" i="2"/>
  <c r="R75" i="2" s="1"/>
  <c r="N75" i="2"/>
  <c r="M75" i="2"/>
  <c r="J75" i="2"/>
  <c r="K75" i="2" s="1"/>
  <c r="L75" i="2" s="1"/>
  <c r="I75" i="2"/>
  <c r="H75" i="2"/>
  <c r="U74" i="2"/>
  <c r="T74" i="2"/>
  <c r="Q74" i="2"/>
  <c r="P74" i="2"/>
  <c r="O74" i="2"/>
  <c r="N74" i="2"/>
  <c r="M74" i="2"/>
  <c r="J74" i="2"/>
  <c r="K74" i="2" s="1"/>
  <c r="L74" i="2" s="1"/>
  <c r="I74" i="2"/>
  <c r="H74" i="2"/>
  <c r="U73" i="2"/>
  <c r="T73" i="2"/>
  <c r="Q73" i="2"/>
  <c r="P73" i="2"/>
  <c r="O73" i="2"/>
  <c r="N73" i="2"/>
  <c r="M73" i="2"/>
  <c r="J73" i="2"/>
  <c r="K73" i="2" s="1"/>
  <c r="L73" i="2" s="1"/>
  <c r="I73" i="2"/>
  <c r="H73" i="2"/>
  <c r="U72" i="2"/>
  <c r="T72" i="2"/>
  <c r="Q72" i="2"/>
  <c r="P72" i="2"/>
  <c r="O72" i="2"/>
  <c r="R72" i="2" s="1"/>
  <c r="N72" i="2"/>
  <c r="M72" i="2"/>
  <c r="J72" i="2"/>
  <c r="K72" i="2" s="1"/>
  <c r="L72" i="2" s="1"/>
  <c r="I72" i="2"/>
  <c r="H72" i="2"/>
  <c r="U71" i="2"/>
  <c r="T71" i="2"/>
  <c r="Q71" i="2"/>
  <c r="P71" i="2"/>
  <c r="O71" i="2"/>
  <c r="N71" i="2"/>
  <c r="M71" i="2"/>
  <c r="J71" i="2"/>
  <c r="K71" i="2" s="1"/>
  <c r="L71" i="2" s="1"/>
  <c r="I71" i="2"/>
  <c r="H71" i="2"/>
  <c r="U70" i="2"/>
  <c r="T70" i="2"/>
  <c r="Q70" i="2"/>
  <c r="P70" i="2"/>
  <c r="O70" i="2"/>
  <c r="N70" i="2"/>
  <c r="M70" i="2"/>
  <c r="J70" i="2"/>
  <c r="K70" i="2" s="1"/>
  <c r="L70" i="2" s="1"/>
  <c r="I70" i="2"/>
  <c r="H70" i="2"/>
  <c r="U69" i="2"/>
  <c r="T69" i="2"/>
  <c r="Q69" i="2"/>
  <c r="P69" i="2"/>
  <c r="O69" i="2"/>
  <c r="N69" i="2"/>
  <c r="M69" i="2"/>
  <c r="J69" i="2"/>
  <c r="K69" i="2" s="1"/>
  <c r="L69" i="2" s="1"/>
  <c r="I69" i="2"/>
  <c r="H69" i="2"/>
  <c r="U68" i="2"/>
  <c r="T68" i="2"/>
  <c r="Q68" i="2"/>
  <c r="P68" i="2"/>
  <c r="O68" i="2"/>
  <c r="R68" i="2" s="1"/>
  <c r="N68" i="2"/>
  <c r="M68" i="2"/>
  <c r="J68" i="2"/>
  <c r="K68" i="2" s="1"/>
  <c r="L68" i="2" s="1"/>
  <c r="I68" i="2"/>
  <c r="H68" i="2"/>
  <c r="U67" i="2"/>
  <c r="T67" i="2"/>
  <c r="Q67" i="2"/>
  <c r="P67" i="2"/>
  <c r="O67" i="2"/>
  <c r="R67" i="2" s="1"/>
  <c r="N67" i="2"/>
  <c r="M67" i="2"/>
  <c r="J67" i="2"/>
  <c r="K67" i="2" s="1"/>
  <c r="L67" i="2" s="1"/>
  <c r="I67" i="2"/>
  <c r="H67" i="2"/>
  <c r="U66" i="2"/>
  <c r="T66" i="2"/>
  <c r="Q66" i="2"/>
  <c r="P66" i="2"/>
  <c r="O66" i="2"/>
  <c r="N66" i="2"/>
  <c r="M66" i="2"/>
  <c r="J66" i="2"/>
  <c r="K66" i="2" s="1"/>
  <c r="L66" i="2" s="1"/>
  <c r="I66" i="2"/>
  <c r="H66" i="2"/>
  <c r="U65" i="2"/>
  <c r="T65" i="2"/>
  <c r="Q65" i="2"/>
  <c r="P65" i="2"/>
  <c r="O65" i="2"/>
  <c r="N65" i="2"/>
  <c r="M65" i="2"/>
  <c r="J65" i="2"/>
  <c r="K65" i="2" s="1"/>
  <c r="L65" i="2" s="1"/>
  <c r="I65" i="2"/>
  <c r="H65" i="2"/>
  <c r="U64" i="2"/>
  <c r="T64" i="2"/>
  <c r="Q64" i="2"/>
  <c r="P64" i="2"/>
  <c r="O64" i="2"/>
  <c r="R64" i="2" s="1"/>
  <c r="N64" i="2"/>
  <c r="M64" i="2"/>
  <c r="J64" i="2"/>
  <c r="K64" i="2" s="1"/>
  <c r="L64" i="2" s="1"/>
  <c r="I64" i="2"/>
  <c r="H64" i="2"/>
  <c r="U63" i="2"/>
  <c r="T63" i="2"/>
  <c r="Q63" i="2"/>
  <c r="P63" i="2"/>
  <c r="O63" i="2"/>
  <c r="N63" i="2"/>
  <c r="M63" i="2"/>
  <c r="J63" i="2"/>
  <c r="K63" i="2" s="1"/>
  <c r="L63" i="2" s="1"/>
  <c r="I63" i="2"/>
  <c r="H63" i="2"/>
  <c r="U62" i="2"/>
  <c r="T62" i="2"/>
  <c r="Q62" i="2"/>
  <c r="P62" i="2"/>
  <c r="O62" i="2"/>
  <c r="N62" i="2"/>
  <c r="M62" i="2"/>
  <c r="J62" i="2"/>
  <c r="K62" i="2" s="1"/>
  <c r="L62" i="2" s="1"/>
  <c r="I62" i="2"/>
  <c r="H62" i="2"/>
  <c r="U61" i="2"/>
  <c r="T61" i="2"/>
  <c r="Q61" i="2"/>
  <c r="P61" i="2"/>
  <c r="O61" i="2"/>
  <c r="N61" i="2"/>
  <c r="M61" i="2"/>
  <c r="J61" i="2"/>
  <c r="K61" i="2" s="1"/>
  <c r="L61" i="2" s="1"/>
  <c r="I61" i="2"/>
  <c r="H61" i="2"/>
  <c r="U60" i="2"/>
  <c r="T60" i="2"/>
  <c r="Q60" i="2"/>
  <c r="P60" i="2"/>
  <c r="O60" i="2"/>
  <c r="R60" i="2" s="1"/>
  <c r="N60" i="2"/>
  <c r="M60" i="2"/>
  <c r="J60" i="2"/>
  <c r="K60" i="2" s="1"/>
  <c r="L60" i="2" s="1"/>
  <c r="I60" i="2"/>
  <c r="H60" i="2"/>
  <c r="U59" i="2"/>
  <c r="T59" i="2"/>
  <c r="Q59" i="2"/>
  <c r="P59" i="2"/>
  <c r="O59" i="2"/>
  <c r="N59" i="2"/>
  <c r="M59" i="2"/>
  <c r="J59" i="2"/>
  <c r="K59" i="2" s="1"/>
  <c r="L59" i="2" s="1"/>
  <c r="I59" i="2"/>
  <c r="H59" i="2"/>
  <c r="U58" i="2"/>
  <c r="T58" i="2"/>
  <c r="Q58" i="2"/>
  <c r="P58" i="2"/>
  <c r="O58" i="2"/>
  <c r="N58" i="2"/>
  <c r="M58" i="2"/>
  <c r="J58" i="2"/>
  <c r="K58" i="2" s="1"/>
  <c r="L58" i="2" s="1"/>
  <c r="I58" i="2"/>
  <c r="H58" i="2"/>
  <c r="U57" i="2"/>
  <c r="T57" i="2"/>
  <c r="Q57" i="2"/>
  <c r="P57" i="2"/>
  <c r="O57" i="2"/>
  <c r="N57" i="2"/>
  <c r="M57" i="2"/>
  <c r="J57" i="2"/>
  <c r="K57" i="2" s="1"/>
  <c r="L57" i="2" s="1"/>
  <c r="I57" i="2"/>
  <c r="H57" i="2"/>
  <c r="U56" i="2"/>
  <c r="T56" i="2"/>
  <c r="Q56" i="2"/>
  <c r="P56" i="2"/>
  <c r="O56" i="2"/>
  <c r="R56" i="2" s="1"/>
  <c r="N56" i="2"/>
  <c r="M56" i="2"/>
  <c r="J56" i="2"/>
  <c r="K56" i="2" s="1"/>
  <c r="L56" i="2" s="1"/>
  <c r="I56" i="2"/>
  <c r="H56" i="2"/>
  <c r="U55" i="2"/>
  <c r="T55" i="2"/>
  <c r="Q55" i="2"/>
  <c r="P55" i="2"/>
  <c r="O55" i="2"/>
  <c r="R55" i="2" s="1"/>
  <c r="N55" i="2"/>
  <c r="M55" i="2"/>
  <c r="J55" i="2"/>
  <c r="K55" i="2" s="1"/>
  <c r="L55" i="2" s="1"/>
  <c r="I55" i="2"/>
  <c r="H55" i="2"/>
  <c r="U54" i="2"/>
  <c r="T54" i="2"/>
  <c r="Q54" i="2"/>
  <c r="P54" i="2"/>
  <c r="O54" i="2"/>
  <c r="N54" i="2"/>
  <c r="M54" i="2"/>
  <c r="J54" i="2"/>
  <c r="K54" i="2" s="1"/>
  <c r="L54" i="2" s="1"/>
  <c r="I54" i="2"/>
  <c r="H54" i="2"/>
  <c r="U53" i="2"/>
  <c r="T53" i="2"/>
  <c r="Q53" i="2"/>
  <c r="P53" i="2"/>
  <c r="O53" i="2"/>
  <c r="N53" i="2"/>
  <c r="M53" i="2"/>
  <c r="J53" i="2"/>
  <c r="K53" i="2" s="1"/>
  <c r="L53" i="2" s="1"/>
  <c r="I53" i="2"/>
  <c r="H53" i="2"/>
  <c r="U52" i="2"/>
  <c r="T52" i="2"/>
  <c r="Q52" i="2"/>
  <c r="P52" i="2"/>
  <c r="O52" i="2"/>
  <c r="R52" i="2" s="1"/>
  <c r="N52" i="2"/>
  <c r="M52" i="2"/>
  <c r="J52" i="2"/>
  <c r="K52" i="2" s="1"/>
  <c r="L52" i="2" s="1"/>
  <c r="I52" i="2"/>
  <c r="H52" i="2"/>
  <c r="U51" i="2"/>
  <c r="T51" i="2"/>
  <c r="Q51" i="2"/>
  <c r="P51" i="2"/>
  <c r="O51" i="2"/>
  <c r="N51" i="2"/>
  <c r="M51" i="2"/>
  <c r="J51" i="2"/>
  <c r="K51" i="2" s="1"/>
  <c r="L51" i="2" s="1"/>
  <c r="I51" i="2"/>
  <c r="H51" i="2"/>
  <c r="F51" i="2"/>
  <c r="U50" i="2"/>
  <c r="T50" i="2"/>
  <c r="V50" i="2" s="1"/>
  <c r="Q50" i="2"/>
  <c r="P50" i="2"/>
  <c r="O50" i="2"/>
  <c r="R50" i="2" s="1"/>
  <c r="N50" i="2"/>
  <c r="M50" i="2"/>
  <c r="J50" i="2"/>
  <c r="K50" i="2" s="1"/>
  <c r="L50" i="2" s="1"/>
  <c r="I50" i="2"/>
  <c r="H50" i="2"/>
  <c r="F50" i="2"/>
  <c r="U49" i="2"/>
  <c r="T49" i="2"/>
  <c r="Q49" i="2"/>
  <c r="P49" i="2"/>
  <c r="O49" i="2"/>
  <c r="N49" i="2"/>
  <c r="M49" i="2"/>
  <c r="J49" i="2"/>
  <c r="K49" i="2" s="1"/>
  <c r="L49" i="2" s="1"/>
  <c r="I49" i="2"/>
  <c r="H49" i="2"/>
  <c r="U48" i="2"/>
  <c r="T48" i="2"/>
  <c r="Q48" i="2"/>
  <c r="P48" i="2"/>
  <c r="O48" i="2"/>
  <c r="R48" i="2" s="1"/>
  <c r="N48" i="2"/>
  <c r="M48" i="2"/>
  <c r="J48" i="2"/>
  <c r="K48" i="2" s="1"/>
  <c r="L48" i="2" s="1"/>
  <c r="I48" i="2"/>
  <c r="H48" i="2"/>
  <c r="U47" i="2"/>
  <c r="T47" i="2"/>
  <c r="Q47" i="2"/>
  <c r="P47" i="2"/>
  <c r="O47" i="2"/>
  <c r="N47" i="2"/>
  <c r="M47" i="2"/>
  <c r="J47" i="2"/>
  <c r="K47" i="2" s="1"/>
  <c r="L47" i="2" s="1"/>
  <c r="I47" i="2"/>
  <c r="H47" i="2"/>
  <c r="U46" i="2"/>
  <c r="T46" i="2"/>
  <c r="Q46" i="2"/>
  <c r="P46" i="2"/>
  <c r="O46" i="2"/>
  <c r="N46" i="2"/>
  <c r="M46" i="2"/>
  <c r="J46" i="2"/>
  <c r="K46" i="2" s="1"/>
  <c r="L46" i="2" s="1"/>
  <c r="I46" i="2"/>
  <c r="H46" i="2"/>
  <c r="U45" i="2"/>
  <c r="T45" i="2"/>
  <c r="Q45" i="2"/>
  <c r="P45" i="2"/>
  <c r="O45" i="2"/>
  <c r="N45" i="2"/>
  <c r="M45" i="2"/>
  <c r="J45" i="2"/>
  <c r="K45" i="2" s="1"/>
  <c r="L45" i="2" s="1"/>
  <c r="I45" i="2"/>
  <c r="H45" i="2"/>
  <c r="U44" i="2"/>
  <c r="T44" i="2"/>
  <c r="Q44" i="2"/>
  <c r="P44" i="2"/>
  <c r="O44" i="2"/>
  <c r="R44" i="2" s="1"/>
  <c r="N44" i="2"/>
  <c r="M44" i="2"/>
  <c r="J44" i="2"/>
  <c r="K44" i="2" s="1"/>
  <c r="L44" i="2" s="1"/>
  <c r="I44" i="2"/>
  <c r="H44" i="2"/>
  <c r="U43" i="2"/>
  <c r="T43" i="2"/>
  <c r="Q43" i="2"/>
  <c r="P43" i="2"/>
  <c r="O43" i="2"/>
  <c r="N43" i="2"/>
  <c r="M43" i="2"/>
  <c r="J43" i="2"/>
  <c r="K43" i="2" s="1"/>
  <c r="L43" i="2" s="1"/>
  <c r="I43" i="2"/>
  <c r="H43" i="2"/>
  <c r="U42" i="2"/>
  <c r="T42" i="2"/>
  <c r="Q42" i="2"/>
  <c r="P42" i="2"/>
  <c r="O42" i="2"/>
  <c r="N42" i="2"/>
  <c r="M42" i="2"/>
  <c r="J42" i="2"/>
  <c r="K42" i="2" s="1"/>
  <c r="L42" i="2" s="1"/>
  <c r="I42" i="2"/>
  <c r="H42" i="2"/>
  <c r="U41" i="2"/>
  <c r="T41" i="2"/>
  <c r="Q41" i="2"/>
  <c r="P41" i="2"/>
  <c r="O41" i="2"/>
  <c r="N41" i="2"/>
  <c r="M41" i="2"/>
  <c r="J41" i="2"/>
  <c r="K41" i="2" s="1"/>
  <c r="L41" i="2" s="1"/>
  <c r="I41" i="2"/>
  <c r="H41" i="2"/>
  <c r="U40" i="2"/>
  <c r="T40" i="2"/>
  <c r="Q40" i="2"/>
  <c r="P40" i="2"/>
  <c r="O40" i="2"/>
  <c r="R40" i="2" s="1"/>
  <c r="N40" i="2"/>
  <c r="M40" i="2"/>
  <c r="J40" i="2"/>
  <c r="K40" i="2" s="1"/>
  <c r="L40" i="2" s="1"/>
  <c r="I40" i="2"/>
  <c r="H40" i="2"/>
  <c r="U39" i="2"/>
  <c r="T39" i="2"/>
  <c r="Q39" i="2"/>
  <c r="P39" i="2"/>
  <c r="O39" i="2"/>
  <c r="N39" i="2"/>
  <c r="M39" i="2"/>
  <c r="J39" i="2"/>
  <c r="K39" i="2" s="1"/>
  <c r="L39" i="2" s="1"/>
  <c r="I39" i="2"/>
  <c r="H39" i="2"/>
  <c r="U38" i="2"/>
  <c r="T38" i="2"/>
  <c r="Q38" i="2"/>
  <c r="P38" i="2"/>
  <c r="O38" i="2"/>
  <c r="N38" i="2"/>
  <c r="M38" i="2"/>
  <c r="J38" i="2"/>
  <c r="K38" i="2" s="1"/>
  <c r="L38" i="2" s="1"/>
  <c r="I38" i="2"/>
  <c r="H38" i="2"/>
  <c r="U37" i="2"/>
  <c r="T37" i="2"/>
  <c r="Q37" i="2"/>
  <c r="P37" i="2"/>
  <c r="O37" i="2"/>
  <c r="N37" i="2"/>
  <c r="M37" i="2"/>
  <c r="J37" i="2"/>
  <c r="K37" i="2" s="1"/>
  <c r="L37" i="2" s="1"/>
  <c r="I37" i="2"/>
  <c r="H37" i="2"/>
  <c r="U36" i="2"/>
  <c r="T36" i="2"/>
  <c r="Q36" i="2"/>
  <c r="P36" i="2"/>
  <c r="O36" i="2"/>
  <c r="R36" i="2" s="1"/>
  <c r="N36" i="2"/>
  <c r="M36" i="2"/>
  <c r="J36" i="2"/>
  <c r="K36" i="2" s="1"/>
  <c r="L36" i="2" s="1"/>
  <c r="I36" i="2"/>
  <c r="H36" i="2"/>
  <c r="U35" i="2"/>
  <c r="T35" i="2"/>
  <c r="Q35" i="2"/>
  <c r="P35" i="2"/>
  <c r="O35" i="2"/>
  <c r="N35" i="2"/>
  <c r="M35" i="2"/>
  <c r="J35" i="2"/>
  <c r="K35" i="2" s="1"/>
  <c r="L35" i="2" s="1"/>
  <c r="I35" i="2"/>
  <c r="H35" i="2"/>
  <c r="U34" i="2"/>
  <c r="T34" i="2"/>
  <c r="Q34" i="2"/>
  <c r="P34" i="2"/>
  <c r="O34" i="2"/>
  <c r="R34" i="2" s="1"/>
  <c r="N34" i="2"/>
  <c r="M34" i="2"/>
  <c r="J34" i="2"/>
  <c r="K34" i="2" s="1"/>
  <c r="L34" i="2" s="1"/>
  <c r="I34" i="2"/>
  <c r="H34" i="2"/>
  <c r="U33" i="2"/>
  <c r="T33" i="2"/>
  <c r="Q33" i="2"/>
  <c r="P33" i="2"/>
  <c r="O33" i="2"/>
  <c r="N33" i="2"/>
  <c r="M33" i="2"/>
  <c r="J33" i="2"/>
  <c r="K33" i="2" s="1"/>
  <c r="L33" i="2" s="1"/>
  <c r="I33" i="2"/>
  <c r="H33" i="2"/>
  <c r="U32" i="2"/>
  <c r="T32" i="2"/>
  <c r="Q32" i="2"/>
  <c r="P32" i="2"/>
  <c r="O32" i="2"/>
  <c r="R32" i="2" s="1"/>
  <c r="N32" i="2"/>
  <c r="M32" i="2"/>
  <c r="J32" i="2"/>
  <c r="K32" i="2" s="1"/>
  <c r="L32" i="2" s="1"/>
  <c r="I32" i="2"/>
  <c r="H32" i="2"/>
  <c r="U31" i="2"/>
  <c r="T31" i="2"/>
  <c r="Q31" i="2"/>
  <c r="P31" i="2"/>
  <c r="O31" i="2"/>
  <c r="R31" i="2" s="1"/>
  <c r="N31" i="2"/>
  <c r="M31" i="2"/>
  <c r="J31" i="2"/>
  <c r="K31" i="2" s="1"/>
  <c r="L31" i="2" s="1"/>
  <c r="I31" i="2"/>
  <c r="H31" i="2"/>
  <c r="U30" i="2"/>
  <c r="T30" i="2"/>
  <c r="Q30" i="2"/>
  <c r="P30" i="2"/>
  <c r="O30" i="2"/>
  <c r="N30" i="2"/>
  <c r="M30" i="2"/>
  <c r="J30" i="2"/>
  <c r="K30" i="2" s="1"/>
  <c r="L30" i="2" s="1"/>
  <c r="I30" i="2"/>
  <c r="H30" i="2"/>
  <c r="U29" i="2"/>
  <c r="T29" i="2"/>
  <c r="Q29" i="2"/>
  <c r="P29" i="2"/>
  <c r="O29" i="2"/>
  <c r="N29" i="2"/>
  <c r="M29" i="2"/>
  <c r="J29" i="2"/>
  <c r="K29" i="2" s="1"/>
  <c r="L29" i="2" s="1"/>
  <c r="I29" i="2"/>
  <c r="H29" i="2"/>
  <c r="U28" i="2"/>
  <c r="T28" i="2"/>
  <c r="Q28" i="2"/>
  <c r="P28" i="2"/>
  <c r="O28" i="2"/>
  <c r="R28" i="2" s="1"/>
  <c r="N28" i="2"/>
  <c r="M28" i="2"/>
  <c r="J28" i="2"/>
  <c r="K28" i="2" s="1"/>
  <c r="L28" i="2" s="1"/>
  <c r="I28" i="2"/>
  <c r="H28" i="2"/>
  <c r="U27" i="2"/>
  <c r="T27" i="2"/>
  <c r="Q27" i="2"/>
  <c r="P27" i="2"/>
  <c r="O27" i="2"/>
  <c r="R27" i="2" s="1"/>
  <c r="N27" i="2"/>
  <c r="M27" i="2"/>
  <c r="J27" i="2"/>
  <c r="K27" i="2" s="1"/>
  <c r="L27" i="2" s="1"/>
  <c r="I27" i="2"/>
  <c r="H27" i="2"/>
  <c r="U26" i="2"/>
  <c r="T26" i="2"/>
  <c r="Q26" i="2"/>
  <c r="P26" i="2"/>
  <c r="O26" i="2"/>
  <c r="N26" i="2"/>
  <c r="M26" i="2"/>
  <c r="J26" i="2"/>
  <c r="K26" i="2" s="1"/>
  <c r="L26" i="2" s="1"/>
  <c r="I26" i="2"/>
  <c r="H26" i="2"/>
  <c r="U25" i="2"/>
  <c r="T25" i="2"/>
  <c r="Q25" i="2"/>
  <c r="P25" i="2"/>
  <c r="O25" i="2"/>
  <c r="N25" i="2"/>
  <c r="M25" i="2"/>
  <c r="J25" i="2"/>
  <c r="K25" i="2" s="1"/>
  <c r="L25" i="2" s="1"/>
  <c r="I25" i="2"/>
  <c r="H25" i="2"/>
  <c r="U24" i="2"/>
  <c r="T24" i="2"/>
  <c r="Q24" i="2"/>
  <c r="P24" i="2"/>
  <c r="O24" i="2"/>
  <c r="R24" i="2" s="1"/>
  <c r="N24" i="2"/>
  <c r="M24" i="2"/>
  <c r="J24" i="2"/>
  <c r="K24" i="2" s="1"/>
  <c r="L24" i="2" s="1"/>
  <c r="I24" i="2"/>
  <c r="H24" i="2"/>
  <c r="U23" i="2"/>
  <c r="T23" i="2"/>
  <c r="Q23" i="2"/>
  <c r="P23" i="2"/>
  <c r="O23" i="2"/>
  <c r="R23" i="2" s="1"/>
  <c r="N23" i="2"/>
  <c r="M23" i="2"/>
  <c r="J23" i="2"/>
  <c r="K23" i="2" s="1"/>
  <c r="L23" i="2" s="1"/>
  <c r="I23" i="2"/>
  <c r="H23" i="2"/>
  <c r="U22" i="2"/>
  <c r="T22" i="2"/>
  <c r="Q22" i="2"/>
  <c r="P22" i="2"/>
  <c r="O22" i="2"/>
  <c r="N22" i="2"/>
  <c r="M22" i="2"/>
  <c r="J22" i="2"/>
  <c r="K22" i="2" s="1"/>
  <c r="L22" i="2" s="1"/>
  <c r="I22" i="2"/>
  <c r="H22" i="2"/>
  <c r="U21" i="2"/>
  <c r="T21" i="2"/>
  <c r="Q21" i="2"/>
  <c r="P21" i="2"/>
  <c r="O21" i="2"/>
  <c r="N21" i="2"/>
  <c r="M21" i="2"/>
  <c r="J21" i="2"/>
  <c r="K21" i="2" s="1"/>
  <c r="L21" i="2" s="1"/>
  <c r="I21" i="2"/>
  <c r="H21" i="2"/>
  <c r="U20" i="2"/>
  <c r="T20" i="2"/>
  <c r="Q20" i="2"/>
  <c r="P20" i="2"/>
  <c r="O20" i="2"/>
  <c r="R20" i="2" s="1"/>
  <c r="N20" i="2"/>
  <c r="M20" i="2"/>
  <c r="J20" i="2"/>
  <c r="K20" i="2" s="1"/>
  <c r="L20" i="2" s="1"/>
  <c r="I20" i="2"/>
  <c r="H20" i="2"/>
  <c r="U19" i="2"/>
  <c r="T19" i="2"/>
  <c r="Q19" i="2"/>
  <c r="P19" i="2"/>
  <c r="O19" i="2"/>
  <c r="R19" i="2" s="1"/>
  <c r="N19" i="2"/>
  <c r="M19" i="2"/>
  <c r="J19" i="2"/>
  <c r="K19" i="2" s="1"/>
  <c r="L19" i="2" s="1"/>
  <c r="I19" i="2"/>
  <c r="H19" i="2"/>
  <c r="U18" i="2"/>
  <c r="T18" i="2"/>
  <c r="Q18" i="2"/>
  <c r="P18" i="2"/>
  <c r="O18" i="2"/>
  <c r="R18" i="2" s="1"/>
  <c r="N18" i="2"/>
  <c r="M18" i="2"/>
  <c r="J18" i="2"/>
  <c r="K18" i="2" s="1"/>
  <c r="L18" i="2" s="1"/>
  <c r="I18" i="2"/>
  <c r="H18" i="2"/>
  <c r="U17" i="2"/>
  <c r="T17" i="2"/>
  <c r="Q17" i="2"/>
  <c r="P17" i="2"/>
  <c r="O17" i="2"/>
  <c r="N17" i="2"/>
  <c r="M17" i="2"/>
  <c r="J17" i="2"/>
  <c r="K17" i="2" s="1"/>
  <c r="L17" i="2" s="1"/>
  <c r="I17" i="2"/>
  <c r="H17" i="2"/>
  <c r="U16" i="2"/>
  <c r="T16" i="2"/>
  <c r="Q16" i="2"/>
  <c r="P16" i="2"/>
  <c r="O16" i="2"/>
  <c r="R16" i="2" s="1"/>
  <c r="N16" i="2"/>
  <c r="M16" i="2"/>
  <c r="J16" i="2"/>
  <c r="K16" i="2" s="1"/>
  <c r="L16" i="2" s="1"/>
  <c r="I16" i="2"/>
  <c r="H16" i="2"/>
  <c r="U15" i="2"/>
  <c r="T15" i="2"/>
  <c r="Q15" i="2"/>
  <c r="P15" i="2"/>
  <c r="O15" i="2"/>
  <c r="R15" i="2" s="1"/>
  <c r="N15" i="2"/>
  <c r="M15" i="2"/>
  <c r="J15" i="2"/>
  <c r="K15" i="2" s="1"/>
  <c r="L15" i="2" s="1"/>
  <c r="I15" i="2"/>
  <c r="H15" i="2"/>
  <c r="U14" i="2"/>
  <c r="T14" i="2"/>
  <c r="Q14" i="2"/>
  <c r="P14" i="2"/>
  <c r="O14" i="2"/>
  <c r="N14" i="2"/>
  <c r="M14" i="2"/>
  <c r="J14" i="2"/>
  <c r="K14" i="2" s="1"/>
  <c r="L14" i="2" s="1"/>
  <c r="I14" i="2"/>
  <c r="H14" i="2"/>
  <c r="U13" i="2"/>
  <c r="T13" i="2"/>
  <c r="Q13" i="2"/>
  <c r="P13" i="2"/>
  <c r="O13" i="2"/>
  <c r="N13" i="2"/>
  <c r="M13" i="2"/>
  <c r="J13" i="2"/>
  <c r="K13" i="2" s="1"/>
  <c r="L13" i="2" s="1"/>
  <c r="I13" i="2"/>
  <c r="H13" i="2"/>
  <c r="U12" i="2"/>
  <c r="T12" i="2"/>
  <c r="Q12" i="2"/>
  <c r="P12" i="2"/>
  <c r="O12" i="2"/>
  <c r="R12" i="2" s="1"/>
  <c r="N12" i="2"/>
  <c r="M12" i="2"/>
  <c r="J12" i="2"/>
  <c r="K12" i="2" s="1"/>
  <c r="L12" i="2" s="1"/>
  <c r="I12" i="2"/>
  <c r="H12" i="2"/>
  <c r="U11" i="2"/>
  <c r="T11" i="2"/>
  <c r="Q11" i="2"/>
  <c r="P11" i="2"/>
  <c r="O11" i="2"/>
  <c r="R11" i="2" s="1"/>
  <c r="N11" i="2"/>
  <c r="M11" i="2"/>
  <c r="J11" i="2"/>
  <c r="K11" i="2" s="1"/>
  <c r="L11" i="2" s="1"/>
  <c r="I11" i="2"/>
  <c r="H11" i="2"/>
  <c r="U10" i="2"/>
  <c r="T10" i="2"/>
  <c r="Q10" i="2"/>
  <c r="P10" i="2"/>
  <c r="O10" i="2"/>
  <c r="N10" i="2"/>
  <c r="M10" i="2"/>
  <c r="J10" i="2"/>
  <c r="K10" i="2" s="1"/>
  <c r="L10" i="2" s="1"/>
  <c r="I10" i="2"/>
  <c r="H10" i="2"/>
  <c r="U9" i="2"/>
  <c r="T9" i="2"/>
  <c r="Q9" i="2"/>
  <c r="P9" i="2"/>
  <c r="O9" i="2"/>
  <c r="N9" i="2"/>
  <c r="M9" i="2"/>
  <c r="J9" i="2"/>
  <c r="K9" i="2" s="1"/>
  <c r="L9" i="2" s="1"/>
  <c r="I9" i="2"/>
  <c r="H9" i="2"/>
  <c r="U8" i="2"/>
  <c r="T8" i="2"/>
  <c r="Q8" i="2"/>
  <c r="P8" i="2"/>
  <c r="O8" i="2"/>
  <c r="R8" i="2" s="1"/>
  <c r="N8" i="2"/>
  <c r="M8" i="2"/>
  <c r="J8" i="2"/>
  <c r="K8" i="2" s="1"/>
  <c r="L8" i="2" s="1"/>
  <c r="I8" i="2"/>
  <c r="H8" i="2"/>
  <c r="U7" i="2"/>
  <c r="T7" i="2"/>
  <c r="Q7" i="2"/>
  <c r="P7" i="2"/>
  <c r="O7" i="2"/>
  <c r="R7" i="2" s="1"/>
  <c r="N7" i="2"/>
  <c r="M7" i="2"/>
  <c r="J7" i="2"/>
  <c r="K7" i="2" s="1"/>
  <c r="L7" i="2" s="1"/>
  <c r="I7" i="2"/>
  <c r="H7" i="2"/>
  <c r="U6" i="2"/>
  <c r="T6" i="2"/>
  <c r="Q6" i="2"/>
  <c r="P6" i="2"/>
  <c r="O6" i="2"/>
  <c r="R6" i="2" s="1"/>
  <c r="N6" i="2"/>
  <c r="M6" i="2"/>
  <c r="J6" i="2"/>
  <c r="K6" i="2" s="1"/>
  <c r="L6" i="2" s="1"/>
  <c r="I6" i="2"/>
  <c r="H6" i="2"/>
  <c r="U5" i="2"/>
  <c r="T5" i="2"/>
  <c r="Q5" i="2"/>
  <c r="P5" i="2"/>
  <c r="O5" i="2"/>
  <c r="N5" i="2"/>
  <c r="M5" i="2"/>
  <c r="J5" i="2"/>
  <c r="K5" i="2" s="1"/>
  <c r="L5" i="2" s="1"/>
  <c r="I5" i="2"/>
  <c r="H5" i="2"/>
  <c r="D862" i="1"/>
  <c r="V542" i="2" l="1"/>
  <c r="V884" i="2"/>
  <c r="V101" i="7"/>
  <c r="V47" i="8"/>
  <c r="V1191" i="2"/>
  <c r="S341" i="2"/>
  <c r="S857" i="2"/>
  <c r="V349" i="7"/>
  <c r="S419" i="7"/>
  <c r="V148" i="7"/>
  <c r="S1120" i="2"/>
  <c r="V1200" i="2"/>
  <c r="V1308" i="2"/>
  <c r="V1320" i="2"/>
  <c r="S250" i="7"/>
  <c r="V1100" i="2"/>
  <c r="V816" i="2"/>
  <c r="V1333" i="2"/>
  <c r="V1041" i="2"/>
  <c r="V1050" i="2"/>
  <c r="S1180" i="2"/>
  <c r="V250" i="7"/>
  <c r="V886" i="2"/>
  <c r="V88" i="7"/>
  <c r="V782" i="2"/>
  <c r="V43" i="8"/>
  <c r="V153" i="2"/>
  <c r="V1173" i="2"/>
  <c r="S189" i="7"/>
  <c r="V151" i="7"/>
  <c r="V1199" i="2"/>
  <c r="V183" i="7"/>
  <c r="V230" i="7"/>
  <c r="S167" i="2"/>
  <c r="V905" i="2"/>
  <c r="V986" i="2"/>
  <c r="V850" i="2"/>
  <c r="V252" i="7"/>
  <c r="V548" i="2"/>
  <c r="V862" i="2"/>
  <c r="V904" i="2"/>
  <c r="V233" i="2"/>
  <c r="V341" i="2"/>
  <c r="V1043" i="2"/>
  <c r="V1063" i="2"/>
  <c r="S1321" i="2"/>
  <c r="V521" i="2"/>
  <c r="V428" i="2"/>
  <c r="V900" i="2"/>
  <c r="S479" i="2"/>
  <c r="S114" i="7"/>
  <c r="V392" i="2"/>
  <c r="V1319" i="2"/>
  <c r="V184" i="2"/>
  <c r="V854" i="2"/>
  <c r="S919" i="2"/>
  <c r="V677" i="2"/>
  <c r="V998" i="2"/>
  <c r="V1036" i="2"/>
  <c r="V117" i="2"/>
  <c r="V226" i="2"/>
  <c r="V744" i="2"/>
  <c r="V935" i="2"/>
  <c r="V1207" i="2"/>
  <c r="V264" i="7"/>
  <c r="V185" i="2"/>
  <c r="V1078" i="2"/>
  <c r="V324" i="2"/>
  <c r="V848" i="2"/>
  <c r="V1044" i="2"/>
  <c r="V104" i="7"/>
  <c r="V215" i="7"/>
  <c r="V233" i="7"/>
  <c r="V276" i="7"/>
  <c r="S79" i="2"/>
  <c r="S16" i="2"/>
  <c r="V109" i="2"/>
  <c r="V121" i="2"/>
  <c r="V212" i="2"/>
  <c r="V218" i="2"/>
  <c r="V225" i="2"/>
  <c r="S388" i="2"/>
  <c r="V645" i="2"/>
  <c r="S1062" i="2"/>
  <c r="V274" i="2"/>
  <c r="S296" i="2"/>
  <c r="S345" i="2"/>
  <c r="V312" i="7"/>
  <c r="V5" i="2"/>
  <c r="V126" i="2"/>
  <c r="V224" i="2"/>
  <c r="V273" i="2"/>
  <c r="S194" i="2"/>
  <c r="S277" i="2"/>
  <c r="V400" i="2"/>
  <c r="V443" i="2"/>
  <c r="S447" i="2"/>
  <c r="V680" i="2"/>
  <c r="V698" i="2"/>
  <c r="V711" i="2"/>
  <c r="V754" i="2"/>
  <c r="V760" i="2"/>
  <c r="V772" i="2"/>
  <c r="V939" i="2"/>
  <c r="V1344" i="2"/>
  <c r="V336" i="7"/>
  <c r="V486" i="2"/>
  <c r="V517" i="2"/>
  <c r="S1066" i="2"/>
  <c r="S1208" i="2"/>
  <c r="S1232" i="2"/>
  <c r="S20" i="2"/>
  <c r="S32" i="2"/>
  <c r="S44" i="2"/>
  <c r="S87" i="2"/>
  <c r="V161" i="2"/>
  <c r="S228" i="2"/>
  <c r="V235" i="2"/>
  <c r="V241" i="2"/>
  <c r="V709" i="2"/>
  <c r="V784" i="2"/>
  <c r="V796" i="2"/>
  <c r="V968" i="2"/>
  <c r="V1073" i="2"/>
  <c r="S1078" i="2"/>
  <c r="V1324" i="2"/>
  <c r="V260" i="7"/>
  <c r="V291" i="7"/>
  <c r="V387" i="2"/>
  <c r="V417" i="2"/>
  <c r="S7" i="2"/>
  <c r="V81" i="2"/>
  <c r="V105" i="2"/>
  <c r="V130" i="2"/>
  <c r="V180" i="2"/>
  <c r="V205" i="2"/>
  <c r="V227" i="2"/>
  <c r="V326" i="2"/>
  <c r="V356" i="2"/>
  <c r="V684" i="2"/>
  <c r="V832" i="2"/>
  <c r="V967" i="2"/>
  <c r="V1189" i="2"/>
  <c r="S1335" i="2"/>
  <c r="V175" i="7"/>
  <c r="V65" i="2"/>
  <c r="V248" i="7"/>
  <c r="V172" i="2"/>
  <c r="V178" i="2"/>
  <c r="V379" i="2"/>
  <c r="V520" i="2"/>
  <c r="V557" i="2"/>
  <c r="V903" i="2"/>
  <c r="V1116" i="2"/>
  <c r="V1184" i="2"/>
  <c r="V1314" i="2"/>
  <c r="V1328" i="2"/>
  <c r="V17" i="7"/>
  <c r="V23" i="7"/>
  <c r="V96" i="7"/>
  <c r="V147" i="7"/>
  <c r="V160" i="7"/>
  <c r="V241" i="7"/>
  <c r="V292" i="7"/>
  <c r="V335" i="7"/>
  <c r="V11" i="8"/>
  <c r="V312" i="2"/>
  <c r="V1033" i="2"/>
  <c r="V95" i="2"/>
  <c r="V101" i="2"/>
  <c r="V146" i="2"/>
  <c r="V297" i="2"/>
  <c r="V402" i="2"/>
  <c r="S686" i="2"/>
  <c r="V807" i="2"/>
  <c r="V896" i="2"/>
  <c r="V1001" i="2"/>
  <c r="V1158" i="2"/>
  <c r="V1234" i="2"/>
  <c r="V1240" i="2"/>
  <c r="V1252" i="2"/>
  <c r="V1327" i="2"/>
  <c r="S12" i="3"/>
  <c r="V108" i="7"/>
  <c r="V197" i="7"/>
  <c r="V203" i="7"/>
  <c r="V209" i="7"/>
  <c r="V285" i="7"/>
  <c r="V466" i="2"/>
  <c r="V1245" i="6"/>
  <c r="V82" i="2"/>
  <c r="V202" i="2"/>
  <c r="V457" i="2"/>
  <c r="V637" i="2"/>
  <c r="V800" i="2"/>
  <c r="V812" i="2"/>
  <c r="V826" i="2"/>
  <c r="V950" i="2"/>
  <c r="V987" i="2"/>
  <c r="V1139" i="2"/>
  <c r="V1313" i="2"/>
  <c r="V1354" i="2"/>
  <c r="T8" i="3"/>
  <c r="V5" i="4"/>
  <c r="V22" i="7"/>
  <c r="V234" i="7"/>
  <c r="V373" i="7"/>
  <c r="S48" i="2"/>
  <c r="V252" i="2"/>
  <c r="V284" i="2"/>
  <c r="V1163" i="2"/>
  <c r="V1340" i="2"/>
  <c r="V113" i="7"/>
  <c r="V184" i="7"/>
  <c r="V284" i="7"/>
  <c r="V1065" i="2"/>
  <c r="S123" i="2"/>
  <c r="V138" i="2"/>
  <c r="V150" i="2"/>
  <c r="S197" i="2"/>
  <c r="V289" i="2"/>
  <c r="V340" i="2"/>
  <c r="S393" i="2"/>
  <c r="S734" i="2"/>
  <c r="V742" i="2"/>
  <c r="V915" i="2"/>
  <c r="V949" i="2"/>
  <c r="V955" i="2"/>
  <c r="V1015" i="2"/>
  <c r="V1028" i="2"/>
  <c r="S7" i="7"/>
  <c r="V214" i="7"/>
  <c r="V277" i="7"/>
  <c r="V446" i="7"/>
  <c r="V508" i="2"/>
  <c r="V977" i="2"/>
  <c r="V1329" i="2"/>
  <c r="V436" i="7"/>
  <c r="V1156" i="2"/>
  <c r="V1305" i="2"/>
  <c r="V390" i="7"/>
  <c r="V80" i="2"/>
  <c r="V181" i="2"/>
  <c r="V536" i="2"/>
  <c r="V554" i="2"/>
  <c r="S570" i="2"/>
  <c r="V616" i="2"/>
  <c r="V748" i="2"/>
  <c r="V766" i="2"/>
  <c r="V780" i="2"/>
  <c r="V792" i="2"/>
  <c r="V804" i="2"/>
  <c r="V836" i="2"/>
  <c r="S939" i="2"/>
  <c r="S1172" i="2"/>
  <c r="S60" i="7"/>
  <c r="S242" i="7"/>
  <c r="V301" i="7"/>
  <c r="S6" i="8"/>
  <c r="V102" i="2"/>
  <c r="V61" i="2"/>
  <c r="V149" i="2"/>
  <c r="V256" i="2"/>
  <c r="V281" i="2"/>
  <c r="V423" i="2"/>
  <c r="V442" i="2"/>
  <c r="S983" i="2"/>
  <c r="V1025" i="2"/>
  <c r="S78" i="7"/>
  <c r="V143" i="7"/>
  <c r="V149" i="7"/>
  <c r="V275" i="7"/>
  <c r="V496" i="2"/>
  <c r="V497" i="2"/>
  <c r="S1020" i="2"/>
  <c r="V1054" i="2"/>
  <c r="V1086" i="2"/>
  <c r="S1152" i="2"/>
  <c r="V1291" i="2"/>
  <c r="V7" i="7"/>
  <c r="V37" i="7"/>
  <c r="V199" i="7"/>
  <c r="V211" i="7"/>
  <c r="V249" i="7"/>
  <c r="V287" i="7"/>
  <c r="V350" i="7"/>
  <c r="V431" i="7"/>
  <c r="V714" i="2"/>
  <c r="V41" i="2"/>
  <c r="V103" i="2"/>
  <c r="S108" i="2"/>
  <c r="V135" i="2"/>
  <c r="V142" i="2"/>
  <c r="V230" i="2"/>
  <c r="V368" i="2"/>
  <c r="V404" i="2"/>
  <c r="V802" i="2"/>
  <c r="V952" i="2"/>
  <c r="V1009" i="2"/>
  <c r="V1097" i="2"/>
  <c r="V1117" i="2"/>
  <c r="V1147" i="2"/>
  <c r="S1216" i="2"/>
  <c r="V18" i="7"/>
  <c r="S367" i="7"/>
  <c r="V430" i="7"/>
  <c r="V864" i="2"/>
  <c r="V215" i="2"/>
  <c r="V207" i="2"/>
  <c r="V222" i="2"/>
  <c r="V363" i="2"/>
  <c r="V736" i="2"/>
  <c r="V924" i="2"/>
  <c r="V133" i="2"/>
  <c r="V843" i="2"/>
  <c r="R244" i="7"/>
  <c r="S244" i="7" s="1"/>
  <c r="V440" i="2"/>
  <c r="V446" i="2"/>
  <c r="S634" i="2"/>
  <c r="V86" i="2"/>
  <c r="V93" i="2"/>
  <c r="V99" i="2"/>
  <c r="V409" i="2"/>
  <c r="S912" i="2"/>
  <c r="R964" i="2"/>
  <c r="S964" i="2" s="1"/>
  <c r="V899" i="2"/>
  <c r="V46" i="2"/>
  <c r="V501" i="2"/>
  <c r="V656" i="2"/>
  <c r="V770" i="2"/>
  <c r="V300" i="7"/>
  <c r="V382" i="7"/>
  <c r="V148" i="2"/>
  <c r="V750" i="2"/>
  <c r="V871" i="2"/>
  <c r="V1243" i="2"/>
  <c r="V15" i="7"/>
  <c r="V206" i="2"/>
  <c r="S220" i="2"/>
  <c r="V481" i="2"/>
  <c r="V493" i="2"/>
  <c r="V563" i="2"/>
  <c r="V582" i="2"/>
  <c r="V589" i="2"/>
  <c r="V629" i="2"/>
  <c r="V649" i="2"/>
  <c r="V655" i="2"/>
  <c r="V670" i="2"/>
  <c r="V778" i="2"/>
  <c r="V892" i="2"/>
  <c r="V914" i="2"/>
  <c r="V945" i="2"/>
  <c r="V973" i="2"/>
  <c r="V995" i="2"/>
  <c r="V1155" i="2"/>
  <c r="V1212" i="2"/>
  <c r="V1284" i="2"/>
  <c r="V1342" i="2"/>
  <c r="V1349" i="2"/>
  <c r="V146" i="7"/>
  <c r="V173" i="7"/>
  <c r="V179" i="7"/>
  <c r="V213" i="7"/>
  <c r="V246" i="7"/>
  <c r="V320" i="7"/>
  <c r="V139" i="7"/>
  <c r="V463" i="7"/>
  <c r="V85" i="2"/>
  <c r="V92" i="2"/>
  <c r="V154" i="2"/>
  <c r="V182" i="2"/>
  <c r="V395" i="2"/>
  <c r="V420" i="2"/>
  <c r="V445" i="2"/>
  <c r="V458" i="2"/>
  <c r="V544" i="2"/>
  <c r="V550" i="2"/>
  <c r="V556" i="2"/>
  <c r="V716" i="2"/>
  <c r="V756" i="2"/>
  <c r="V842" i="2"/>
  <c r="V856" i="2"/>
  <c r="V863" i="2"/>
  <c r="V870" i="2"/>
  <c r="V891" i="2"/>
  <c r="V922" i="2"/>
  <c r="S935" i="2"/>
  <c r="V965" i="2"/>
  <c r="V980" i="2"/>
  <c r="V1080" i="2"/>
  <c r="V1148" i="2"/>
  <c r="V1262" i="2"/>
  <c r="V1269" i="2"/>
  <c r="V14" i="7"/>
  <c r="V52" i="7"/>
  <c r="V79" i="7"/>
  <c r="V112" i="7"/>
  <c r="V232" i="7"/>
  <c r="V313" i="7"/>
  <c r="S45" i="8"/>
  <c r="V1131" i="2"/>
  <c r="V21" i="8"/>
  <c r="V34" i="8"/>
  <c r="V106" i="2"/>
  <c r="V39" i="2"/>
  <c r="V53" i="2"/>
  <c r="V203" i="2"/>
  <c r="V204" i="2"/>
  <c r="V213" i="2"/>
  <c r="S239" i="2"/>
  <c r="V261" i="2"/>
  <c r="V376" i="2"/>
  <c r="V492" i="2"/>
  <c r="V581" i="2"/>
  <c r="V669" i="2"/>
  <c r="V820" i="2"/>
  <c r="V869" i="2"/>
  <c r="V883" i="2"/>
  <c r="V897" i="2"/>
  <c r="V911" i="2"/>
  <c r="S927" i="2"/>
  <c r="S969" i="2"/>
  <c r="V1022" i="2"/>
  <c r="K1025" i="2"/>
  <c r="L1025" i="2" s="1"/>
  <c r="S1070" i="2"/>
  <c r="V1072" i="2"/>
  <c r="V1129" i="2"/>
  <c r="V1161" i="2"/>
  <c r="V1268" i="2"/>
  <c r="V1316" i="2"/>
  <c r="V204" i="7"/>
  <c r="V238" i="7"/>
  <c r="V271" i="7"/>
  <c r="V394" i="7"/>
  <c r="V1326" i="2"/>
  <c r="S12" i="2"/>
  <c r="V84" i="2"/>
  <c r="V97" i="2"/>
  <c r="V118" i="2"/>
  <c r="V234" i="2"/>
  <c r="R252" i="2"/>
  <c r="S252" i="2" s="1"/>
  <c r="V342" i="2"/>
  <c r="V382" i="2"/>
  <c r="V388" i="2"/>
  <c r="V413" i="2"/>
  <c r="V518" i="2"/>
  <c r="S618" i="2"/>
  <c r="S706" i="2"/>
  <c r="V761" i="2"/>
  <c r="V790" i="2"/>
  <c r="S955" i="2"/>
  <c r="S1134" i="2"/>
  <c r="V1235" i="2"/>
  <c r="V1355" i="2"/>
  <c r="V219" i="7"/>
  <c r="V225" i="7"/>
  <c r="V231" i="7"/>
  <c r="S310" i="7"/>
  <c r="S351" i="7"/>
  <c r="V374" i="7"/>
  <c r="V6" i="8"/>
  <c r="V60" i="2"/>
  <c r="V141" i="2"/>
  <c r="S36" i="2"/>
  <c r="V38" i="2"/>
  <c r="V52" i="2"/>
  <c r="V199" i="2"/>
  <c r="V239" i="2"/>
  <c r="S264" i="2"/>
  <c r="S285" i="2"/>
  <c r="V287" i="2"/>
  <c r="V328" i="2"/>
  <c r="S404" i="2"/>
  <c r="V418" i="2"/>
  <c r="V567" i="2"/>
  <c r="V607" i="2"/>
  <c r="V660" i="2"/>
  <c r="S666" i="2"/>
  <c r="V668" i="2"/>
  <c r="V740" i="2"/>
  <c r="V774" i="2"/>
  <c r="V819" i="2"/>
  <c r="V840" i="2"/>
  <c r="V861" i="2"/>
  <c r="V920" i="2"/>
  <c r="V928" i="2"/>
  <c r="S941" i="2"/>
  <c r="S991" i="2"/>
  <c r="V1007" i="2"/>
  <c r="S1037" i="2"/>
  <c r="V1071" i="2"/>
  <c r="V1093" i="2"/>
  <c r="S1119" i="2"/>
  <c r="V1166" i="2"/>
  <c r="V1259" i="2"/>
  <c r="V1267" i="2"/>
  <c r="V1294" i="2"/>
  <c r="V1307" i="2"/>
  <c r="Y12" i="3"/>
  <c r="V6" i="7"/>
  <c r="S36" i="7"/>
  <c r="V50" i="7"/>
  <c r="V177" i="7"/>
  <c r="S248" i="7"/>
  <c r="V393" i="7"/>
  <c r="V406" i="7"/>
  <c r="V31" i="8"/>
  <c r="V1003" i="2"/>
  <c r="V355" i="7"/>
  <c r="V43" i="2"/>
  <c r="V70" i="2"/>
  <c r="V76" i="2"/>
  <c r="V137" i="2"/>
  <c r="V165" i="2"/>
  <c r="V265" i="2"/>
  <c r="V286" i="2"/>
  <c r="V353" i="2"/>
  <c r="V490" i="2"/>
  <c r="V535" i="2"/>
  <c r="V599" i="2"/>
  <c r="V652" i="2"/>
  <c r="V659" i="2"/>
  <c r="V719" i="2"/>
  <c r="V746" i="2"/>
  <c r="V788" i="2"/>
  <c r="V810" i="2"/>
  <c r="V818" i="2"/>
  <c r="S829" i="2"/>
  <c r="V839" i="2"/>
  <c r="V866" i="2"/>
  <c r="V874" i="2"/>
  <c r="V927" i="2"/>
  <c r="V934" i="2"/>
  <c r="V999" i="2"/>
  <c r="S1031" i="2"/>
  <c r="S1032" i="2"/>
  <c r="S1055" i="2"/>
  <c r="S1178" i="2"/>
  <c r="V1179" i="2"/>
  <c r="V1187" i="2"/>
  <c r="V1280" i="2"/>
  <c r="V1299" i="2"/>
  <c r="S1328" i="2"/>
  <c r="V1353" i="2"/>
  <c r="C3" i="3"/>
  <c r="Y13" i="3"/>
  <c r="T19" i="3"/>
  <c r="S126" i="7"/>
  <c r="V196" i="7"/>
  <c r="V236" i="7"/>
  <c r="V303" i="7"/>
  <c r="V365" i="7"/>
  <c r="S435" i="7"/>
  <c r="V53" i="7"/>
  <c r="S976" i="2"/>
  <c r="K1019" i="2"/>
  <c r="L1019" i="2" s="1"/>
  <c r="S1192" i="2"/>
  <c r="V195" i="7"/>
  <c r="V296" i="7"/>
  <c r="S314" i="7"/>
  <c r="V351" i="7"/>
  <c r="V1175" i="2"/>
  <c r="S278" i="7"/>
  <c r="V294" i="7"/>
  <c r="V308" i="7"/>
  <c r="V62" i="2"/>
  <c r="V69" i="2"/>
  <c r="V157" i="2"/>
  <c r="V231" i="2"/>
  <c r="V250" i="2"/>
  <c r="V304" i="2"/>
  <c r="S309" i="2"/>
  <c r="V477" i="2"/>
  <c r="V522" i="2"/>
  <c r="V605" i="2"/>
  <c r="V611" i="2"/>
  <c r="V638" i="2"/>
  <c r="S698" i="2"/>
  <c r="S751" i="2"/>
  <c r="S821" i="2"/>
  <c r="V852" i="2"/>
  <c r="V880" i="2"/>
  <c r="V933" i="2"/>
  <c r="V941" i="2"/>
  <c r="S995" i="2"/>
  <c r="V1005" i="2"/>
  <c r="V1031" i="2"/>
  <c r="V1032" i="2"/>
  <c r="V1119" i="2"/>
  <c r="V1183" i="2"/>
  <c r="V227" i="7"/>
  <c r="V171" i="2"/>
  <c r="S175" i="2"/>
  <c r="V216" i="2"/>
  <c r="V223" i="2"/>
  <c r="V345" i="2"/>
  <c r="V385" i="2"/>
  <c r="S420" i="2"/>
  <c r="V482" i="2"/>
  <c r="V494" i="2"/>
  <c r="V495" i="2"/>
  <c r="V552" i="2"/>
  <c r="V571" i="2"/>
  <c r="S602" i="2"/>
  <c r="V718" i="2"/>
  <c r="V724" i="2"/>
  <c r="V758" i="2"/>
  <c r="V764" i="2"/>
  <c r="V808" i="2"/>
  <c r="V830" i="2"/>
  <c r="V844" i="2"/>
  <c r="V858" i="2"/>
  <c r="V872" i="2"/>
  <c r="V954" i="2"/>
  <c r="V974" i="2"/>
  <c r="V997" i="2"/>
  <c r="V1012" i="2"/>
  <c r="V1029" i="2"/>
  <c r="V1089" i="2"/>
  <c r="V1104" i="2"/>
  <c r="V1118" i="2"/>
  <c r="V1138" i="2"/>
  <c r="S1169" i="2"/>
  <c r="S1224" i="2"/>
  <c r="V1271" i="2"/>
  <c r="V1298" i="2"/>
  <c r="V1311" i="2"/>
  <c r="V1336" i="2"/>
  <c r="V41" i="7"/>
  <c r="S52" i="7"/>
  <c r="V61" i="7"/>
  <c r="V68" i="7"/>
  <c r="V168" i="7"/>
  <c r="V207" i="7"/>
  <c r="V247" i="7"/>
  <c r="V261" i="7"/>
  <c r="V288" i="7"/>
  <c r="V49" i="8"/>
  <c r="V786" i="2"/>
  <c r="V34" i="2"/>
  <c r="V40" i="2"/>
  <c r="S76" i="2"/>
  <c r="V94" i="2"/>
  <c r="S8" i="2"/>
  <c r="S15" i="2"/>
  <c r="S60" i="2"/>
  <c r="S75" i="2"/>
  <c r="V78" i="2"/>
  <c r="S135" i="2"/>
  <c r="V63" i="2"/>
  <c r="V45" i="2"/>
  <c r="S67" i="2"/>
  <c r="R83" i="2"/>
  <c r="S83" i="2" s="1"/>
  <c r="S127" i="2"/>
  <c r="V128" i="2"/>
  <c r="R522" i="2"/>
  <c r="S522" i="2" s="1"/>
  <c r="V145" i="2"/>
  <c r="V44" i="2"/>
  <c r="R51" i="2"/>
  <c r="S51" i="2" s="1"/>
  <c r="V83" i="2"/>
  <c r="V113" i="2"/>
  <c r="S168" i="2"/>
  <c r="V170" i="2"/>
  <c r="R470" i="2"/>
  <c r="S470" i="2" s="1"/>
  <c r="V51" i="2"/>
  <c r="S452" i="2"/>
  <c r="R737" i="2"/>
  <c r="S737" i="2" s="1"/>
  <c r="V6" i="2"/>
  <c r="S40" i="2"/>
  <c r="V42" i="2"/>
  <c r="V58" i="2"/>
  <c r="V66" i="2"/>
  <c r="V90" i="2"/>
  <c r="V96" i="2"/>
  <c r="V249" i="2"/>
  <c r="V214" i="2"/>
  <c r="S11" i="2"/>
  <c r="V89" i="2"/>
  <c r="V229" i="2"/>
  <c r="R1269" i="2"/>
  <c r="S1269" i="2" s="1"/>
  <c r="V144" i="2"/>
  <c r="V177" i="2"/>
  <c r="V200" i="2"/>
  <c r="V201" i="2"/>
  <c r="V228" i="2"/>
  <c r="V236" i="2"/>
  <c r="V242" i="2"/>
  <c r="V259" i="2"/>
  <c r="V348" i="2"/>
  <c r="V408" i="2"/>
  <c r="V415" i="2"/>
  <c r="V449" i="2"/>
  <c r="V516" i="2"/>
  <c r="V519" i="2"/>
  <c r="V529" i="2"/>
  <c r="V543" i="2"/>
  <c r="V569" i="2"/>
  <c r="V593" i="2"/>
  <c r="V600" i="2"/>
  <c r="V608" i="2"/>
  <c r="S630" i="2"/>
  <c r="V687" i="2"/>
  <c r="V694" i="2"/>
  <c r="V747" i="2"/>
  <c r="S782" i="2"/>
  <c r="V1017" i="2"/>
  <c r="V1057" i="2"/>
  <c r="V1077" i="2"/>
  <c r="V401" i="7"/>
  <c r="V111" i="2"/>
  <c r="V159" i="2"/>
  <c r="V169" i="2"/>
  <c r="V186" i="2"/>
  <c r="S191" i="2"/>
  <c r="S247" i="2"/>
  <c r="V257" i="2"/>
  <c r="V267" i="2"/>
  <c r="V276" i="2"/>
  <c r="V283" i="2"/>
  <c r="S300" i="2"/>
  <c r="V310" i="2"/>
  <c r="V329" i="2"/>
  <c r="V337" i="2"/>
  <c r="V357" i="2"/>
  <c r="V381" i="2"/>
  <c r="V422" i="2"/>
  <c r="V433" i="2"/>
  <c r="V489" i="2"/>
  <c r="V498" i="2"/>
  <c r="V514" i="2"/>
  <c r="V555" i="2"/>
  <c r="V561" i="2"/>
  <c r="V577" i="2"/>
  <c r="S590" i="2"/>
  <c r="V615" i="2"/>
  <c r="V661" i="2"/>
  <c r="V678" i="2"/>
  <c r="V710" i="2"/>
  <c r="V730" i="2"/>
  <c r="V763" i="2"/>
  <c r="S781" i="2"/>
  <c r="S822" i="2"/>
  <c r="V831" i="2"/>
  <c r="V1105" i="2"/>
  <c r="V208" i="7"/>
  <c r="V110" i="2"/>
  <c r="V134" i="2"/>
  <c r="V143" i="2"/>
  <c r="V158" i="2"/>
  <c r="V176" i="2"/>
  <c r="V196" i="2"/>
  <c r="V197" i="2"/>
  <c r="V198" i="2"/>
  <c r="S209" i="2"/>
  <c r="V248" i="2"/>
  <c r="V291" i="2"/>
  <c r="V318" i="2"/>
  <c r="V347" i="2"/>
  <c r="S574" i="2"/>
  <c r="V653" i="2"/>
  <c r="V762" i="2"/>
  <c r="S770" i="2"/>
  <c r="S158" i="7"/>
  <c r="S451" i="7"/>
  <c r="S116" i="2"/>
  <c r="S131" i="2"/>
  <c r="V264" i="2"/>
  <c r="V275" i="2"/>
  <c r="V364" i="2"/>
  <c r="V380" i="2"/>
  <c r="S436" i="2"/>
  <c r="V506" i="2"/>
  <c r="S805" i="2"/>
  <c r="V1013" i="2"/>
  <c r="V87" i="2"/>
  <c r="S139" i="2"/>
  <c r="V151" i="2"/>
  <c r="V183" i="2"/>
  <c r="V193" i="2"/>
  <c r="V194" i="2"/>
  <c r="V195" i="2"/>
  <c r="S206" i="2"/>
  <c r="V211" i="2"/>
  <c r="V217" i="2"/>
  <c r="V240" i="2"/>
  <c r="V247" i="2"/>
  <c r="V325" i="2"/>
  <c r="S361" i="2"/>
  <c r="V372" i="2"/>
  <c r="S377" i="2"/>
  <c r="V389" i="2"/>
  <c r="V397" i="2"/>
  <c r="V406" i="2"/>
  <c r="V480" i="2"/>
  <c r="V505" i="2"/>
  <c r="V513" i="2"/>
  <c r="V541" i="2"/>
  <c r="V553" i="2"/>
  <c r="V560" i="2"/>
  <c r="V606" i="2"/>
  <c r="V613" i="2"/>
  <c r="V621" i="2"/>
  <c r="V676" i="2"/>
  <c r="V692" i="2"/>
  <c r="V699" i="2"/>
  <c r="V707" i="2"/>
  <c r="V728" i="2"/>
  <c r="V738" i="2"/>
  <c r="V860" i="2"/>
  <c r="S951" i="2"/>
  <c r="V1004" i="2"/>
  <c r="S1129" i="2"/>
  <c r="S55" i="7"/>
  <c r="V138" i="7"/>
  <c r="V108" i="2"/>
  <c r="V132" i="2"/>
  <c r="V140" i="2"/>
  <c r="V156" i="2"/>
  <c r="S171" i="2"/>
  <c r="V174" i="2"/>
  <c r="V190" i="2"/>
  <c r="V192" i="2"/>
  <c r="S203" i="2"/>
  <c r="V208" i="2"/>
  <c r="V209" i="2"/>
  <c r="V210" i="2"/>
  <c r="V232" i="2"/>
  <c r="V246" i="2"/>
  <c r="V344" i="2"/>
  <c r="V378" i="2"/>
  <c r="S409" i="2"/>
  <c r="V411" i="2"/>
  <c r="V430" i="2"/>
  <c r="V461" i="2"/>
  <c r="V473" i="2"/>
  <c r="V479" i="2"/>
  <c r="V540" i="2"/>
  <c r="V546" i="2"/>
  <c r="V559" i="2"/>
  <c r="V565" i="2"/>
  <c r="S594" i="2"/>
  <c r="V612" i="2"/>
  <c r="V619" i="2"/>
  <c r="V620" i="2"/>
  <c r="V667" i="2"/>
  <c r="V683" i="2"/>
  <c r="V720" i="2"/>
  <c r="V727" i="2"/>
  <c r="V743" i="2"/>
  <c r="X13" i="3"/>
  <c r="S225" i="7"/>
  <c r="R375" i="7"/>
  <c r="S375" i="7" s="1"/>
  <c r="V173" i="2"/>
  <c r="V189" i="2"/>
  <c r="S244" i="2"/>
  <c r="S305" i="2"/>
  <c r="V644" i="2"/>
  <c r="S650" i="2"/>
  <c r="V651" i="2"/>
  <c r="V665" i="2"/>
  <c r="V666" i="2"/>
  <c r="V690" i="2"/>
  <c r="V733" i="2"/>
  <c r="V768" i="2"/>
  <c r="V851" i="2"/>
  <c r="V895" i="2"/>
  <c r="V1182" i="2"/>
  <c r="V1256" i="2"/>
  <c r="V1297" i="2"/>
  <c r="V43" i="7"/>
  <c r="S200" i="2"/>
  <c r="V238" i="2"/>
  <c r="V253" i="2"/>
  <c r="V279" i="2"/>
  <c r="V305" i="2"/>
  <c r="V313" i="2"/>
  <c r="V333" i="2"/>
  <c r="V351" i="2"/>
  <c r="V361" i="2"/>
  <c r="V377" i="2"/>
  <c r="V410" i="2"/>
  <c r="S424" i="2"/>
  <c r="V444" i="2"/>
  <c r="V460" i="2"/>
  <c r="V471" i="2"/>
  <c r="V478" i="2"/>
  <c r="V539" i="2"/>
  <c r="V572" i="2"/>
  <c r="V636" i="2"/>
  <c r="V682" i="2"/>
  <c r="V726" i="2"/>
  <c r="V957" i="2"/>
  <c r="V1066" i="2"/>
  <c r="V114" i="2"/>
  <c r="V129" i="2"/>
  <c r="V147" i="2"/>
  <c r="V162" i="2"/>
  <c r="V179" i="2"/>
  <c r="V188" i="2"/>
  <c r="V237" i="2"/>
  <c r="V251" i="2"/>
  <c r="S257" i="2"/>
  <c r="V269" i="2"/>
  <c r="V360" i="2"/>
  <c r="V450" i="2"/>
  <c r="V470" i="2"/>
  <c r="V491" i="2"/>
  <c r="S498" i="2"/>
  <c r="V509" i="2"/>
  <c r="V579" i="2"/>
  <c r="V643" i="2"/>
  <c r="V681" i="2"/>
  <c r="V696" i="2"/>
  <c r="V703" i="2"/>
  <c r="V725" i="2"/>
  <c r="V732" i="2"/>
  <c r="S793" i="2"/>
  <c r="S794" i="2"/>
  <c r="V1160" i="2"/>
  <c r="V251" i="7"/>
  <c r="V260" i="2"/>
  <c r="V320" i="2"/>
  <c r="V331" i="2"/>
  <c r="V358" i="2"/>
  <c r="S519" i="2"/>
  <c r="S670" i="2"/>
  <c r="V984" i="2"/>
  <c r="V1348" i="2"/>
  <c r="O7" i="3"/>
  <c r="P7" i="3" s="1"/>
  <c r="V29" i="7"/>
  <c r="V402" i="7"/>
  <c r="V434" i="7"/>
  <c r="V930" i="2"/>
  <c r="V938" i="2"/>
  <c r="V946" i="2"/>
  <c r="V956" i="2"/>
  <c r="V964" i="2"/>
  <c r="S1010" i="2"/>
  <c r="V1098" i="2"/>
  <c r="V1115" i="2"/>
  <c r="V1246" i="2"/>
  <c r="S1252" i="2"/>
  <c r="V1264" i="2"/>
  <c r="V1282" i="2"/>
  <c r="V1321" i="2"/>
  <c r="V1331" i="2"/>
  <c r="V1244" i="6"/>
  <c r="V5" i="7"/>
  <c r="V21" i="7"/>
  <c r="V80" i="7"/>
  <c r="V181" i="7"/>
  <c r="V218" i="7"/>
  <c r="V235" i="7"/>
  <c r="S241" i="7"/>
  <c r="V316" i="7"/>
  <c r="V324" i="7"/>
  <c r="V332" i="7"/>
  <c r="V340" i="7"/>
  <c r="V347" i="7"/>
  <c r="V354" i="7"/>
  <c r="V392" i="7"/>
  <c r="V426" i="7"/>
  <c r="V461" i="7"/>
  <c r="V19" i="8"/>
  <c r="V849" i="2"/>
  <c r="V859" i="2"/>
  <c r="V878" i="2"/>
  <c r="V894" i="2"/>
  <c r="V916" i="2"/>
  <c r="V936" i="2"/>
  <c r="V1002" i="2"/>
  <c r="V1011" i="2"/>
  <c r="V1045" i="2"/>
  <c r="V1046" i="2"/>
  <c r="S1102" i="2"/>
  <c r="V1114" i="2"/>
  <c r="V1123" i="2"/>
  <c r="V1150" i="2"/>
  <c r="V1159" i="2"/>
  <c r="V1205" i="2"/>
  <c r="V1222" i="2"/>
  <c r="V1263" i="2"/>
  <c r="S1287" i="2"/>
  <c r="S1301" i="2"/>
  <c r="P9" i="3"/>
  <c r="V28" i="7"/>
  <c r="V49" i="7"/>
  <c r="V115" i="7"/>
  <c r="V180" i="7"/>
  <c r="V187" i="7"/>
  <c r="V206" i="7"/>
  <c r="V217" i="7"/>
  <c r="V259" i="7"/>
  <c r="V281" i="7"/>
  <c r="V298" i="7"/>
  <c r="V18" i="8"/>
  <c r="V26" i="8"/>
  <c r="S806" i="2"/>
  <c r="V828" i="2"/>
  <c r="S967" i="2"/>
  <c r="S979" i="2"/>
  <c r="V1113" i="2"/>
  <c r="V1172" i="2"/>
  <c r="V1196" i="2"/>
  <c r="V1229" i="2"/>
  <c r="V1289" i="2"/>
  <c r="V1295" i="2"/>
  <c r="S1336" i="2"/>
  <c r="V1346" i="2"/>
  <c r="T6" i="3"/>
  <c r="V205" i="7"/>
  <c r="S213" i="7"/>
  <c r="S270" i="7"/>
  <c r="V315" i="7"/>
  <c r="V323" i="7"/>
  <c r="V353" i="7"/>
  <c r="V361" i="7"/>
  <c r="V376" i="7"/>
  <c r="V384" i="7"/>
  <c r="V391" i="7"/>
  <c r="V432" i="7"/>
  <c r="V452" i="7"/>
  <c r="V838" i="2"/>
  <c r="V876" i="2"/>
  <c r="S882" i="2"/>
  <c r="S890" i="2"/>
  <c r="V893" i="2"/>
  <c r="S961" i="2"/>
  <c r="V990" i="2"/>
  <c r="S997" i="2"/>
  <c r="S1007" i="2"/>
  <c r="V1008" i="2"/>
  <c r="S1040" i="2"/>
  <c r="V1062" i="2"/>
  <c r="V1084" i="2"/>
  <c r="V1095" i="2"/>
  <c r="V1096" i="2"/>
  <c r="V1122" i="2"/>
  <c r="S1200" i="2"/>
  <c r="V1352" i="2"/>
  <c r="V19" i="7"/>
  <c r="V27" i="7"/>
  <c r="V33" i="7"/>
  <c r="V40" i="7"/>
  <c r="V48" i="7"/>
  <c r="V63" i="7"/>
  <c r="V121" i="7"/>
  <c r="V136" i="7"/>
  <c r="V150" i="7"/>
  <c r="V157" i="7"/>
  <c r="V186" i="7"/>
  <c r="S254" i="7"/>
  <c r="V272" i="7"/>
  <c r="V280" i="7"/>
  <c r="V297" i="7"/>
  <c r="V314" i="7"/>
  <c r="S321" i="7"/>
  <c r="V367" i="7"/>
  <c r="S395" i="7"/>
  <c r="V423" i="7"/>
  <c r="S22" i="8"/>
  <c r="V1039" i="2"/>
  <c r="S356" i="7"/>
  <c r="V450" i="7"/>
  <c r="V1061" i="2"/>
  <c r="V1092" i="2"/>
  <c r="V1127" i="2"/>
  <c r="V1135" i="2"/>
  <c r="V1141" i="2"/>
  <c r="V1202" i="2"/>
  <c r="S1217" i="2"/>
  <c r="V1219" i="2"/>
  <c r="V1227" i="2"/>
  <c r="V1242" i="2"/>
  <c r="V1260" i="2"/>
  <c r="V1279" i="2"/>
  <c r="V1335" i="2"/>
  <c r="Y8" i="3"/>
  <c r="T12" i="3"/>
  <c r="V26" i="7"/>
  <c r="V32" i="7"/>
  <c r="V47" i="7"/>
  <c r="V62" i="7"/>
  <c r="V84" i="7"/>
  <c r="V100" i="7"/>
  <c r="S105" i="7"/>
  <c r="S141" i="7"/>
  <c r="V185" i="7"/>
  <c r="V240" i="7"/>
  <c r="S301" i="7"/>
  <c r="V304" i="7"/>
  <c r="V328" i="7"/>
  <c r="V337" i="7"/>
  <c r="V359" i="7"/>
  <c r="V396" i="7"/>
  <c r="V439" i="7"/>
  <c r="V440" i="7"/>
  <c r="V15" i="8"/>
  <c r="V23" i="8"/>
  <c r="V33" i="8"/>
  <c r="V806" i="2"/>
  <c r="S862" i="2"/>
  <c r="V882" i="2"/>
  <c r="S889" i="2"/>
  <c r="V898" i="2"/>
  <c r="V926" i="2"/>
  <c r="V943" i="2"/>
  <c r="V960" i="2"/>
  <c r="V970" i="2"/>
  <c r="V988" i="2"/>
  <c r="V1006" i="2"/>
  <c r="V1030" i="2"/>
  <c r="V1035" i="2"/>
  <c r="V1052" i="2"/>
  <c r="S1067" i="2"/>
  <c r="V1110" i="2"/>
  <c r="V1169" i="2"/>
  <c r="V1186" i="2"/>
  <c r="Y17" i="3"/>
  <c r="V76" i="7"/>
  <c r="V133" i="7"/>
  <c r="V193" i="7"/>
  <c r="V212" i="7"/>
  <c r="V239" i="7"/>
  <c r="V255" i="7"/>
  <c r="S285" i="7"/>
  <c r="S325" i="7"/>
  <c r="V814" i="2"/>
  <c r="S1003" i="2"/>
  <c r="S1075" i="2"/>
  <c r="S1086" i="2"/>
  <c r="V1133" i="2"/>
  <c r="V1140" i="2"/>
  <c r="S1144" i="2"/>
  <c r="V1146" i="2"/>
  <c r="V1154" i="2"/>
  <c r="V1168" i="2"/>
  <c r="V1232" i="2"/>
  <c r="V1250" i="2"/>
  <c r="V1258" i="2"/>
  <c r="V1278" i="2"/>
  <c r="V1286" i="2"/>
  <c r="V1293" i="2"/>
  <c r="V1306" i="2"/>
  <c r="V1334" i="2"/>
  <c r="V1343" i="2"/>
  <c r="T13" i="3"/>
  <c r="T17" i="3"/>
  <c r="V16" i="7"/>
  <c r="V25" i="7"/>
  <c r="V31" i="7"/>
  <c r="V46" i="7"/>
  <c r="S97" i="7"/>
  <c r="V125" i="7"/>
  <c r="S138" i="7"/>
  <c r="S208" i="7"/>
  <c r="S220" i="7"/>
  <c r="V794" i="2"/>
  <c r="V803" i="2"/>
  <c r="V822" i="2"/>
  <c r="S830" i="2"/>
  <c r="S833" i="2"/>
  <c r="V906" i="2"/>
  <c r="S948" i="2"/>
  <c r="V958" i="2"/>
  <c r="V959" i="2"/>
  <c r="S975" i="2"/>
  <c r="V1024" i="2"/>
  <c r="V1068" i="2"/>
  <c r="V1109" i="2"/>
  <c r="V1132" i="2"/>
  <c r="V1153" i="2"/>
  <c r="K1193" i="2"/>
  <c r="L1193" i="2" s="1"/>
  <c r="V1248" i="2"/>
  <c r="V1292" i="2"/>
  <c r="V124" i="7"/>
  <c r="S153" i="7"/>
  <c r="S166" i="7"/>
  <c r="V191" i="7"/>
  <c r="V200" i="7"/>
  <c r="V201" i="7"/>
  <c r="V387" i="7"/>
  <c r="V405" i="7"/>
  <c r="V456" i="7"/>
  <c r="S963" i="2"/>
  <c r="V1019" i="2"/>
  <c r="V1021" i="2"/>
  <c r="V1152" i="2"/>
  <c r="V1239" i="2"/>
  <c r="S1296" i="2"/>
  <c r="V1332" i="2"/>
  <c r="S28" i="7"/>
  <c r="S102" i="7"/>
  <c r="S266" i="7"/>
  <c r="V268" i="7"/>
  <c r="S290" i="7"/>
  <c r="V371" i="7"/>
  <c r="V411" i="7"/>
  <c r="V427" i="7"/>
  <c r="V455" i="7"/>
  <c r="S26" i="8"/>
  <c r="S392" i="2"/>
  <c r="V32" i="2"/>
  <c r="V35" i="2"/>
  <c r="V316" i="2"/>
  <c r="V33" i="2"/>
  <c r="V30" i="2"/>
  <c r="S64" i="2"/>
  <c r="R111" i="2"/>
  <c r="S111" i="2" s="1"/>
  <c r="V124" i="2"/>
  <c r="S156" i="2"/>
  <c r="V166" i="2"/>
  <c r="V219" i="2"/>
  <c r="V243" i="2"/>
  <c r="S269" i="2"/>
  <c r="S313" i="2"/>
  <c r="V315" i="2"/>
  <c r="S356" i="2"/>
  <c r="R365" i="2"/>
  <c r="S365" i="2" s="1"/>
  <c r="V24" i="2"/>
  <c r="V26" i="2"/>
  <c r="S56" i="2"/>
  <c r="R63" i="2"/>
  <c r="S63" i="2" s="1"/>
  <c r="V77" i="2"/>
  <c r="V122" i="2"/>
  <c r="R155" i="2"/>
  <c r="S155" i="2" s="1"/>
  <c r="S163" i="2"/>
  <c r="S217" i="2"/>
  <c r="S241" i="2"/>
  <c r="S293" i="2"/>
  <c r="S399" i="2"/>
  <c r="R844" i="2"/>
  <c r="S844" i="2" s="1"/>
  <c r="V37" i="2"/>
  <c r="V48" i="8"/>
  <c r="V245" i="2"/>
  <c r="V307" i="2"/>
  <c r="V29" i="2"/>
  <c r="V23" i="2"/>
  <c r="V22" i="2"/>
  <c r="R103" i="2"/>
  <c r="S103" i="2" s="1"/>
  <c r="V847" i="2"/>
  <c r="V299" i="2"/>
  <c r="V31" i="2"/>
  <c r="V168" i="2"/>
  <c r="V272" i="2"/>
  <c r="V27" i="2"/>
  <c r="V19" i="2"/>
  <c r="V15" i="2"/>
  <c r="V16" i="2"/>
  <c r="V17" i="2"/>
  <c r="V18" i="2"/>
  <c r="V57" i="2"/>
  <c r="V74" i="2"/>
  <c r="R119" i="2"/>
  <c r="S119" i="2" s="1"/>
  <c r="V131" i="2"/>
  <c r="R291" i="2"/>
  <c r="S291" i="2" s="1"/>
  <c r="V303" i="2"/>
  <c r="V374" i="2"/>
  <c r="S397" i="2"/>
  <c r="V36" i="2"/>
  <c r="R212" i="2"/>
  <c r="S212" i="2" s="1"/>
  <c r="S112" i="2"/>
  <c r="V28" i="2"/>
  <c r="V25" i="2"/>
  <c r="V20" i="2"/>
  <c r="V11" i="2"/>
  <c r="V12" i="2"/>
  <c r="V13" i="2"/>
  <c r="V14" i="2"/>
  <c r="S52" i="2"/>
  <c r="S55" i="2"/>
  <c r="S224" i="2"/>
  <c r="S248" i="2"/>
  <c r="S372" i="2"/>
  <c r="S678" i="2"/>
  <c r="V221" i="2"/>
  <c r="V21" i="2"/>
  <c r="V7" i="2"/>
  <c r="V8" i="2"/>
  <c r="V9" i="2"/>
  <c r="V10" i="2"/>
  <c r="R71" i="2"/>
  <c r="S71" i="2" s="1"/>
  <c r="V73" i="2"/>
  <c r="S160" i="2"/>
  <c r="S215" i="2"/>
  <c r="R660" i="2"/>
  <c r="S660" i="2" s="1"/>
  <c r="S28" i="2"/>
  <c r="R187" i="2"/>
  <c r="S187" i="2" s="1"/>
  <c r="R324" i="2"/>
  <c r="S324" i="2" s="1"/>
  <c r="R151" i="2"/>
  <c r="S151" i="2" s="1"/>
  <c r="S24" i="2"/>
  <c r="S27" i="2"/>
  <c r="V47" i="2"/>
  <c r="V48" i="2"/>
  <c r="V49" i="2"/>
  <c r="V54" i="2"/>
  <c r="R59" i="2"/>
  <c r="S59" i="2" s="1"/>
  <c r="R107" i="2"/>
  <c r="S107" i="2" s="1"/>
  <c r="S115" i="2"/>
  <c r="R360" i="2"/>
  <c r="S360" i="2" s="1"/>
  <c r="S19" i="2"/>
  <c r="V125" i="2"/>
  <c r="R236" i="2"/>
  <c r="S236" i="2" s="1"/>
  <c r="S367" i="2"/>
  <c r="V429" i="2"/>
  <c r="V79" i="2"/>
  <c r="S31" i="2"/>
  <c r="S23" i="2"/>
  <c r="S68" i="2"/>
  <c r="S124" i="2"/>
  <c r="V127" i="2"/>
  <c r="V300" i="2"/>
  <c r="V309" i="2"/>
  <c r="V370" i="2"/>
  <c r="V405" i="2"/>
  <c r="V72" i="2"/>
  <c r="V75" i="2"/>
  <c r="S104" i="2"/>
  <c r="V120" i="2"/>
  <c r="V123" i="2"/>
  <c r="S152" i="2"/>
  <c r="R159" i="2"/>
  <c r="S159" i="2" s="1"/>
  <c r="V167" i="2"/>
  <c r="S188" i="2"/>
  <c r="S213" i="2"/>
  <c r="R216" i="2"/>
  <c r="S216" i="2" s="1"/>
  <c r="S237" i="2"/>
  <c r="R240" i="2"/>
  <c r="S240" i="2" s="1"/>
  <c r="V268" i="2"/>
  <c r="V271" i="2"/>
  <c r="V296" i="2"/>
  <c r="V298" i="2"/>
  <c r="V302" i="2"/>
  <c r="V306" i="2"/>
  <c r="V314" i="2"/>
  <c r="V317" i="2"/>
  <c r="V373" i="2"/>
  <c r="V401" i="2"/>
  <c r="S425" i="2"/>
  <c r="V438" i="2"/>
  <c r="S445" i="2"/>
  <c r="V591" i="2"/>
  <c r="V592" i="2"/>
  <c r="R628" i="2"/>
  <c r="S628" i="2" s="1"/>
  <c r="S646" i="2"/>
  <c r="S774" i="2"/>
  <c r="V68" i="2"/>
  <c r="V71" i="2"/>
  <c r="S100" i="2"/>
  <c r="V116" i="2"/>
  <c r="V119" i="2"/>
  <c r="S148" i="2"/>
  <c r="V164" i="2"/>
  <c r="S184" i="2"/>
  <c r="V220" i="2"/>
  <c r="V244" i="2"/>
  <c r="V292" i="2"/>
  <c r="V295" i="2"/>
  <c r="V369" i="2"/>
  <c r="V399" i="2"/>
  <c r="V424" i="2"/>
  <c r="V427" i="2"/>
  <c r="V510" i="2"/>
  <c r="V533" i="2"/>
  <c r="V575" i="2"/>
  <c r="V576" i="2"/>
  <c r="R588" i="2"/>
  <c r="S588" i="2" s="1"/>
  <c r="R676" i="2"/>
  <c r="S676" i="2" s="1"/>
  <c r="R772" i="2"/>
  <c r="S772" i="2" s="1"/>
  <c r="R820" i="2"/>
  <c r="S820" i="2" s="1"/>
  <c r="V824" i="2"/>
  <c r="V962" i="2"/>
  <c r="V64" i="2"/>
  <c r="V67" i="2"/>
  <c r="S96" i="2"/>
  <c r="V112" i="2"/>
  <c r="V115" i="2"/>
  <c r="S144" i="2"/>
  <c r="V160" i="2"/>
  <c r="V163" i="2"/>
  <c r="S180" i="2"/>
  <c r="S233" i="2"/>
  <c r="V266" i="2"/>
  <c r="V294" i="2"/>
  <c r="S344" i="2"/>
  <c r="V354" i="2"/>
  <c r="V359" i="2"/>
  <c r="V367" i="2"/>
  <c r="V391" i="2"/>
  <c r="V396" i="2"/>
  <c r="V425" i="2"/>
  <c r="V426" i="2"/>
  <c r="V436" i="2"/>
  <c r="V525" i="2"/>
  <c r="R530" i="2"/>
  <c r="S530" i="2" s="1"/>
  <c r="S558" i="2"/>
  <c r="R572" i="2"/>
  <c r="S572" i="2" s="1"/>
  <c r="R626" i="2"/>
  <c r="S626" i="2" s="1"/>
  <c r="R644" i="2"/>
  <c r="S644" i="2" s="1"/>
  <c r="R658" i="2"/>
  <c r="S658" i="2" s="1"/>
  <c r="V823" i="2"/>
  <c r="S92" i="2"/>
  <c r="R99" i="2"/>
  <c r="S99" i="2" s="1"/>
  <c r="S140" i="2"/>
  <c r="R147" i="2"/>
  <c r="S147" i="2" s="1"/>
  <c r="S176" i="2"/>
  <c r="R183" i="2"/>
  <c r="S183" i="2" s="1"/>
  <c r="R259" i="2"/>
  <c r="S259" i="2" s="1"/>
  <c r="S262" i="2"/>
  <c r="R328" i="2"/>
  <c r="S328" i="2" s="1"/>
  <c r="R340" i="2"/>
  <c r="S340" i="2" s="1"/>
  <c r="S349" i="2"/>
  <c r="S351" i="2"/>
  <c r="S431" i="2"/>
  <c r="R674" i="2"/>
  <c r="S674" i="2" s="1"/>
  <c r="V890" i="2"/>
  <c r="V56" i="2"/>
  <c r="V59" i="2"/>
  <c r="S88" i="2"/>
  <c r="R95" i="2"/>
  <c r="S95" i="2" s="1"/>
  <c r="V104" i="2"/>
  <c r="V107" i="2"/>
  <c r="S136" i="2"/>
  <c r="R143" i="2"/>
  <c r="S143" i="2" s="1"/>
  <c r="V152" i="2"/>
  <c r="V155" i="2"/>
  <c r="R179" i="2"/>
  <c r="S179" i="2" s="1"/>
  <c r="V191" i="2"/>
  <c r="S229" i="2"/>
  <c r="R232" i="2"/>
  <c r="S232" i="2" s="1"/>
  <c r="S253" i="2"/>
  <c r="V263" i="2"/>
  <c r="V288" i="2"/>
  <c r="V290" i="2"/>
  <c r="V327" i="2"/>
  <c r="R329" i="2"/>
  <c r="S329" i="2" s="1"/>
  <c r="S333" i="2"/>
  <c r="R336" i="2"/>
  <c r="S336" i="2" s="1"/>
  <c r="V352" i="2"/>
  <c r="V362" i="2"/>
  <c r="V365" i="2"/>
  <c r="S384" i="2"/>
  <c r="V386" i="2"/>
  <c r="V390" i="2"/>
  <c r="V393" i="2"/>
  <c r="V394" i="2"/>
  <c r="S415" i="2"/>
  <c r="V421" i="2"/>
  <c r="V434" i="2"/>
  <c r="S441" i="2"/>
  <c r="R586" i="2"/>
  <c r="S586" i="2" s="1"/>
  <c r="V708" i="2"/>
  <c r="V953" i="2"/>
  <c r="V55" i="2"/>
  <c r="S84" i="2"/>
  <c r="V100" i="2"/>
  <c r="S132" i="2"/>
  <c r="S172" i="2"/>
  <c r="V187" i="2"/>
  <c r="S251" i="2"/>
  <c r="V285" i="2"/>
  <c r="V322" i="2"/>
  <c r="V338" i="2"/>
  <c r="S383" i="2"/>
  <c r="S413" i="2"/>
  <c r="V416" i="2"/>
  <c r="R885" i="2"/>
  <c r="S885" i="2" s="1"/>
  <c r="S80" i="2"/>
  <c r="S128" i="2"/>
  <c r="S225" i="2"/>
  <c r="S249" i="2"/>
  <c r="S299" i="2"/>
  <c r="S303" i="2"/>
  <c r="S307" i="2"/>
  <c r="V336" i="2"/>
  <c r="V343" i="2"/>
  <c r="S381" i="2"/>
  <c r="V384" i="2"/>
  <c r="S408" i="2"/>
  <c r="S440" i="2"/>
  <c r="R600" i="2"/>
  <c r="S600" i="2" s="1"/>
  <c r="R616" i="2"/>
  <c r="S616" i="2" s="1"/>
  <c r="S797" i="2"/>
  <c r="S798" i="2"/>
  <c r="R884" i="2"/>
  <c r="S884" i="2" s="1"/>
  <c r="S317" i="2"/>
  <c r="R568" i="2"/>
  <c r="S568" i="2" s="1"/>
  <c r="R688" i="2"/>
  <c r="S688" i="2" s="1"/>
  <c r="R796" i="2"/>
  <c r="S796" i="2" s="1"/>
  <c r="S72" i="2"/>
  <c r="V88" i="2"/>
  <c r="V91" i="2"/>
  <c r="S120" i="2"/>
  <c r="V136" i="2"/>
  <c r="V139" i="2"/>
  <c r="V175" i="2"/>
  <c r="S221" i="2"/>
  <c r="S245" i="2"/>
  <c r="V255" i="2"/>
  <c r="V280" i="2"/>
  <c r="V282" i="2"/>
  <c r="S295" i="2"/>
  <c r="S308" i="2"/>
  <c r="R312" i="2"/>
  <c r="S312" i="2" s="1"/>
  <c r="V321" i="2"/>
  <c r="V332" i="2"/>
  <c r="V346" i="2"/>
  <c r="V349" i="2"/>
  <c r="R376" i="2"/>
  <c r="S376" i="2" s="1"/>
  <c r="V383" i="2"/>
  <c r="V412" i="2"/>
  <c r="V441" i="2"/>
  <c r="V452" i="2"/>
  <c r="V472" i="2"/>
  <c r="V515" i="2"/>
  <c r="V635" i="2"/>
  <c r="S865" i="2"/>
  <c r="S866" i="2"/>
  <c r="V868" i="2"/>
  <c r="S164" i="2"/>
  <c r="S219" i="2"/>
  <c r="S243" i="2"/>
  <c r="V277" i="2"/>
  <c r="S301" i="2"/>
  <c r="S304" i="2"/>
  <c r="V308" i="2"/>
  <c r="V311" i="2"/>
  <c r="S373" i="2"/>
  <c r="V375" i="2"/>
  <c r="V407" i="2"/>
  <c r="V448" i="2"/>
  <c r="S534" i="2"/>
  <c r="S662" i="2"/>
  <c r="S845" i="2"/>
  <c r="S846" i="2"/>
  <c r="R856" i="2"/>
  <c r="S856" i="2" s="1"/>
  <c r="R864" i="2"/>
  <c r="S864" i="2" s="1"/>
  <c r="S908" i="2"/>
  <c r="V454" i="2"/>
  <c r="V507" i="2"/>
  <c r="V523" i="2"/>
  <c r="V534" i="2"/>
  <c r="S584" i="2"/>
  <c r="V590" i="2"/>
  <c r="V603" i="2"/>
  <c r="V604" i="2"/>
  <c r="V647" i="2"/>
  <c r="V648" i="2"/>
  <c r="V663" i="2"/>
  <c r="V735" i="2"/>
  <c r="V755" i="2"/>
  <c r="R761" i="2"/>
  <c r="S761" i="2" s="1"/>
  <c r="V776" i="2"/>
  <c r="V867" i="2"/>
  <c r="V888" i="2"/>
  <c r="S947" i="2"/>
  <c r="S959" i="2"/>
  <c r="V961" i="2"/>
  <c r="S1047" i="2"/>
  <c r="S1058" i="2"/>
  <c r="V447" i="2"/>
  <c r="V453" i="2"/>
  <c r="V527" i="2"/>
  <c r="V528" i="2"/>
  <c r="S566" i="2"/>
  <c r="V573" i="2"/>
  <c r="S598" i="2"/>
  <c r="V601" i="2"/>
  <c r="S614" i="2"/>
  <c r="V617" i="2"/>
  <c r="V631" i="2"/>
  <c r="V632" i="2"/>
  <c r="S642" i="2"/>
  <c r="V646" i="2"/>
  <c r="V662" i="2"/>
  <c r="V664" i="2"/>
  <c r="V697" i="2"/>
  <c r="R702" i="2"/>
  <c r="S702" i="2" s="1"/>
  <c r="V705" i="2"/>
  <c r="V706" i="2"/>
  <c r="V734" i="2"/>
  <c r="R841" i="2"/>
  <c r="S841" i="2" s="1"/>
  <c r="S842" i="2"/>
  <c r="S905" i="2"/>
  <c r="V908" i="2"/>
  <c r="V947" i="2"/>
  <c r="V951" i="2"/>
  <c r="R1028" i="2"/>
  <c r="S1028" i="2" s="1"/>
  <c r="R1043" i="2"/>
  <c r="S1043" i="2" s="1"/>
  <c r="V1049" i="2"/>
  <c r="R1143" i="2"/>
  <c r="S1143" i="2" s="1"/>
  <c r="V439" i="2"/>
  <c r="S462" i="2"/>
  <c r="V531" i="2"/>
  <c r="V587" i="2"/>
  <c r="V630" i="2"/>
  <c r="V688" i="2"/>
  <c r="R729" i="2"/>
  <c r="S729" i="2" s="1"/>
  <c r="V753" i="2"/>
  <c r="R769" i="2"/>
  <c r="S769" i="2" s="1"/>
  <c r="S817" i="2"/>
  <c r="S818" i="2"/>
  <c r="R840" i="2"/>
  <c r="S840" i="2" s="1"/>
  <c r="V907" i="2"/>
  <c r="S989" i="2"/>
  <c r="S1016" i="2"/>
  <c r="R1022" i="2"/>
  <c r="S1022" i="2" s="1"/>
  <c r="S1041" i="2"/>
  <c r="S1054" i="2"/>
  <c r="R161" i="7"/>
  <c r="S161" i="7" s="1"/>
  <c r="S582" i="2"/>
  <c r="S694" i="2"/>
  <c r="R816" i="2"/>
  <c r="S816" i="2" s="1"/>
  <c r="R861" i="2"/>
  <c r="S861" i="2" s="1"/>
  <c r="R881" i="2"/>
  <c r="S881" i="2" s="1"/>
  <c r="S1025" i="2"/>
  <c r="S1315" i="2"/>
  <c r="V1317" i="2"/>
  <c r="V463" i="2"/>
  <c r="V465" i="2"/>
  <c r="S482" i="2"/>
  <c r="S483" i="2"/>
  <c r="S486" i="2"/>
  <c r="S499" i="2"/>
  <c r="R562" i="2"/>
  <c r="S562" i="2" s="1"/>
  <c r="V566" i="2"/>
  <c r="V568" i="2"/>
  <c r="R610" i="2"/>
  <c r="S610" i="2" s="1"/>
  <c r="R612" i="2"/>
  <c r="S612" i="2" s="1"/>
  <c r="V614" i="2"/>
  <c r="V627" i="2"/>
  <c r="V628" i="2"/>
  <c r="S654" i="2"/>
  <c r="R656" i="2"/>
  <c r="S656" i="2" s="1"/>
  <c r="V675" i="2"/>
  <c r="V695" i="2"/>
  <c r="V722" i="2"/>
  <c r="V752" i="2"/>
  <c r="R792" i="2"/>
  <c r="S792" i="2" s="1"/>
  <c r="S999" i="2"/>
  <c r="V1038" i="2"/>
  <c r="V1064" i="2"/>
  <c r="S429" i="2"/>
  <c r="V432" i="2"/>
  <c r="V437" i="2"/>
  <c r="V462" i="2"/>
  <c r="R494" i="2"/>
  <c r="S494" i="2" s="1"/>
  <c r="V502" i="2"/>
  <c r="S518" i="2"/>
  <c r="S538" i="2"/>
  <c r="S550" i="2"/>
  <c r="V583" i="2"/>
  <c r="V584" i="2"/>
  <c r="R596" i="2"/>
  <c r="S596" i="2" s="1"/>
  <c r="V597" i="2"/>
  <c r="S622" i="2"/>
  <c r="R624" i="2"/>
  <c r="S624" i="2" s="1"/>
  <c r="V625" i="2"/>
  <c r="S636" i="2"/>
  <c r="S638" i="2"/>
  <c r="R640" i="2"/>
  <c r="S640" i="2" s="1"/>
  <c r="V641" i="2"/>
  <c r="S668" i="2"/>
  <c r="R672" i="2"/>
  <c r="S672" i="2" s="1"/>
  <c r="V673" i="2"/>
  <c r="V674" i="2"/>
  <c r="V685" i="2"/>
  <c r="V686" i="2"/>
  <c r="V712" i="2"/>
  <c r="V721" i="2"/>
  <c r="R860" i="2"/>
  <c r="S860" i="2" s="1"/>
  <c r="R880" i="2"/>
  <c r="S880" i="2" s="1"/>
  <c r="S892" i="2"/>
  <c r="V969" i="2"/>
  <c r="S987" i="2"/>
  <c r="V1042" i="2"/>
  <c r="R1091" i="2"/>
  <c r="S1091" i="2" s="1"/>
  <c r="S59" i="7"/>
  <c r="S474" i="2"/>
  <c r="R542" i="2"/>
  <c r="S542" i="2" s="1"/>
  <c r="R548" i="2"/>
  <c r="S548" i="2" s="1"/>
  <c r="R554" i="2"/>
  <c r="S554" i="2" s="1"/>
  <c r="S576" i="2"/>
  <c r="R578" i="2"/>
  <c r="S578" i="2" s="1"/>
  <c r="R580" i="2"/>
  <c r="S580" i="2" s="1"/>
  <c r="S592" i="2"/>
  <c r="S620" i="2"/>
  <c r="R684" i="2"/>
  <c r="S684" i="2" s="1"/>
  <c r="S718" i="2"/>
  <c r="R943" i="2"/>
  <c r="S943" i="2" s="1"/>
  <c r="V431" i="2"/>
  <c r="V459" i="2"/>
  <c r="V483" i="2"/>
  <c r="V484" i="2"/>
  <c r="V485" i="2"/>
  <c r="V487" i="2"/>
  <c r="V499" i="2"/>
  <c r="S510" i="2"/>
  <c r="S523" i="2"/>
  <c r="R544" i="2"/>
  <c r="S544" i="2" s="1"/>
  <c r="V545" i="2"/>
  <c r="V547" i="2"/>
  <c r="V551" i="2"/>
  <c r="R556" i="2"/>
  <c r="S556" i="2" s="1"/>
  <c r="V562" i="2"/>
  <c r="V595" i="2"/>
  <c r="V596" i="2"/>
  <c r="S604" i="2"/>
  <c r="S606" i="2"/>
  <c r="R608" i="2"/>
  <c r="S608" i="2" s="1"/>
  <c r="V623" i="2"/>
  <c r="V624" i="2"/>
  <c r="V639" i="2"/>
  <c r="V640" i="2"/>
  <c r="S648" i="2"/>
  <c r="R652" i="2"/>
  <c r="S652" i="2" s="1"/>
  <c r="V654" i="2"/>
  <c r="V671" i="2"/>
  <c r="V672" i="2"/>
  <c r="S682" i="2"/>
  <c r="R765" i="2"/>
  <c r="S765" i="2" s="1"/>
  <c r="S766" i="2"/>
  <c r="V827" i="2"/>
  <c r="V918" i="2"/>
  <c r="V919" i="2"/>
  <c r="S984" i="2"/>
  <c r="S1050" i="2"/>
  <c r="S1201" i="2"/>
  <c r="V1203" i="2"/>
  <c r="S471" i="2"/>
  <c r="V474" i="2"/>
  <c r="S632" i="2"/>
  <c r="S664" i="2"/>
  <c r="S680" i="2"/>
  <c r="S726" i="2"/>
  <c r="S735" i="2"/>
  <c r="R744" i="2"/>
  <c r="S744" i="2" s="1"/>
  <c r="R993" i="2"/>
  <c r="S993" i="2" s="1"/>
  <c r="S1288" i="2"/>
  <c r="O10" i="3"/>
  <c r="P10" i="3" s="1"/>
  <c r="R1090" i="2"/>
  <c r="S1090" i="2" s="1"/>
  <c r="V1167" i="2"/>
  <c r="V1221" i="2"/>
  <c r="V1257" i="2"/>
  <c r="V30" i="7"/>
  <c r="S46" i="8"/>
  <c r="V992" i="2"/>
  <c r="V994" i="2"/>
  <c r="V1010" i="2"/>
  <c r="V1014" i="2"/>
  <c r="V1018" i="2"/>
  <c r="V1020" i="2"/>
  <c r="S1026" i="2"/>
  <c r="V1037" i="2"/>
  <c r="S1048" i="2"/>
  <c r="V1082" i="2"/>
  <c r="R1128" i="2"/>
  <c r="S1128" i="2" s="1"/>
  <c r="V1137" i="2"/>
  <c r="V1220" i="2"/>
  <c r="R1286" i="2"/>
  <c r="S1286" i="2" s="1"/>
  <c r="S7" i="3"/>
  <c r="U7" i="3"/>
  <c r="V7" i="3" s="1"/>
  <c r="Y7" i="3" s="1"/>
  <c r="V331" i="7"/>
  <c r="R1148" i="2"/>
  <c r="S1148" i="2" s="1"/>
  <c r="S1295" i="2"/>
  <c r="V9" i="3"/>
  <c r="Y9" i="3" s="1"/>
  <c r="AC9" i="3"/>
  <c r="V679" i="2"/>
  <c r="S789" i="2"/>
  <c r="S790" i="2"/>
  <c r="S813" i="2"/>
  <c r="S814" i="2"/>
  <c r="S877" i="2"/>
  <c r="S878" i="2"/>
  <c r="V887" i="2"/>
  <c r="V940" i="2"/>
  <c r="V944" i="2"/>
  <c r="S980" i="2"/>
  <c r="V985" i="2"/>
  <c r="V989" i="2"/>
  <c r="V991" i="2"/>
  <c r="V993" i="2"/>
  <c r="V1016" i="2"/>
  <c r="V1056" i="2"/>
  <c r="V1060" i="2"/>
  <c r="R1074" i="2"/>
  <c r="S1074" i="2" s="1"/>
  <c r="V1079" i="2"/>
  <c r="V1112" i="2"/>
  <c r="S1188" i="2"/>
  <c r="V1190" i="2"/>
  <c r="V1255" i="2"/>
  <c r="V1302" i="2"/>
  <c r="V1303" i="2"/>
  <c r="T10" i="3"/>
  <c r="S10" i="3"/>
  <c r="V13" i="7"/>
  <c r="V155" i="7"/>
  <c r="V169" i="7"/>
  <c r="S286" i="7"/>
  <c r="S690" i="2"/>
  <c r="V704" i="2"/>
  <c r="S714" i="2"/>
  <c r="S742" i="2"/>
  <c r="S832" i="2"/>
  <c r="S968" i="2"/>
  <c r="V982" i="2"/>
  <c r="V983" i="2"/>
  <c r="V1023" i="2"/>
  <c r="V1026" i="2"/>
  <c r="V1048" i="2"/>
  <c r="V1053" i="2"/>
  <c r="V1058" i="2"/>
  <c r="S1098" i="2"/>
  <c r="S1110" i="2"/>
  <c r="V1111" i="2"/>
  <c r="V1136" i="2"/>
  <c r="R1147" i="2"/>
  <c r="S1147" i="2" s="1"/>
  <c r="S1157" i="2"/>
  <c r="R1330" i="2"/>
  <c r="S1330" i="2" s="1"/>
  <c r="V12" i="7"/>
  <c r="V16" i="8"/>
  <c r="S785" i="2"/>
  <c r="S786" i="2"/>
  <c r="S809" i="2"/>
  <c r="S810" i="2"/>
  <c r="S834" i="2"/>
  <c r="S853" i="2"/>
  <c r="S854" i="2"/>
  <c r="S873" i="2"/>
  <c r="S874" i="2"/>
  <c r="S896" i="2"/>
  <c r="S898" i="2"/>
  <c r="S902" i="2"/>
  <c r="S1106" i="2"/>
  <c r="S1133" i="2"/>
  <c r="O16" i="3"/>
  <c r="P16" i="3" s="1"/>
  <c r="R218" i="7"/>
  <c r="S218" i="7" s="1"/>
  <c r="V691" i="2"/>
  <c r="V702" i="2"/>
  <c r="V715" i="2"/>
  <c r="S723" i="2"/>
  <c r="S724" i="2"/>
  <c r="R788" i="2"/>
  <c r="S788" i="2" s="1"/>
  <c r="R812" i="2"/>
  <c r="S812" i="2" s="1"/>
  <c r="V815" i="2"/>
  <c r="R836" i="2"/>
  <c r="S836" i="2" s="1"/>
  <c r="S837" i="2"/>
  <c r="R876" i="2"/>
  <c r="S876" i="2" s="1"/>
  <c r="V879" i="2"/>
  <c r="R897" i="2"/>
  <c r="S897" i="2" s="1"/>
  <c r="S900" i="2"/>
  <c r="V937" i="2"/>
  <c r="V979" i="2"/>
  <c r="V981" i="2"/>
  <c r="S996" i="2"/>
  <c r="S1004" i="2"/>
  <c r="V1027" i="2"/>
  <c r="V1070" i="2"/>
  <c r="R1099" i="2"/>
  <c r="S1099" i="2" s="1"/>
  <c r="V1157" i="2"/>
  <c r="S1176" i="2"/>
  <c r="V1180" i="2"/>
  <c r="V1251" i="2"/>
  <c r="S1261" i="2"/>
  <c r="V1341" i="2"/>
  <c r="V262" i="7"/>
  <c r="V413" i="7"/>
  <c r="V429" i="7"/>
  <c r="R445" i="7"/>
  <c r="S445" i="7" s="1"/>
  <c r="S780" i="2"/>
  <c r="S804" i="2"/>
  <c r="S828" i="2"/>
  <c r="S956" i="2"/>
  <c r="S1035" i="2"/>
  <c r="S1095" i="2"/>
  <c r="R1326" i="2"/>
  <c r="S1326" i="2" s="1"/>
  <c r="V428" i="7"/>
  <c r="V689" i="2"/>
  <c r="V700" i="2"/>
  <c r="S710" i="2"/>
  <c r="V713" i="2"/>
  <c r="S722" i="2"/>
  <c r="R740" i="2"/>
  <c r="S740" i="2" s="1"/>
  <c r="S754" i="2"/>
  <c r="R784" i="2"/>
  <c r="S784" i="2" s="1"/>
  <c r="R808" i="2"/>
  <c r="S808" i="2" s="1"/>
  <c r="V811" i="2"/>
  <c r="V835" i="2"/>
  <c r="S848" i="2"/>
  <c r="S849" i="2"/>
  <c r="R852" i="2"/>
  <c r="S852" i="2" s="1"/>
  <c r="V855" i="2"/>
  <c r="S868" i="2"/>
  <c r="S869" i="2"/>
  <c r="S870" i="2"/>
  <c r="R872" i="2"/>
  <c r="S872" i="2" s="1"/>
  <c r="V875" i="2"/>
  <c r="V901" i="2"/>
  <c r="V902" i="2"/>
  <c r="S917" i="2"/>
  <c r="V932" i="2"/>
  <c r="R960" i="2"/>
  <c r="S960" i="2" s="1"/>
  <c r="V972" i="2"/>
  <c r="V976" i="2"/>
  <c r="V978" i="2"/>
  <c r="S1034" i="2"/>
  <c r="S1082" i="2"/>
  <c r="S1094" i="2"/>
  <c r="S1114" i="2"/>
  <c r="S1138" i="2"/>
  <c r="S1177" i="2"/>
  <c r="S1204" i="2"/>
  <c r="V1206" i="2"/>
  <c r="R1281" i="2"/>
  <c r="S1281" i="2" s="1"/>
  <c r="V1339" i="2"/>
  <c r="R1354" i="2"/>
  <c r="S1354" i="2" s="1"/>
  <c r="S121" i="7"/>
  <c r="S776" i="2"/>
  <c r="S777" i="2"/>
  <c r="S778" i="2"/>
  <c r="S800" i="2"/>
  <c r="S801" i="2"/>
  <c r="S802" i="2"/>
  <c r="S824" i="2"/>
  <c r="S825" i="2"/>
  <c r="S826" i="2"/>
  <c r="S888" i="2"/>
  <c r="S894" i="2"/>
  <c r="S909" i="2"/>
  <c r="S915" i="2"/>
  <c r="S924" i="2"/>
  <c r="V931" i="2"/>
  <c r="S949" i="2"/>
  <c r="V963" i="2"/>
  <c r="V971" i="2"/>
  <c r="V1000" i="2"/>
  <c r="S1013" i="2"/>
  <c r="S1014" i="2"/>
  <c r="S1019" i="2"/>
  <c r="S1248" i="2"/>
  <c r="R1280" i="2"/>
  <c r="S1280" i="2" s="1"/>
  <c r="V1318" i="2"/>
  <c r="V77" i="7"/>
  <c r="V1074" i="2"/>
  <c r="V1076" i="2"/>
  <c r="V1151" i="2"/>
  <c r="V1178" i="2"/>
  <c r="V1204" i="2"/>
  <c r="V1216" i="2"/>
  <c r="V1218" i="2"/>
  <c r="V1231" i="2"/>
  <c r="V1254" i="2"/>
  <c r="V1261" i="2"/>
  <c r="V1288" i="2"/>
  <c r="V1300" i="2"/>
  <c r="V1301" i="2"/>
  <c r="V1315" i="2"/>
  <c r="S1329" i="2"/>
  <c r="V1337" i="2"/>
  <c r="V1338" i="2"/>
  <c r="S1355" i="2"/>
  <c r="AC8" i="3"/>
  <c r="S19" i="7"/>
  <c r="V60" i="7"/>
  <c r="V92" i="7"/>
  <c r="V154" i="7"/>
  <c r="R182" i="7"/>
  <c r="S182" i="7" s="1"/>
  <c r="V226" i="7"/>
  <c r="S258" i="7"/>
  <c r="S302" i="7"/>
  <c r="V345" i="7"/>
  <c r="R398" i="7"/>
  <c r="S398" i="7" s="1"/>
  <c r="R36" i="8"/>
  <c r="S36" i="8" s="1"/>
  <c r="S1130" i="2"/>
  <c r="S1228" i="2"/>
  <c r="S1240" i="2"/>
  <c r="S1244" i="2"/>
  <c r="S1283" i="2"/>
  <c r="S8" i="7"/>
  <c r="V194" i="7"/>
  <c r="R212" i="7"/>
  <c r="S212" i="7" s="1"/>
  <c r="V243" i="7"/>
  <c r="R273" i="7"/>
  <c r="S273" i="7" s="1"/>
  <c r="S274" i="7"/>
  <c r="R317" i="7"/>
  <c r="S317" i="7" s="1"/>
  <c r="V321" i="7"/>
  <c r="V1069" i="2"/>
  <c r="V1101" i="2"/>
  <c r="V1102" i="2"/>
  <c r="V1106" i="2"/>
  <c r="V1108" i="2"/>
  <c r="S1123" i="2"/>
  <c r="V1134" i="2"/>
  <c r="V1149" i="2"/>
  <c r="V1165" i="2"/>
  <c r="V1174" i="2"/>
  <c r="V1176" i="2"/>
  <c r="S1185" i="2"/>
  <c r="V1188" i="2"/>
  <c r="V1215" i="2"/>
  <c r="V1230" i="2"/>
  <c r="V1247" i="2"/>
  <c r="V1249" i="2"/>
  <c r="S1272" i="2"/>
  <c r="S1276" i="2"/>
  <c r="V1287" i="2"/>
  <c r="V1296" i="2"/>
  <c r="S1306" i="2"/>
  <c r="V1330" i="2"/>
  <c r="V1018" i="6"/>
  <c r="V20" i="7"/>
  <c r="S27" i="7"/>
  <c r="V51" i="7"/>
  <c r="S89" i="7"/>
  <c r="S90" i="7"/>
  <c r="V153" i="7"/>
  <c r="S181" i="7"/>
  <c r="V192" i="7"/>
  <c r="V224" i="7"/>
  <c r="S240" i="7"/>
  <c r="V293" i="7"/>
  <c r="S318" i="7"/>
  <c r="V410" i="7"/>
  <c r="V1094" i="2"/>
  <c r="S1184" i="2"/>
  <c r="S1196" i="2"/>
  <c r="S1212" i="2"/>
  <c r="S1268" i="2"/>
  <c r="S1308" i="2"/>
  <c r="S1323" i="2"/>
  <c r="K1354" i="2"/>
  <c r="L1354" i="2" s="1"/>
  <c r="S18" i="3"/>
  <c r="S7" i="4"/>
  <c r="S1245" i="6"/>
  <c r="R365" i="7"/>
  <c r="S365" i="7" s="1"/>
  <c r="S1115" i="2"/>
  <c r="R1124" i="2"/>
  <c r="S1124" i="2" s="1"/>
  <c r="V1130" i="2"/>
  <c r="V1145" i="2"/>
  <c r="R1162" i="2"/>
  <c r="S1162" i="2" s="1"/>
  <c r="S1209" i="2"/>
  <c r="V1214" i="2"/>
  <c r="V1228" i="2"/>
  <c r="S1236" i="2"/>
  <c r="R1241" i="2"/>
  <c r="S1241" i="2" s="1"/>
  <c r="V1244" i="2"/>
  <c r="V1281" i="2"/>
  <c r="V1285" i="2"/>
  <c r="S1349" i="2"/>
  <c r="V1350" i="2"/>
  <c r="V1351" i="2"/>
  <c r="T18" i="3"/>
  <c r="R5" i="6"/>
  <c r="S5" i="6" s="1"/>
  <c r="V8" i="7"/>
  <c r="V9" i="7"/>
  <c r="V73" i="7"/>
  <c r="V127" i="7"/>
  <c r="V188" i="7"/>
  <c r="V189" i="7"/>
  <c r="S209" i="7"/>
  <c r="R210" i="7"/>
  <c r="S210" i="7" s="1"/>
  <c r="V223" i="7"/>
  <c r="S289" i="7"/>
  <c r="R441" i="7"/>
  <c r="S441" i="7" s="1"/>
  <c r="S42" i="8"/>
  <c r="V1087" i="2"/>
  <c r="V1088" i="2"/>
  <c r="V1090" i="2"/>
  <c r="V1126" i="2"/>
  <c r="V1142" i="2"/>
  <c r="V1143" i="2"/>
  <c r="S1158" i="2"/>
  <c r="V1164" i="2"/>
  <c r="V1171" i="2"/>
  <c r="V1185" i="2"/>
  <c r="V1195" i="2"/>
  <c r="V1197" i="2"/>
  <c r="V1198" i="2"/>
  <c r="V1211" i="2"/>
  <c r="V1213" i="2"/>
  <c r="V1224" i="2"/>
  <c r="V1226" i="2"/>
  <c r="S1264" i="2"/>
  <c r="V1272" i="2"/>
  <c r="V1274" i="2"/>
  <c r="V1275" i="2"/>
  <c r="V1276" i="2"/>
  <c r="V1277" i="2"/>
  <c r="V1309" i="2"/>
  <c r="S1318" i="2"/>
  <c r="V1325" i="2"/>
  <c r="P8" i="3"/>
  <c r="R31" i="7"/>
  <c r="S31" i="7" s="1"/>
  <c r="V72" i="7"/>
  <c r="V141" i="7"/>
  <c r="V142" i="7"/>
  <c r="S406" i="7"/>
  <c r="V1083" i="2"/>
  <c r="V1085" i="2"/>
  <c r="V1120" i="2"/>
  <c r="V1121" i="2"/>
  <c r="V1124" i="2"/>
  <c r="S1153" i="2"/>
  <c r="V1162" i="2"/>
  <c r="V1170" i="2"/>
  <c r="V1192" i="2"/>
  <c r="V1194" i="2"/>
  <c r="V1208" i="2"/>
  <c r="V1210" i="2"/>
  <c r="V1223" i="2"/>
  <c r="V1236" i="2"/>
  <c r="V1238" i="2"/>
  <c r="V1241" i="2"/>
  <c r="S1253" i="2"/>
  <c r="S1256" i="2"/>
  <c r="V1266" i="2"/>
  <c r="V1270" i="2"/>
  <c r="S1316" i="2"/>
  <c r="V1322" i="2"/>
  <c r="S1334" i="2"/>
  <c r="S1338" i="2"/>
  <c r="V1345" i="2"/>
  <c r="T7" i="3"/>
  <c r="S13" i="3"/>
  <c r="X18" i="3"/>
  <c r="V6" i="4"/>
  <c r="V5" i="6"/>
  <c r="V1242" i="6"/>
  <c r="V1243" i="6"/>
  <c r="S23" i="7"/>
  <c r="S185" i="7"/>
  <c r="V263" i="7"/>
  <c r="V333" i="7"/>
  <c r="S386" i="7"/>
  <c r="S1168" i="2"/>
  <c r="V1181" i="2"/>
  <c r="S1220" i="2"/>
  <c r="S1260" i="2"/>
  <c r="V1304" i="2"/>
  <c r="X12" i="3"/>
  <c r="S69" i="7"/>
  <c r="S184" i="7"/>
  <c r="S216" i="7"/>
  <c r="S329" i="7"/>
  <c r="S387" i="7"/>
  <c r="R38" i="8"/>
  <c r="S38" i="8" s="1"/>
  <c r="V39" i="7"/>
  <c r="S47" i="7"/>
  <c r="S56" i="7"/>
  <c r="S85" i="7"/>
  <c r="V89" i="7"/>
  <c r="V91" i="7"/>
  <c r="V120" i="7"/>
  <c r="V123" i="7"/>
  <c r="V140" i="7"/>
  <c r="S162" i="7"/>
  <c r="V165" i="7"/>
  <c r="V167" i="7"/>
  <c r="V220" i="7"/>
  <c r="V222" i="7"/>
  <c r="S237" i="7"/>
  <c r="V244" i="7"/>
  <c r="S257" i="7"/>
  <c r="V305" i="7"/>
  <c r="V319" i="7"/>
  <c r="S326" i="7"/>
  <c r="V389" i="7"/>
  <c r="V451" i="7"/>
  <c r="V13" i="8"/>
  <c r="V14" i="8"/>
  <c r="V45" i="8"/>
  <c r="V46" i="8"/>
  <c r="S35" i="7"/>
  <c r="V38" i="7"/>
  <c r="S101" i="7"/>
  <c r="S117" i="7"/>
  <c r="S137" i="7"/>
  <c r="V152" i="7"/>
  <c r="V164" i="7"/>
  <c r="S205" i="7"/>
  <c r="V216" i="7"/>
  <c r="S282" i="7"/>
  <c r="S342" i="7"/>
  <c r="V344" i="7"/>
  <c r="V409" i="7"/>
  <c r="V448" i="7"/>
  <c r="V41" i="8"/>
  <c r="V42" i="8"/>
  <c r="V44" i="8"/>
  <c r="V85" i="7"/>
  <c r="S149" i="7"/>
  <c r="S200" i="7"/>
  <c r="S201" i="7"/>
  <c r="S233" i="7"/>
  <c r="V242" i="7"/>
  <c r="V273" i="7"/>
  <c r="S281" i="7"/>
  <c r="V289" i="7"/>
  <c r="S297" i="7"/>
  <c r="S298" i="7"/>
  <c r="V317" i="7"/>
  <c r="V343" i="7"/>
  <c r="V366" i="7"/>
  <c r="V407" i="7"/>
  <c r="V442" i="7"/>
  <c r="V443" i="7"/>
  <c r="V444" i="7"/>
  <c r="V10" i="8"/>
  <c r="V39" i="8"/>
  <c r="V36" i="7"/>
  <c r="V56" i="7"/>
  <c r="V57" i="7"/>
  <c r="S81" i="7"/>
  <c r="V103" i="7"/>
  <c r="V163" i="7"/>
  <c r="S202" i="7"/>
  <c r="S204" i="7"/>
  <c r="S229" i="7"/>
  <c r="S232" i="7"/>
  <c r="S234" i="7"/>
  <c r="S236" i="7"/>
  <c r="V256" i="7"/>
  <c r="S265" i="7"/>
  <c r="V283" i="7"/>
  <c r="V302" i="7"/>
  <c r="S313" i="7"/>
  <c r="V327" i="7"/>
  <c r="V385" i="7"/>
  <c r="V399" i="7"/>
  <c r="R401" i="7"/>
  <c r="S401" i="7" s="1"/>
  <c r="V403" i="7"/>
  <c r="V404" i="7"/>
  <c r="V422" i="7"/>
  <c r="S433" i="7"/>
  <c r="V445" i="7"/>
  <c r="S461" i="7"/>
  <c r="R465" i="7"/>
  <c r="S465" i="7" s="1"/>
  <c r="V5" i="8"/>
  <c r="V7" i="8"/>
  <c r="R32" i="8"/>
  <c r="S32" i="8" s="1"/>
  <c r="V35" i="8"/>
  <c r="V37" i="8"/>
  <c r="V38" i="8"/>
  <c r="S43" i="7"/>
  <c r="S133" i="7"/>
  <c r="V137" i="7"/>
  <c r="S157" i="7"/>
  <c r="V159" i="7"/>
  <c r="V210" i="7"/>
  <c r="S249" i="7"/>
  <c r="S253" i="7"/>
  <c r="S269" i="7"/>
  <c r="V299" i="7"/>
  <c r="S309" i="7"/>
  <c r="S338" i="7"/>
  <c r="R362" i="7"/>
  <c r="S362" i="7" s="1"/>
  <c r="R378" i="7"/>
  <c r="S378" i="7" s="1"/>
  <c r="R28" i="8"/>
  <c r="S28" i="8" s="1"/>
  <c r="V24" i="7"/>
  <c r="V45" i="7"/>
  <c r="V54" i="7"/>
  <c r="S63" i="7"/>
  <c r="V65" i="7"/>
  <c r="V97" i="7"/>
  <c r="S113" i="7"/>
  <c r="V116" i="7"/>
  <c r="V135" i="7"/>
  <c r="S173" i="7"/>
  <c r="S277" i="7"/>
  <c r="S294" i="7"/>
  <c r="S322" i="7"/>
  <c r="V325" i="7"/>
  <c r="S337" i="7"/>
  <c r="V341" i="7"/>
  <c r="S360" i="7"/>
  <c r="V363" i="7"/>
  <c r="R381" i="7"/>
  <c r="S381" i="7" s="1"/>
  <c r="R393" i="7"/>
  <c r="S393" i="7" s="1"/>
  <c r="S413" i="7"/>
  <c r="V418" i="7"/>
  <c r="V419" i="7"/>
  <c r="S429" i="7"/>
  <c r="V438" i="7"/>
  <c r="V462" i="7"/>
  <c r="V464" i="7"/>
  <c r="V25" i="8"/>
  <c r="V27" i="8"/>
  <c r="V29" i="8"/>
  <c r="V30" i="8"/>
  <c r="V32" i="8"/>
  <c r="V44" i="7"/>
  <c r="V64" i="7"/>
  <c r="S93" i="7"/>
  <c r="S109" i="7"/>
  <c r="S129" i="7"/>
  <c r="V132" i="7"/>
  <c r="S172" i="7"/>
  <c r="S192" i="7"/>
  <c r="S193" i="7"/>
  <c r="S196" i="7"/>
  <c r="S224" i="7"/>
  <c r="S226" i="7"/>
  <c r="S228" i="7"/>
  <c r="V253" i="7"/>
  <c r="V267" i="7"/>
  <c r="S293" i="7"/>
  <c r="S334" i="7"/>
  <c r="S347" i="7"/>
  <c r="S16" i="8"/>
  <c r="V42" i="7"/>
  <c r="S51" i="7"/>
  <c r="S77" i="7"/>
  <c r="S142" i="7"/>
  <c r="S188" i="7"/>
  <c r="S245" i="7"/>
  <c r="S262" i="7"/>
  <c r="V279" i="7"/>
  <c r="V295" i="7"/>
  <c r="S306" i="7"/>
  <c r="V311" i="7"/>
  <c r="S333" i="7"/>
  <c r="V339" i="7"/>
  <c r="S346" i="7"/>
  <c r="V358" i="7"/>
  <c r="V360" i="7"/>
  <c r="V362" i="7"/>
  <c r="S370" i="7"/>
  <c r="R373" i="7"/>
  <c r="S373" i="7" s="1"/>
  <c r="V375" i="7"/>
  <c r="V378" i="7"/>
  <c r="V379" i="7"/>
  <c r="V381" i="7"/>
  <c r="V395" i="7"/>
  <c r="V415" i="7"/>
  <c r="V416" i="7"/>
  <c r="V417" i="7"/>
  <c r="V435" i="7"/>
  <c r="R457" i="7"/>
  <c r="S457" i="7" s="1"/>
  <c r="V458" i="7"/>
  <c r="V459" i="7"/>
  <c r="V460" i="7"/>
  <c r="V22" i="8"/>
  <c r="S73" i="7"/>
  <c r="V109" i="7"/>
  <c r="S125" i="7"/>
  <c r="V128" i="7"/>
  <c r="V131" i="7"/>
  <c r="V156" i="7"/>
  <c r="S168" i="7"/>
  <c r="V174" i="7"/>
  <c r="S190" i="7"/>
  <c r="S217" i="7"/>
  <c r="S221" i="7"/>
  <c r="S305" i="7"/>
  <c r="S330" i="7"/>
  <c r="S409" i="7"/>
  <c r="S425" i="7"/>
  <c r="S449" i="7"/>
  <c r="S12" i="8"/>
  <c r="V17" i="8"/>
  <c r="S261" i="2"/>
  <c r="R45" i="2"/>
  <c r="S45" i="2" s="1"/>
  <c r="S186" i="2"/>
  <c r="S196" i="2"/>
  <c r="S199" i="2"/>
  <c r="S208" i="2"/>
  <c r="S211" i="2"/>
  <c r="R41" i="2"/>
  <c r="S41" i="2" s="1"/>
  <c r="S182" i="2"/>
  <c r="S178" i="2"/>
  <c r="S231" i="2"/>
  <c r="S325" i="2"/>
  <c r="R343" i="2"/>
  <c r="S343" i="2" s="1"/>
  <c r="R5" i="2"/>
  <c r="S5" i="2" s="1"/>
  <c r="S50" i="2"/>
  <c r="S193" i="2"/>
  <c r="S202" i="2"/>
  <c r="R37" i="2"/>
  <c r="S37" i="2" s="1"/>
  <c r="R33" i="2"/>
  <c r="S33" i="2" s="1"/>
  <c r="R280" i="2"/>
  <c r="S280" i="2" s="1"/>
  <c r="R288" i="2"/>
  <c r="S288" i="2" s="1"/>
  <c r="S235" i="2"/>
  <c r="R258" i="2"/>
  <c r="S258" i="2" s="1"/>
  <c r="R29" i="2"/>
  <c r="S29" i="2" s="1"/>
  <c r="S227" i="2"/>
  <c r="R437" i="2"/>
  <c r="S437" i="2" s="1"/>
  <c r="S190" i="2"/>
  <c r="S205" i="2"/>
  <c r="R25" i="2"/>
  <c r="S25" i="2" s="1"/>
  <c r="R21" i="2"/>
  <c r="S21" i="2" s="1"/>
  <c r="S223" i="2"/>
  <c r="R272" i="2"/>
  <c r="S272" i="2" s="1"/>
  <c r="R49" i="2"/>
  <c r="S49" i="2" s="1"/>
  <c r="R17" i="2"/>
  <c r="S17" i="2" s="1"/>
  <c r="R13" i="2"/>
  <c r="S13" i="2" s="1"/>
  <c r="R9" i="2"/>
  <c r="S9" i="2" s="1"/>
  <c r="V335" i="2"/>
  <c r="R775" i="2"/>
  <c r="S775" i="2" s="1"/>
  <c r="R311" i="2"/>
  <c r="S311" i="2" s="1"/>
  <c r="V330" i="2"/>
  <c r="V334" i="2"/>
  <c r="R427" i="2"/>
  <c r="S427" i="2" s="1"/>
  <c r="V451" i="2"/>
  <c r="R603" i="2"/>
  <c r="S603" i="2" s="1"/>
  <c r="R773" i="2"/>
  <c r="S773" i="2" s="1"/>
  <c r="V609" i="2"/>
  <c r="V270" i="2"/>
  <c r="V278" i="2"/>
  <c r="R298" i="2"/>
  <c r="S298" i="2" s="1"/>
  <c r="R359" i="2"/>
  <c r="S359" i="2" s="1"/>
  <c r="V435" i="2"/>
  <c r="R463" i="2"/>
  <c r="S463" i="2" s="1"/>
  <c r="R416" i="2"/>
  <c r="S416" i="2" s="1"/>
  <c r="R823" i="2"/>
  <c r="S823" i="2" s="1"/>
  <c r="R192" i="2"/>
  <c r="S192" i="2" s="1"/>
  <c r="R195" i="2"/>
  <c r="S195" i="2" s="1"/>
  <c r="R198" i="2"/>
  <c r="S198" i="2" s="1"/>
  <c r="R201" i="2"/>
  <c r="S201" i="2" s="1"/>
  <c r="R204" i="2"/>
  <c r="S204" i="2" s="1"/>
  <c r="R207" i="2"/>
  <c r="S207" i="2" s="1"/>
  <c r="R210" i="2"/>
  <c r="S210" i="2" s="1"/>
  <c r="R265" i="2"/>
  <c r="S265" i="2" s="1"/>
  <c r="R297" i="2"/>
  <c r="S297" i="2" s="1"/>
  <c r="S352" i="2"/>
  <c r="R400" i="2"/>
  <c r="S400" i="2" s="1"/>
  <c r="R405" i="2"/>
  <c r="S405" i="2" s="1"/>
  <c r="R411" i="2"/>
  <c r="S411" i="2" s="1"/>
  <c r="V419" i="2"/>
  <c r="V558" i="2"/>
  <c r="R421" i="2"/>
  <c r="S421" i="2" s="1"/>
  <c r="R53" i="2"/>
  <c r="S53" i="2" s="1"/>
  <c r="R57" i="2"/>
  <c r="S57" i="2" s="1"/>
  <c r="R61" i="2"/>
  <c r="S61" i="2" s="1"/>
  <c r="R65" i="2"/>
  <c r="S65" i="2" s="1"/>
  <c r="R69" i="2"/>
  <c r="S69" i="2" s="1"/>
  <c r="R73" i="2"/>
  <c r="S73" i="2" s="1"/>
  <c r="R77" i="2"/>
  <c r="S77" i="2" s="1"/>
  <c r="R81" i="2"/>
  <c r="S81" i="2" s="1"/>
  <c r="R85" i="2"/>
  <c r="S85" i="2" s="1"/>
  <c r="R89" i="2"/>
  <c r="S89" i="2" s="1"/>
  <c r="R93" i="2"/>
  <c r="S93" i="2" s="1"/>
  <c r="R97" i="2"/>
  <c r="S97" i="2" s="1"/>
  <c r="R101" i="2"/>
  <c r="S101" i="2" s="1"/>
  <c r="R105" i="2"/>
  <c r="S105" i="2" s="1"/>
  <c r="R109" i="2"/>
  <c r="S109" i="2" s="1"/>
  <c r="R113" i="2"/>
  <c r="S113" i="2" s="1"/>
  <c r="R117" i="2"/>
  <c r="S117" i="2" s="1"/>
  <c r="R121" i="2"/>
  <c r="S121" i="2" s="1"/>
  <c r="R125" i="2"/>
  <c r="S125" i="2" s="1"/>
  <c r="R129" i="2"/>
  <c r="S129" i="2" s="1"/>
  <c r="R133" i="2"/>
  <c r="S133" i="2" s="1"/>
  <c r="R137" i="2"/>
  <c r="S137" i="2" s="1"/>
  <c r="R141" i="2"/>
  <c r="S141" i="2" s="1"/>
  <c r="R145" i="2"/>
  <c r="S145" i="2" s="1"/>
  <c r="R149" i="2"/>
  <c r="S149" i="2" s="1"/>
  <c r="R153" i="2"/>
  <c r="S153" i="2" s="1"/>
  <c r="R157" i="2"/>
  <c r="S157" i="2" s="1"/>
  <c r="R161" i="2"/>
  <c r="S161" i="2" s="1"/>
  <c r="R165" i="2"/>
  <c r="S165" i="2" s="1"/>
  <c r="R169" i="2"/>
  <c r="S169" i="2" s="1"/>
  <c r="R173" i="2"/>
  <c r="S173" i="2" s="1"/>
  <c r="R177" i="2"/>
  <c r="S177" i="2" s="1"/>
  <c r="R181" i="2"/>
  <c r="S181" i="2" s="1"/>
  <c r="R185" i="2"/>
  <c r="S185" i="2" s="1"/>
  <c r="R189" i="2"/>
  <c r="S189" i="2" s="1"/>
  <c r="R214" i="2"/>
  <c r="S214" i="2" s="1"/>
  <c r="R218" i="2"/>
  <c r="S218" i="2" s="1"/>
  <c r="R222" i="2"/>
  <c r="S222" i="2" s="1"/>
  <c r="R226" i="2"/>
  <c r="S226" i="2" s="1"/>
  <c r="R230" i="2"/>
  <c r="S230" i="2" s="1"/>
  <c r="R234" i="2"/>
  <c r="S234" i="2" s="1"/>
  <c r="R238" i="2"/>
  <c r="S238" i="2" s="1"/>
  <c r="R242" i="2"/>
  <c r="S242" i="2" s="1"/>
  <c r="R246" i="2"/>
  <c r="S246" i="2" s="1"/>
  <c r="R250" i="2"/>
  <c r="S250" i="2" s="1"/>
  <c r="R254" i="2"/>
  <c r="S254" i="2" s="1"/>
  <c r="V258" i="2"/>
  <c r="R260" i="2"/>
  <c r="S260" i="2" s="1"/>
  <c r="S267" i="2"/>
  <c r="R274" i="2"/>
  <c r="S274" i="2" s="1"/>
  <c r="S275" i="2"/>
  <c r="R282" i="2"/>
  <c r="S282" i="2" s="1"/>
  <c r="S283" i="2"/>
  <c r="R290" i="2"/>
  <c r="S290" i="2" s="1"/>
  <c r="R316" i="2"/>
  <c r="S316" i="2" s="1"/>
  <c r="S319" i="2"/>
  <c r="R321" i="2"/>
  <c r="S321" i="2" s="1"/>
  <c r="R347" i="2"/>
  <c r="S347" i="2" s="1"/>
  <c r="V355" i="2"/>
  <c r="S357" i="2"/>
  <c r="R375" i="2"/>
  <c r="S375" i="2" s="1"/>
  <c r="V469" i="2"/>
  <c r="V633" i="2"/>
  <c r="V262" i="2"/>
  <c r="R30" i="2"/>
  <c r="S30" i="2" s="1"/>
  <c r="R42" i="2"/>
  <c r="S42" i="2" s="1"/>
  <c r="R273" i="2"/>
  <c r="S273" i="2" s="1"/>
  <c r="R281" i="2"/>
  <c r="S281" i="2" s="1"/>
  <c r="R289" i="2"/>
  <c r="S289" i="2" s="1"/>
  <c r="R320" i="2"/>
  <c r="S320" i="2" s="1"/>
  <c r="R627" i="2"/>
  <c r="S627" i="2" s="1"/>
  <c r="V717" i="2"/>
  <c r="R10" i="2"/>
  <c r="S10" i="2" s="1"/>
  <c r="R14" i="2"/>
  <c r="S14" i="2" s="1"/>
  <c r="R22" i="2"/>
  <c r="S22" i="2" s="1"/>
  <c r="R26" i="2"/>
  <c r="S26" i="2" s="1"/>
  <c r="R38" i="2"/>
  <c r="S38" i="2" s="1"/>
  <c r="R46" i="2"/>
  <c r="S46" i="2" s="1"/>
  <c r="S6" i="2"/>
  <c r="S18" i="2"/>
  <c r="S34" i="2"/>
  <c r="R255" i="2"/>
  <c r="S255" i="2" s="1"/>
  <c r="S266" i="2"/>
  <c r="R302" i="2"/>
  <c r="S302" i="2" s="1"/>
  <c r="R315" i="2"/>
  <c r="S315" i="2" s="1"/>
  <c r="R327" i="2"/>
  <c r="S327" i="2" s="1"/>
  <c r="V350" i="2"/>
  <c r="S368" i="2"/>
  <c r="R395" i="2"/>
  <c r="S395" i="2" s="1"/>
  <c r="V403" i="2"/>
  <c r="V414" i="2"/>
  <c r="V467" i="2"/>
  <c r="V468" i="2"/>
  <c r="R501" i="2"/>
  <c r="S501" i="2" s="1"/>
  <c r="V339" i="2"/>
  <c r="R799" i="2"/>
  <c r="S799" i="2" s="1"/>
  <c r="R54" i="2"/>
  <c r="S54" i="2" s="1"/>
  <c r="R58" i="2"/>
  <c r="S58" i="2" s="1"/>
  <c r="R62" i="2"/>
  <c r="S62" i="2" s="1"/>
  <c r="R66" i="2"/>
  <c r="S66" i="2" s="1"/>
  <c r="R70" i="2"/>
  <c r="S70" i="2" s="1"/>
  <c r="R74" i="2"/>
  <c r="S74" i="2" s="1"/>
  <c r="R78" i="2"/>
  <c r="S78" i="2" s="1"/>
  <c r="R82" i="2"/>
  <c r="S82" i="2" s="1"/>
  <c r="R86" i="2"/>
  <c r="S86" i="2" s="1"/>
  <c r="R90" i="2"/>
  <c r="S90" i="2" s="1"/>
  <c r="R94" i="2"/>
  <c r="S94" i="2" s="1"/>
  <c r="R98" i="2"/>
  <c r="S98" i="2" s="1"/>
  <c r="R102" i="2"/>
  <c r="S102" i="2" s="1"/>
  <c r="R106" i="2"/>
  <c r="S106" i="2" s="1"/>
  <c r="R110" i="2"/>
  <c r="S110" i="2" s="1"/>
  <c r="R114" i="2"/>
  <c r="S114" i="2" s="1"/>
  <c r="R118" i="2"/>
  <c r="S118" i="2" s="1"/>
  <c r="R122" i="2"/>
  <c r="S122" i="2" s="1"/>
  <c r="R126" i="2"/>
  <c r="S126" i="2" s="1"/>
  <c r="R130" i="2"/>
  <c r="S130" i="2" s="1"/>
  <c r="R134" i="2"/>
  <c r="S134" i="2" s="1"/>
  <c r="R138" i="2"/>
  <c r="S138" i="2" s="1"/>
  <c r="R142" i="2"/>
  <c r="S142" i="2" s="1"/>
  <c r="R146" i="2"/>
  <c r="S146" i="2" s="1"/>
  <c r="R150" i="2"/>
  <c r="S150" i="2" s="1"/>
  <c r="R154" i="2"/>
  <c r="S154" i="2" s="1"/>
  <c r="R158" i="2"/>
  <c r="S158" i="2" s="1"/>
  <c r="R162" i="2"/>
  <c r="S162" i="2" s="1"/>
  <c r="R166" i="2"/>
  <c r="S166" i="2" s="1"/>
  <c r="R170" i="2"/>
  <c r="S170" i="2" s="1"/>
  <c r="R174" i="2"/>
  <c r="S174" i="2" s="1"/>
  <c r="V254" i="2"/>
  <c r="V319" i="2"/>
  <c r="V323" i="2"/>
  <c r="R363" i="2"/>
  <c r="S363" i="2" s="1"/>
  <c r="V371" i="2"/>
  <c r="R500" i="2"/>
  <c r="S500" i="2" s="1"/>
  <c r="V532" i="2"/>
  <c r="V588" i="2"/>
  <c r="R699" i="2"/>
  <c r="S699" i="2" s="1"/>
  <c r="R35" i="2"/>
  <c r="S35" i="2" s="1"/>
  <c r="R39" i="2"/>
  <c r="S39" i="2" s="1"/>
  <c r="R43" i="2"/>
  <c r="S43" i="2" s="1"/>
  <c r="R47" i="2"/>
  <c r="S47" i="2" s="1"/>
  <c r="R256" i="2"/>
  <c r="S256" i="2" s="1"/>
  <c r="S263" i="2"/>
  <c r="R268" i="2"/>
  <c r="S268" i="2" s="1"/>
  <c r="R276" i="2"/>
  <c r="S276" i="2" s="1"/>
  <c r="R284" i="2"/>
  <c r="S284" i="2" s="1"/>
  <c r="R292" i="2"/>
  <c r="S292" i="2" s="1"/>
  <c r="S331" i="2"/>
  <c r="R379" i="2"/>
  <c r="S379" i="2" s="1"/>
  <c r="S389" i="2"/>
  <c r="R491" i="2"/>
  <c r="S491" i="2" s="1"/>
  <c r="V530" i="2"/>
  <c r="V585" i="2"/>
  <c r="V701" i="2"/>
  <c r="R443" i="2"/>
  <c r="S443" i="2" s="1"/>
  <c r="R332" i="2"/>
  <c r="S332" i="2" s="1"/>
  <c r="S335" i="2"/>
  <c r="R337" i="2"/>
  <c r="S337" i="2" s="1"/>
  <c r="V366" i="2"/>
  <c r="V398" i="2"/>
  <c r="R448" i="2"/>
  <c r="S448" i="2" s="1"/>
  <c r="R579" i="2"/>
  <c r="S579" i="2" s="1"/>
  <c r="V657" i="2"/>
  <c r="R270" i="2"/>
  <c r="S270" i="2" s="1"/>
  <c r="S271" i="2"/>
  <c r="R278" i="2"/>
  <c r="S278" i="2" s="1"/>
  <c r="S279" i="2"/>
  <c r="R286" i="2"/>
  <c r="S286" i="2" s="1"/>
  <c r="S287" i="2"/>
  <c r="R294" i="2"/>
  <c r="S294" i="2" s="1"/>
  <c r="R306" i="2"/>
  <c r="S306" i="2" s="1"/>
  <c r="R432" i="2"/>
  <c r="S432" i="2" s="1"/>
  <c r="R453" i="2"/>
  <c r="S453" i="2" s="1"/>
  <c r="R472" i="2"/>
  <c r="S472" i="2" s="1"/>
  <c r="R511" i="2"/>
  <c r="S511" i="2" s="1"/>
  <c r="R651" i="2"/>
  <c r="S651" i="2" s="1"/>
  <c r="S310" i="2"/>
  <c r="S326" i="2"/>
  <c r="S342" i="2"/>
  <c r="S358" i="2"/>
  <c r="S374" i="2"/>
  <c r="S390" i="2"/>
  <c r="S406" i="2"/>
  <c r="S422" i="2"/>
  <c r="S438" i="2"/>
  <c r="S454" i="2"/>
  <c r="S493" i="2"/>
  <c r="S502" i="2"/>
  <c r="S512" i="2"/>
  <c r="V586" i="2"/>
  <c r="V610" i="2"/>
  <c r="V634" i="2"/>
  <c r="V658" i="2"/>
  <c r="R675" i="2"/>
  <c r="S675" i="2" s="1"/>
  <c r="R695" i="2"/>
  <c r="S695" i="2" s="1"/>
  <c r="R795" i="2"/>
  <c r="S795" i="2" s="1"/>
  <c r="R819" i="2"/>
  <c r="S819" i="2" s="1"/>
  <c r="R1170" i="2"/>
  <c r="S1170" i="2" s="1"/>
  <c r="R1242" i="6"/>
  <c r="S1242" i="6" s="1"/>
  <c r="R1243" i="6"/>
  <c r="S1243" i="6" s="1"/>
  <c r="R484" i="2"/>
  <c r="S484" i="2" s="1"/>
  <c r="R513" i="2"/>
  <c r="S513" i="2" s="1"/>
  <c r="R573" i="2"/>
  <c r="S573" i="2" s="1"/>
  <c r="R575" i="2"/>
  <c r="S575" i="2" s="1"/>
  <c r="R599" i="2"/>
  <c r="S599" i="2" s="1"/>
  <c r="R623" i="2"/>
  <c r="S623" i="2" s="1"/>
  <c r="R647" i="2"/>
  <c r="S647" i="2" s="1"/>
  <c r="R771" i="2"/>
  <c r="S771" i="2" s="1"/>
  <c r="R1023" i="2"/>
  <c r="S1023" i="2" s="1"/>
  <c r="R1024" i="2"/>
  <c r="S1024" i="2" s="1"/>
  <c r="R1053" i="2"/>
  <c r="S1053" i="2" s="1"/>
  <c r="R567" i="2"/>
  <c r="S567" i="2" s="1"/>
  <c r="R569" i="2"/>
  <c r="S569" i="2" s="1"/>
  <c r="R791" i="2"/>
  <c r="S791" i="2" s="1"/>
  <c r="R815" i="2"/>
  <c r="S815" i="2" s="1"/>
  <c r="R1079" i="2"/>
  <c r="S1079" i="2" s="1"/>
  <c r="R1080" i="2"/>
  <c r="S1080" i="2" s="1"/>
  <c r="R571" i="2"/>
  <c r="S571" i="2" s="1"/>
  <c r="V580" i="2"/>
  <c r="R595" i="2"/>
  <c r="S595" i="2" s="1"/>
  <c r="R619" i="2"/>
  <c r="S619" i="2" s="1"/>
  <c r="R643" i="2"/>
  <c r="S643" i="2" s="1"/>
  <c r="R691" i="2"/>
  <c r="S691" i="2" s="1"/>
  <c r="R725" i="2"/>
  <c r="S725" i="2" s="1"/>
  <c r="V729" i="2"/>
  <c r="R743" i="2"/>
  <c r="S743" i="2" s="1"/>
  <c r="V845" i="2"/>
  <c r="V889" i="2"/>
  <c r="R348" i="2"/>
  <c r="S348" i="2" s="1"/>
  <c r="R353" i="2"/>
  <c r="S353" i="2" s="1"/>
  <c r="R364" i="2"/>
  <c r="S364" i="2" s="1"/>
  <c r="R369" i="2"/>
  <c r="S369" i="2" s="1"/>
  <c r="R380" i="2"/>
  <c r="S380" i="2" s="1"/>
  <c r="R385" i="2"/>
  <c r="S385" i="2" s="1"/>
  <c r="R396" i="2"/>
  <c r="S396" i="2" s="1"/>
  <c r="R401" i="2"/>
  <c r="S401" i="2" s="1"/>
  <c r="R412" i="2"/>
  <c r="S412" i="2" s="1"/>
  <c r="R417" i="2"/>
  <c r="S417" i="2" s="1"/>
  <c r="R428" i="2"/>
  <c r="S428" i="2" s="1"/>
  <c r="R433" i="2"/>
  <c r="S433" i="2" s="1"/>
  <c r="R444" i="2"/>
  <c r="S444" i="2" s="1"/>
  <c r="R449" i="2"/>
  <c r="S449" i="2" s="1"/>
  <c r="R464" i="2"/>
  <c r="S464" i="2" s="1"/>
  <c r="S476" i="2"/>
  <c r="R496" i="2"/>
  <c r="S496" i="2" s="1"/>
  <c r="R514" i="2"/>
  <c r="S514" i="2" s="1"/>
  <c r="S517" i="2"/>
  <c r="R526" i="2"/>
  <c r="S526" i="2" s="1"/>
  <c r="S527" i="2"/>
  <c r="R537" i="2"/>
  <c r="S537" i="2" s="1"/>
  <c r="S539" i="2"/>
  <c r="V578" i="2"/>
  <c r="V602" i="2"/>
  <c r="V626" i="2"/>
  <c r="V650" i="2"/>
  <c r="R707" i="2"/>
  <c r="S707" i="2" s="1"/>
  <c r="R787" i="2"/>
  <c r="S787" i="2" s="1"/>
  <c r="R811" i="2"/>
  <c r="S811" i="2" s="1"/>
  <c r="R391" i="2"/>
  <c r="S391" i="2" s="1"/>
  <c r="R407" i="2"/>
  <c r="S407" i="2" s="1"/>
  <c r="R423" i="2"/>
  <c r="S423" i="2" s="1"/>
  <c r="R439" i="2"/>
  <c r="S439" i="2" s="1"/>
  <c r="R455" i="2"/>
  <c r="S455" i="2" s="1"/>
  <c r="R465" i="2"/>
  <c r="S465" i="2" s="1"/>
  <c r="R475" i="2"/>
  <c r="S475" i="2" s="1"/>
  <c r="R503" i="2"/>
  <c r="S503" i="2" s="1"/>
  <c r="R524" i="2"/>
  <c r="S524" i="2" s="1"/>
  <c r="R540" i="2"/>
  <c r="S540" i="2" s="1"/>
  <c r="R541" i="2"/>
  <c r="S541" i="2" s="1"/>
  <c r="R543" i="2"/>
  <c r="S543" i="2" s="1"/>
  <c r="R545" i="2"/>
  <c r="S545" i="2" s="1"/>
  <c r="R555" i="2"/>
  <c r="S555" i="2" s="1"/>
  <c r="R557" i="2"/>
  <c r="S557" i="2" s="1"/>
  <c r="R591" i="2"/>
  <c r="S591" i="2" s="1"/>
  <c r="R615" i="2"/>
  <c r="S615" i="2" s="1"/>
  <c r="R639" i="2"/>
  <c r="S639" i="2" s="1"/>
  <c r="R663" i="2"/>
  <c r="S663" i="2" s="1"/>
  <c r="V693" i="2"/>
  <c r="R741" i="2"/>
  <c r="S741" i="2" s="1"/>
  <c r="R322" i="2"/>
  <c r="S322" i="2" s="1"/>
  <c r="R338" i="2"/>
  <c r="S338" i="2" s="1"/>
  <c r="R354" i="2"/>
  <c r="S354" i="2" s="1"/>
  <c r="R370" i="2"/>
  <c r="S370" i="2" s="1"/>
  <c r="R386" i="2"/>
  <c r="S386" i="2" s="1"/>
  <c r="R402" i="2"/>
  <c r="S402" i="2" s="1"/>
  <c r="R418" i="2"/>
  <c r="S418" i="2" s="1"/>
  <c r="R434" i="2"/>
  <c r="S434" i="2" s="1"/>
  <c r="R450" i="2"/>
  <c r="S450" i="2" s="1"/>
  <c r="R457" i="2"/>
  <c r="S457" i="2" s="1"/>
  <c r="R458" i="2"/>
  <c r="S458" i="2" s="1"/>
  <c r="R466" i="2"/>
  <c r="S466" i="2" s="1"/>
  <c r="S495" i="2"/>
  <c r="R505" i="2"/>
  <c r="S505" i="2" s="1"/>
  <c r="R506" i="2"/>
  <c r="S506" i="2" s="1"/>
  <c r="R515" i="2"/>
  <c r="S515" i="2" s="1"/>
  <c r="R525" i="2"/>
  <c r="S525" i="2" s="1"/>
  <c r="S546" i="2"/>
  <c r="V574" i="2"/>
  <c r="V598" i="2"/>
  <c r="V622" i="2"/>
  <c r="R687" i="2"/>
  <c r="S687" i="2" s="1"/>
  <c r="R719" i="2"/>
  <c r="S719" i="2" s="1"/>
  <c r="R739" i="2"/>
  <c r="S739" i="2" s="1"/>
  <c r="R460" i="2"/>
  <c r="S460" i="2" s="1"/>
  <c r="S488" i="2"/>
  <c r="R587" i="2"/>
  <c r="S587" i="2" s="1"/>
  <c r="R611" i="2"/>
  <c r="S611" i="2" s="1"/>
  <c r="R635" i="2"/>
  <c r="S635" i="2" s="1"/>
  <c r="R659" i="2"/>
  <c r="S659" i="2" s="1"/>
  <c r="R732" i="2"/>
  <c r="S732" i="2" s="1"/>
  <c r="R323" i="2"/>
  <c r="S323" i="2" s="1"/>
  <c r="R339" i="2"/>
  <c r="S339" i="2" s="1"/>
  <c r="R355" i="2"/>
  <c r="S355" i="2" s="1"/>
  <c r="R371" i="2"/>
  <c r="S371" i="2" s="1"/>
  <c r="R387" i="2"/>
  <c r="S387" i="2" s="1"/>
  <c r="R403" i="2"/>
  <c r="S403" i="2" s="1"/>
  <c r="R419" i="2"/>
  <c r="S419" i="2" s="1"/>
  <c r="R435" i="2"/>
  <c r="S435" i="2" s="1"/>
  <c r="R451" i="2"/>
  <c r="S451" i="2" s="1"/>
  <c r="V455" i="2"/>
  <c r="V456" i="2"/>
  <c r="R467" i="2"/>
  <c r="S467" i="2" s="1"/>
  <c r="V475" i="2"/>
  <c r="R477" i="2"/>
  <c r="S477" i="2" s="1"/>
  <c r="R487" i="2"/>
  <c r="S487" i="2" s="1"/>
  <c r="S489" i="2"/>
  <c r="V503" i="2"/>
  <c r="V504" i="2"/>
  <c r="R535" i="2"/>
  <c r="S535" i="2" s="1"/>
  <c r="R536" i="2"/>
  <c r="S536" i="2" s="1"/>
  <c r="V537" i="2"/>
  <c r="V564" i="2"/>
  <c r="V570" i="2"/>
  <c r="V594" i="2"/>
  <c r="V618" i="2"/>
  <c r="V642" i="2"/>
  <c r="V723" i="2"/>
  <c r="S314" i="2"/>
  <c r="R318" i="2"/>
  <c r="S318" i="2" s="1"/>
  <c r="S330" i="2"/>
  <c r="R334" i="2"/>
  <c r="S334" i="2" s="1"/>
  <c r="S346" i="2"/>
  <c r="R350" i="2"/>
  <c r="S350" i="2" s="1"/>
  <c r="S362" i="2"/>
  <c r="R366" i="2"/>
  <c r="S366" i="2" s="1"/>
  <c r="S378" i="2"/>
  <c r="R382" i="2"/>
  <c r="S382" i="2" s="1"/>
  <c r="S394" i="2"/>
  <c r="R398" i="2"/>
  <c r="S398" i="2" s="1"/>
  <c r="S410" i="2"/>
  <c r="R414" i="2"/>
  <c r="S414" i="2" s="1"/>
  <c r="S426" i="2"/>
  <c r="R430" i="2"/>
  <c r="S430" i="2" s="1"/>
  <c r="S442" i="2"/>
  <c r="R446" i="2"/>
  <c r="S446" i="2" s="1"/>
  <c r="S459" i="2"/>
  <c r="R469" i="2"/>
  <c r="S469" i="2" s="1"/>
  <c r="R478" i="2"/>
  <c r="S478" i="2" s="1"/>
  <c r="S481" i="2"/>
  <c r="S490" i="2"/>
  <c r="S507" i="2"/>
  <c r="R531" i="2"/>
  <c r="S531" i="2" s="1"/>
  <c r="R583" i="2"/>
  <c r="S583" i="2" s="1"/>
  <c r="R607" i="2"/>
  <c r="S607" i="2" s="1"/>
  <c r="R631" i="2"/>
  <c r="S631" i="2" s="1"/>
  <c r="R655" i="2"/>
  <c r="S655" i="2" s="1"/>
  <c r="R715" i="2"/>
  <c r="S715" i="2" s="1"/>
  <c r="V511" i="2"/>
  <c r="V524" i="2"/>
  <c r="R547" i="2"/>
  <c r="S547" i="2" s="1"/>
  <c r="R549" i="2"/>
  <c r="S549" i="2" s="1"/>
  <c r="R683" i="2"/>
  <c r="S683" i="2" s="1"/>
  <c r="R711" i="2"/>
  <c r="S711" i="2" s="1"/>
  <c r="S738" i="2"/>
  <c r="R978" i="2"/>
  <c r="S978" i="2" s="1"/>
  <c r="S461" i="2"/>
  <c r="V464" i="2"/>
  <c r="S473" i="2"/>
  <c r="V476" i="2"/>
  <c r="S485" i="2"/>
  <c r="V488" i="2"/>
  <c r="S497" i="2"/>
  <c r="V500" i="2"/>
  <c r="S509" i="2"/>
  <c r="V512" i="2"/>
  <c r="S521" i="2"/>
  <c r="R529" i="2"/>
  <c r="S529" i="2" s="1"/>
  <c r="V538" i="2"/>
  <c r="R551" i="2"/>
  <c r="S551" i="2" s="1"/>
  <c r="S552" i="2"/>
  <c r="R553" i="2"/>
  <c r="S553" i="2" s="1"/>
  <c r="R679" i="2"/>
  <c r="S679" i="2" s="1"/>
  <c r="R731" i="2"/>
  <c r="S731" i="2" s="1"/>
  <c r="R783" i="2"/>
  <c r="S783" i="2" s="1"/>
  <c r="R807" i="2"/>
  <c r="S807" i="2" s="1"/>
  <c r="V841" i="2"/>
  <c r="R508" i="2"/>
  <c r="S508" i="2" s="1"/>
  <c r="R520" i="2"/>
  <c r="S520" i="2" s="1"/>
  <c r="V526" i="2"/>
  <c r="R528" i="2"/>
  <c r="S528" i="2" s="1"/>
  <c r="S532" i="2"/>
  <c r="R559" i="2"/>
  <c r="S559" i="2" s="1"/>
  <c r="S560" i="2"/>
  <c r="R561" i="2"/>
  <c r="S561" i="2" s="1"/>
  <c r="R671" i="2"/>
  <c r="S671" i="2" s="1"/>
  <c r="S730" i="2"/>
  <c r="V759" i="2"/>
  <c r="R779" i="2"/>
  <c r="S779" i="2" s="1"/>
  <c r="R803" i="2"/>
  <c r="S803" i="2" s="1"/>
  <c r="S456" i="2"/>
  <c r="S468" i="2"/>
  <c r="S480" i="2"/>
  <c r="S492" i="2"/>
  <c r="S504" i="2"/>
  <c r="S516" i="2"/>
  <c r="R533" i="2"/>
  <c r="S533" i="2" s="1"/>
  <c r="R563" i="2"/>
  <c r="S563" i="2" s="1"/>
  <c r="S564" i="2"/>
  <c r="R565" i="2"/>
  <c r="S565" i="2" s="1"/>
  <c r="R667" i="2"/>
  <c r="S667" i="2" s="1"/>
  <c r="R703" i="2"/>
  <c r="S703" i="2" s="1"/>
  <c r="V737" i="2"/>
  <c r="V757" i="2"/>
  <c r="R916" i="2"/>
  <c r="S916" i="2" s="1"/>
  <c r="R925" i="2"/>
  <c r="S925" i="2" s="1"/>
  <c r="R150" i="7"/>
  <c r="S150" i="7" s="1"/>
  <c r="V765" i="2"/>
  <c r="V767" i="2"/>
  <c r="V837" i="2"/>
  <c r="V885" i="2"/>
  <c r="R907" i="2"/>
  <c r="S907" i="2" s="1"/>
  <c r="R977" i="2"/>
  <c r="S977" i="2" s="1"/>
  <c r="R1071" i="2"/>
  <c r="S1071" i="2" s="1"/>
  <c r="R1072" i="2"/>
  <c r="S1072" i="2" s="1"/>
  <c r="V769" i="2"/>
  <c r="V771" i="2"/>
  <c r="V833" i="2"/>
  <c r="V881" i="2"/>
  <c r="R953" i="2"/>
  <c r="S953" i="2" s="1"/>
  <c r="V739" i="2"/>
  <c r="S746" i="2"/>
  <c r="S748" i="2"/>
  <c r="V773" i="2"/>
  <c r="V775" i="2"/>
  <c r="V779" i="2"/>
  <c r="V783" i="2"/>
  <c r="V787" i="2"/>
  <c r="V791" i="2"/>
  <c r="V795" i="2"/>
  <c r="V799" i="2"/>
  <c r="V829" i="2"/>
  <c r="V877" i="2"/>
  <c r="R906" i="2"/>
  <c r="S906" i="2" s="1"/>
  <c r="V923" i="2"/>
  <c r="R1339" i="2"/>
  <c r="S1339" i="2" s="1"/>
  <c r="R720" i="2"/>
  <c r="S720" i="2" s="1"/>
  <c r="V731" i="2"/>
  <c r="S733" i="2"/>
  <c r="V741" i="2"/>
  <c r="S745" i="2"/>
  <c r="V777" i="2"/>
  <c r="V781" i="2"/>
  <c r="V785" i="2"/>
  <c r="V789" i="2"/>
  <c r="V793" i="2"/>
  <c r="V797" i="2"/>
  <c r="V801" i="2"/>
  <c r="V805" i="2"/>
  <c r="V809" i="2"/>
  <c r="V813" i="2"/>
  <c r="V817" i="2"/>
  <c r="V821" i="2"/>
  <c r="V825" i="2"/>
  <c r="S858" i="2"/>
  <c r="V873" i="2"/>
  <c r="R946" i="2"/>
  <c r="S946" i="2" s="1"/>
  <c r="R692" i="2"/>
  <c r="S692" i="2" s="1"/>
  <c r="R696" i="2"/>
  <c r="S696" i="2" s="1"/>
  <c r="R700" i="2"/>
  <c r="S700" i="2" s="1"/>
  <c r="R704" i="2"/>
  <c r="S704" i="2" s="1"/>
  <c r="R708" i="2"/>
  <c r="S708" i="2" s="1"/>
  <c r="R712" i="2"/>
  <c r="S712" i="2" s="1"/>
  <c r="R716" i="2"/>
  <c r="S716" i="2" s="1"/>
  <c r="R727" i="2"/>
  <c r="S727" i="2" s="1"/>
  <c r="S747" i="2"/>
  <c r="S750" i="2"/>
  <c r="S752" i="2"/>
  <c r="R895" i="2"/>
  <c r="S895" i="2" s="1"/>
  <c r="R901" i="2"/>
  <c r="S901" i="2" s="1"/>
  <c r="S721" i="2"/>
  <c r="V745" i="2"/>
  <c r="S749" i="2"/>
  <c r="R755" i="2"/>
  <c r="S755" i="2" s="1"/>
  <c r="S756" i="2"/>
  <c r="S850" i="2"/>
  <c r="V865" i="2"/>
  <c r="R945" i="2"/>
  <c r="S945" i="2" s="1"/>
  <c r="R1011" i="2"/>
  <c r="S1011" i="2" s="1"/>
  <c r="R1299" i="2"/>
  <c r="S1299" i="2" s="1"/>
  <c r="R759" i="2"/>
  <c r="S759" i="2" s="1"/>
  <c r="S760" i="2"/>
  <c r="R891" i="2"/>
  <c r="S891" i="2" s="1"/>
  <c r="R1087" i="2"/>
  <c r="S1087" i="2" s="1"/>
  <c r="R577" i="2"/>
  <c r="S577" i="2" s="1"/>
  <c r="R581" i="2"/>
  <c r="S581" i="2" s="1"/>
  <c r="R585" i="2"/>
  <c r="S585" i="2" s="1"/>
  <c r="R589" i="2"/>
  <c r="S589" i="2" s="1"/>
  <c r="R593" i="2"/>
  <c r="S593" i="2" s="1"/>
  <c r="R597" i="2"/>
  <c r="S597" i="2" s="1"/>
  <c r="R601" i="2"/>
  <c r="S601" i="2" s="1"/>
  <c r="R605" i="2"/>
  <c r="S605" i="2" s="1"/>
  <c r="R609" i="2"/>
  <c r="S609" i="2" s="1"/>
  <c r="R613" i="2"/>
  <c r="S613" i="2" s="1"/>
  <c r="R617" i="2"/>
  <c r="S617" i="2" s="1"/>
  <c r="R621" i="2"/>
  <c r="S621" i="2" s="1"/>
  <c r="R625" i="2"/>
  <c r="S625" i="2" s="1"/>
  <c r="R629" i="2"/>
  <c r="S629" i="2" s="1"/>
  <c r="R633" i="2"/>
  <c r="S633" i="2" s="1"/>
  <c r="R637" i="2"/>
  <c r="S637" i="2" s="1"/>
  <c r="R641" i="2"/>
  <c r="S641" i="2" s="1"/>
  <c r="R645" i="2"/>
  <c r="S645" i="2" s="1"/>
  <c r="R649" i="2"/>
  <c r="S649" i="2" s="1"/>
  <c r="R653" i="2"/>
  <c r="S653" i="2" s="1"/>
  <c r="R657" i="2"/>
  <c r="S657" i="2" s="1"/>
  <c r="R661" i="2"/>
  <c r="S661" i="2" s="1"/>
  <c r="R665" i="2"/>
  <c r="S665" i="2" s="1"/>
  <c r="R669" i="2"/>
  <c r="S669" i="2" s="1"/>
  <c r="R673" i="2"/>
  <c r="S673" i="2" s="1"/>
  <c r="R677" i="2"/>
  <c r="S677" i="2" s="1"/>
  <c r="R681" i="2"/>
  <c r="S681" i="2" s="1"/>
  <c r="R685" i="2"/>
  <c r="S685" i="2" s="1"/>
  <c r="R689" i="2"/>
  <c r="S689" i="2" s="1"/>
  <c r="R693" i="2"/>
  <c r="S693" i="2" s="1"/>
  <c r="R697" i="2"/>
  <c r="S697" i="2" s="1"/>
  <c r="R701" i="2"/>
  <c r="S701" i="2" s="1"/>
  <c r="R705" i="2"/>
  <c r="S705" i="2" s="1"/>
  <c r="R709" i="2"/>
  <c r="S709" i="2" s="1"/>
  <c r="R713" i="2"/>
  <c r="S713" i="2" s="1"/>
  <c r="R717" i="2"/>
  <c r="S717" i="2" s="1"/>
  <c r="R728" i="2"/>
  <c r="S728" i="2" s="1"/>
  <c r="V749" i="2"/>
  <c r="S753" i="2"/>
  <c r="S758" i="2"/>
  <c r="R763" i="2"/>
  <c r="S763" i="2" s="1"/>
  <c r="S764" i="2"/>
  <c r="V857" i="2"/>
  <c r="R985" i="2"/>
  <c r="S985" i="2" s="1"/>
  <c r="R1059" i="2"/>
  <c r="S1059" i="2" s="1"/>
  <c r="R736" i="2"/>
  <c r="S736" i="2" s="1"/>
  <c r="V751" i="2"/>
  <c r="S757" i="2"/>
  <c r="S762" i="2"/>
  <c r="R767" i="2"/>
  <c r="S767" i="2" s="1"/>
  <c r="S768" i="2"/>
  <c r="S838" i="2"/>
  <c r="V853" i="2"/>
  <c r="S886" i="2"/>
  <c r="V912" i="2"/>
  <c r="R986" i="2"/>
  <c r="S986" i="2" s="1"/>
  <c r="R988" i="2"/>
  <c r="S988" i="2" s="1"/>
  <c r="R1036" i="2"/>
  <c r="S1036" i="2" s="1"/>
  <c r="R1061" i="2"/>
  <c r="S1061" i="2" s="1"/>
  <c r="R1063" i="2"/>
  <c r="S1063" i="2" s="1"/>
  <c r="R1064" i="2"/>
  <c r="S1064" i="2" s="1"/>
  <c r="R1069" i="2"/>
  <c r="S1069" i="2" s="1"/>
  <c r="R1077" i="2"/>
  <c r="S1077" i="2" s="1"/>
  <c r="R1088" i="2"/>
  <c r="S1088" i="2" s="1"/>
  <c r="R1093" i="2"/>
  <c r="S1093" i="2" s="1"/>
  <c r="R1312" i="2"/>
  <c r="S1312" i="2" s="1"/>
  <c r="R1337" i="2"/>
  <c r="S1337" i="2" s="1"/>
  <c r="V913" i="2"/>
  <c r="V975" i="2"/>
  <c r="R1012" i="2"/>
  <c r="S1012" i="2" s="1"/>
  <c r="V1047" i="2"/>
  <c r="R1097" i="2"/>
  <c r="S1097" i="2" s="1"/>
  <c r="R13" i="7"/>
  <c r="S13" i="7" s="1"/>
  <c r="S929" i="2"/>
  <c r="S933" i="2"/>
  <c r="V948" i="2"/>
  <c r="S992" i="2"/>
  <c r="V1034" i="2"/>
  <c r="V1055" i="2"/>
  <c r="R1101" i="2"/>
  <c r="S1101" i="2" s="1"/>
  <c r="S1107" i="2"/>
  <c r="R1141" i="2"/>
  <c r="S1141" i="2" s="1"/>
  <c r="R1273" i="2"/>
  <c r="S1273" i="2" s="1"/>
  <c r="Y19" i="3"/>
  <c r="X19" i="3"/>
  <c r="R12" i="7"/>
  <c r="S12" i="7" s="1"/>
  <c r="R827" i="2"/>
  <c r="S827" i="2" s="1"/>
  <c r="R831" i="2"/>
  <c r="S831" i="2" s="1"/>
  <c r="R835" i="2"/>
  <c r="S835" i="2" s="1"/>
  <c r="R839" i="2"/>
  <c r="S839" i="2" s="1"/>
  <c r="R843" i="2"/>
  <c r="S843" i="2" s="1"/>
  <c r="R847" i="2"/>
  <c r="S847" i="2" s="1"/>
  <c r="R851" i="2"/>
  <c r="S851" i="2" s="1"/>
  <c r="R855" i="2"/>
  <c r="S855" i="2" s="1"/>
  <c r="R859" i="2"/>
  <c r="S859" i="2" s="1"/>
  <c r="R863" i="2"/>
  <c r="S863" i="2" s="1"/>
  <c r="R867" i="2"/>
  <c r="S867" i="2" s="1"/>
  <c r="R871" i="2"/>
  <c r="S871" i="2" s="1"/>
  <c r="R875" i="2"/>
  <c r="S875" i="2" s="1"/>
  <c r="R879" i="2"/>
  <c r="S879" i="2" s="1"/>
  <c r="R883" i="2"/>
  <c r="S883" i="2" s="1"/>
  <c r="R887" i="2"/>
  <c r="S887" i="2" s="1"/>
  <c r="S903" i="2"/>
  <c r="S928" i="2"/>
  <c r="S931" i="2"/>
  <c r="S936" i="2"/>
  <c r="R957" i="2"/>
  <c r="S957" i="2" s="1"/>
  <c r="S965" i="2"/>
  <c r="R998" i="2"/>
  <c r="S998" i="2" s="1"/>
  <c r="S1000" i="2"/>
  <c r="R1002" i="2"/>
  <c r="S1002" i="2" s="1"/>
  <c r="R1068" i="2"/>
  <c r="S1068" i="2" s="1"/>
  <c r="R1096" i="2"/>
  <c r="S1096" i="2" s="1"/>
  <c r="R1181" i="2"/>
  <c r="S1181" i="2" s="1"/>
  <c r="R1194" i="2"/>
  <c r="S1194" i="2" s="1"/>
  <c r="S1233" i="2"/>
  <c r="R1265" i="2"/>
  <c r="S1265" i="2" s="1"/>
  <c r="S32" i="7"/>
  <c r="R94" i="7"/>
  <c r="S94" i="7" s="1"/>
  <c r="R930" i="2"/>
  <c r="S930" i="2" s="1"/>
  <c r="S932" i="2"/>
  <c r="R994" i="2"/>
  <c r="S994" i="2" s="1"/>
  <c r="R1001" i="2"/>
  <c r="S1001" i="2" s="1"/>
  <c r="S1038" i="2"/>
  <c r="K1047" i="2"/>
  <c r="L1047" i="2" s="1"/>
  <c r="S1103" i="2"/>
  <c r="R1109" i="2"/>
  <c r="S1109" i="2" s="1"/>
  <c r="R1111" i="2"/>
  <c r="S1111" i="2" s="1"/>
  <c r="R1112" i="2"/>
  <c r="S1112" i="2" s="1"/>
  <c r="R1117" i="2"/>
  <c r="S1117" i="2" s="1"/>
  <c r="S1125" i="2"/>
  <c r="R1126" i="2"/>
  <c r="S1126" i="2" s="1"/>
  <c r="S1135" i="2"/>
  <c r="R1139" i="2"/>
  <c r="S1139" i="2" s="1"/>
  <c r="R1140" i="2"/>
  <c r="S1140" i="2" s="1"/>
  <c r="R1165" i="2"/>
  <c r="S1165" i="2" s="1"/>
  <c r="S1193" i="2"/>
  <c r="R938" i="2"/>
  <c r="S938" i="2" s="1"/>
  <c r="R1018" i="2"/>
  <c r="S1018" i="2" s="1"/>
  <c r="R1029" i="2"/>
  <c r="S1029" i="2" s="1"/>
  <c r="R1131" i="2"/>
  <c r="S1131" i="2" s="1"/>
  <c r="O5" i="3"/>
  <c r="P5" i="3" s="1"/>
  <c r="V1103" i="2"/>
  <c r="R1305" i="2"/>
  <c r="S1305" i="2" s="1"/>
  <c r="O11" i="3"/>
  <c r="P11" i="3" s="1"/>
  <c r="V16" i="3"/>
  <c r="Y16" i="3" s="1"/>
  <c r="AC16" i="3"/>
  <c r="S899" i="2"/>
  <c r="R920" i="2"/>
  <c r="S920" i="2" s="1"/>
  <c r="S923" i="2"/>
  <c r="S937" i="2"/>
  <c r="S973" i="2"/>
  <c r="S1008" i="2"/>
  <c r="S1017" i="2"/>
  <c r="R1042" i="2"/>
  <c r="S1042" i="2" s="1"/>
  <c r="R1116" i="2"/>
  <c r="S1116" i="2" s="1"/>
  <c r="R1187" i="2"/>
  <c r="S1187" i="2" s="1"/>
  <c r="S1303" i="2"/>
  <c r="R1344" i="2"/>
  <c r="S1344" i="2" s="1"/>
  <c r="T16" i="3"/>
  <c r="S16" i="3"/>
  <c r="R70" i="7"/>
  <c r="S70" i="7" s="1"/>
  <c r="R71" i="7"/>
  <c r="S71" i="7" s="1"/>
  <c r="R426" i="7"/>
  <c r="S426" i="7" s="1"/>
  <c r="R427" i="7"/>
  <c r="S427" i="7" s="1"/>
  <c r="R893" i="2"/>
  <c r="S893" i="2" s="1"/>
  <c r="R904" i="2"/>
  <c r="S904" i="2" s="1"/>
  <c r="R911" i="2"/>
  <c r="S911" i="2" s="1"/>
  <c r="S913" i="2"/>
  <c r="S940" i="2"/>
  <c r="S944" i="2"/>
  <c r="R970" i="2"/>
  <c r="S970" i="2" s="1"/>
  <c r="V996" i="2"/>
  <c r="R1033" i="2"/>
  <c r="S1033" i="2" s="1"/>
  <c r="S1044" i="2"/>
  <c r="S1225" i="2"/>
  <c r="V909" i="2"/>
  <c r="V910" i="2"/>
  <c r="R921" i="2"/>
  <c r="S921" i="2" s="1"/>
  <c r="R950" i="2"/>
  <c r="S950" i="2" s="1"/>
  <c r="S952" i="2"/>
  <c r="R954" i="2"/>
  <c r="S954" i="2" s="1"/>
  <c r="S972" i="2"/>
  <c r="S981" i="2"/>
  <c r="R1005" i="2"/>
  <c r="S1005" i="2" s="1"/>
  <c r="S1021" i="2"/>
  <c r="V1040" i="2"/>
  <c r="S1045" i="2"/>
  <c r="R1049" i="2"/>
  <c r="S1049" i="2" s="1"/>
  <c r="S1051" i="2"/>
  <c r="V1128" i="2"/>
  <c r="R1159" i="2"/>
  <c r="S1159" i="2" s="1"/>
  <c r="R1171" i="2"/>
  <c r="S1171" i="2" s="1"/>
  <c r="R1186" i="2"/>
  <c r="S1186" i="2" s="1"/>
  <c r="R1245" i="2"/>
  <c r="S1245" i="2" s="1"/>
  <c r="R1246" i="2"/>
  <c r="S1246" i="2" s="1"/>
  <c r="R1304" i="2"/>
  <c r="S1304" i="2" s="1"/>
  <c r="AC10" i="3"/>
  <c r="V10" i="3"/>
  <c r="Y10" i="3" s="1"/>
  <c r="R37" i="7"/>
  <c r="S37" i="7" s="1"/>
  <c r="V40" i="8"/>
  <c r="S926" i="2"/>
  <c r="R958" i="2"/>
  <c r="S958" i="2" s="1"/>
  <c r="R1006" i="2"/>
  <c r="S1006" i="2" s="1"/>
  <c r="S1027" i="2"/>
  <c r="K1029" i="2"/>
  <c r="L1029" i="2" s="1"/>
  <c r="S1060" i="2"/>
  <c r="V1075" i="2"/>
  <c r="R1089" i="2"/>
  <c r="S1089" i="2" s="1"/>
  <c r="S1108" i="2"/>
  <c r="S1121" i="2"/>
  <c r="R1122" i="2"/>
  <c r="S1122" i="2" s="1"/>
  <c r="V1144" i="2"/>
  <c r="S1163" i="2"/>
  <c r="R1164" i="2"/>
  <c r="S1164" i="2" s="1"/>
  <c r="V1177" i="2"/>
  <c r="R1237" i="2"/>
  <c r="S1237" i="2" s="1"/>
  <c r="AC11" i="3"/>
  <c r="V11" i="3"/>
  <c r="Y11" i="3" s="1"/>
  <c r="R57" i="7"/>
  <c r="S57" i="7" s="1"/>
  <c r="R74" i="7"/>
  <c r="S74" i="7" s="1"/>
  <c r="R110" i="7"/>
  <c r="S110" i="7" s="1"/>
  <c r="V309" i="7"/>
  <c r="R14" i="8"/>
  <c r="S14" i="8" s="1"/>
  <c r="V20" i="8"/>
  <c r="V24" i="8"/>
  <c r="V36" i="8"/>
  <c r="S922" i="2"/>
  <c r="V929" i="2"/>
  <c r="R966" i="2"/>
  <c r="S966" i="2" s="1"/>
  <c r="S1052" i="2"/>
  <c r="V1067" i="2"/>
  <c r="R1081" i="2"/>
  <c r="S1081" i="2" s="1"/>
  <c r="S1100" i="2"/>
  <c r="R1136" i="2"/>
  <c r="S1136" i="2" s="1"/>
  <c r="R1189" i="2"/>
  <c r="S1189" i="2" s="1"/>
  <c r="R1195" i="2"/>
  <c r="S1195" i="2" s="1"/>
  <c r="R1203" i="2"/>
  <c r="S1203" i="2" s="1"/>
  <c r="R1211" i="2"/>
  <c r="S1211" i="2" s="1"/>
  <c r="R1219" i="2"/>
  <c r="S1219" i="2" s="1"/>
  <c r="R1227" i="2"/>
  <c r="S1227" i="2" s="1"/>
  <c r="R1254" i="2"/>
  <c r="S1254" i="2" s="1"/>
  <c r="R1274" i="2"/>
  <c r="S1274" i="2" s="1"/>
  <c r="R1285" i="2"/>
  <c r="S1285" i="2" s="1"/>
  <c r="S1241" i="6"/>
  <c r="V58" i="7"/>
  <c r="V59" i="7"/>
  <c r="R1234" i="2"/>
  <c r="S1234" i="2" s="1"/>
  <c r="R1262" i="2"/>
  <c r="S1262" i="2" s="1"/>
  <c r="S918" i="2"/>
  <c r="V925" i="2"/>
  <c r="R974" i="2"/>
  <c r="S974" i="2" s="1"/>
  <c r="K1035" i="2"/>
  <c r="L1035" i="2" s="1"/>
  <c r="R1039" i="2"/>
  <c r="S1039" i="2" s="1"/>
  <c r="K1041" i="2"/>
  <c r="L1041" i="2" s="1"/>
  <c r="R1046" i="2"/>
  <c r="S1046" i="2" s="1"/>
  <c r="K1048" i="2"/>
  <c r="L1048" i="2" s="1"/>
  <c r="V1059" i="2"/>
  <c r="R1073" i="2"/>
  <c r="S1073" i="2" s="1"/>
  <c r="V1107" i="2"/>
  <c r="R1127" i="2"/>
  <c r="S1127" i="2" s="1"/>
  <c r="Y18" i="3"/>
  <c r="V7" i="4"/>
  <c r="S15" i="7"/>
  <c r="V55" i="7"/>
  <c r="S914" i="2"/>
  <c r="V921" i="2"/>
  <c r="R934" i="2"/>
  <c r="S934" i="2" s="1"/>
  <c r="R982" i="2"/>
  <c r="S982" i="2" s="1"/>
  <c r="S1009" i="2"/>
  <c r="K1011" i="2"/>
  <c r="L1011" i="2" s="1"/>
  <c r="V1051" i="2"/>
  <c r="R1065" i="2"/>
  <c r="S1065" i="2" s="1"/>
  <c r="S1084" i="2"/>
  <c r="V1099" i="2"/>
  <c r="R1113" i="2"/>
  <c r="S1113" i="2" s="1"/>
  <c r="R1179" i="2"/>
  <c r="S1179" i="2" s="1"/>
  <c r="R1202" i="2"/>
  <c r="S1202" i="2" s="1"/>
  <c r="R1210" i="2"/>
  <c r="S1210" i="2" s="1"/>
  <c r="R1218" i="2"/>
  <c r="S1218" i="2" s="1"/>
  <c r="R1226" i="2"/>
  <c r="S1226" i="2" s="1"/>
  <c r="V1283" i="2"/>
  <c r="R1311" i="2"/>
  <c r="S1311" i="2" s="1"/>
  <c r="R191" i="7"/>
  <c r="S191" i="7" s="1"/>
  <c r="R962" i="2"/>
  <c r="S962" i="2" s="1"/>
  <c r="S1030" i="2"/>
  <c r="S1056" i="2"/>
  <c r="R1083" i="2"/>
  <c r="S1083" i="2" s="1"/>
  <c r="R1085" i="2"/>
  <c r="S1085" i="2" s="1"/>
  <c r="R1092" i="2"/>
  <c r="S1092" i="2" s="1"/>
  <c r="S1104" i="2"/>
  <c r="S1145" i="2"/>
  <c r="S1149" i="2"/>
  <c r="R1150" i="2"/>
  <c r="S1150" i="2" s="1"/>
  <c r="S1154" i="2"/>
  <c r="R1309" i="2"/>
  <c r="S1309" i="2" s="1"/>
  <c r="S1343" i="2"/>
  <c r="S910" i="2"/>
  <c r="V917" i="2"/>
  <c r="R942" i="2"/>
  <c r="S942" i="2" s="1"/>
  <c r="R990" i="2"/>
  <c r="S990" i="2" s="1"/>
  <c r="S1015" i="2"/>
  <c r="K1017" i="2"/>
  <c r="L1017" i="2" s="1"/>
  <c r="K1032" i="2"/>
  <c r="L1032" i="2" s="1"/>
  <c r="R1057" i="2"/>
  <c r="S1057" i="2" s="1"/>
  <c r="S1076" i="2"/>
  <c r="V1091" i="2"/>
  <c r="R1105" i="2"/>
  <c r="S1105" i="2" s="1"/>
  <c r="V1125" i="2"/>
  <c r="R1155" i="2"/>
  <c r="S1155" i="2" s="1"/>
  <c r="R1173" i="2"/>
  <c r="S1173" i="2" s="1"/>
  <c r="R1340" i="2"/>
  <c r="S1340" i="2" s="1"/>
  <c r="AC5" i="3"/>
  <c r="V5" i="3"/>
  <c r="Y5" i="3" s="1"/>
  <c r="S11" i="7"/>
  <c r="R33" i="7"/>
  <c r="S33" i="7" s="1"/>
  <c r="R424" i="7"/>
  <c r="S424" i="7" s="1"/>
  <c r="V1193" i="2"/>
  <c r="V1201" i="2"/>
  <c r="V1209" i="2"/>
  <c r="V1217" i="2"/>
  <c r="V1225" i="2"/>
  <c r="V1233" i="2"/>
  <c r="R1266" i="2"/>
  <c r="S1266" i="2" s="1"/>
  <c r="S1290" i="2"/>
  <c r="S1310" i="2"/>
  <c r="R1345" i="2"/>
  <c r="S1345" i="2" s="1"/>
  <c r="S1346" i="2"/>
  <c r="R9" i="7"/>
  <c r="S9" i="7" s="1"/>
  <c r="V34" i="7"/>
  <c r="V35" i="7"/>
  <c r="R179" i="7"/>
  <c r="S179" i="7" s="1"/>
  <c r="V274" i="7"/>
  <c r="R1238" i="2"/>
  <c r="S1238" i="2" s="1"/>
  <c r="V1253" i="2"/>
  <c r="R1292" i="2"/>
  <c r="S1292" i="2" s="1"/>
  <c r="R1319" i="2"/>
  <c r="S1319" i="2" s="1"/>
  <c r="R1347" i="2"/>
  <c r="S1347" i="2" s="1"/>
  <c r="K1018" i="6"/>
  <c r="L1018" i="6" s="1"/>
  <c r="R44" i="7"/>
  <c r="S44" i="7" s="1"/>
  <c r="R64" i="7"/>
  <c r="S64" i="7" s="1"/>
  <c r="R65" i="7"/>
  <c r="S65" i="7" s="1"/>
  <c r="R86" i="7"/>
  <c r="S86" i="7" s="1"/>
  <c r="R106" i="7"/>
  <c r="S106" i="7" s="1"/>
  <c r="R146" i="7"/>
  <c r="S146" i="7" s="1"/>
  <c r="R147" i="7"/>
  <c r="S147" i="7" s="1"/>
  <c r="R178" i="7"/>
  <c r="S178" i="7" s="1"/>
  <c r="R1258" i="2"/>
  <c r="S1258" i="2" s="1"/>
  <c r="V1273" i="2"/>
  <c r="R1325" i="2"/>
  <c r="S1325" i="2" s="1"/>
  <c r="X8" i="3"/>
  <c r="V1241" i="6"/>
  <c r="V10" i="7"/>
  <c r="V11" i="7"/>
  <c r="V221" i="7"/>
  <c r="R1146" i="2"/>
  <c r="S1146" i="2" s="1"/>
  <c r="R1160" i="2"/>
  <c r="S1160" i="2" s="1"/>
  <c r="R1167" i="2"/>
  <c r="S1167" i="2" s="1"/>
  <c r="R1175" i="2"/>
  <c r="S1175" i="2" s="1"/>
  <c r="R1183" i="2"/>
  <c r="S1183" i="2" s="1"/>
  <c r="R1191" i="2"/>
  <c r="S1191" i="2" s="1"/>
  <c r="R1197" i="2"/>
  <c r="S1197" i="2" s="1"/>
  <c r="R1199" i="2"/>
  <c r="S1199" i="2" s="1"/>
  <c r="R1205" i="2"/>
  <c r="S1205" i="2" s="1"/>
  <c r="R1207" i="2"/>
  <c r="S1207" i="2" s="1"/>
  <c r="R1213" i="2"/>
  <c r="S1213" i="2" s="1"/>
  <c r="R1215" i="2"/>
  <c r="S1215" i="2" s="1"/>
  <c r="R1221" i="2"/>
  <c r="S1221" i="2" s="1"/>
  <c r="R1223" i="2"/>
  <c r="S1223" i="2" s="1"/>
  <c r="R1229" i="2"/>
  <c r="S1229" i="2" s="1"/>
  <c r="R1231" i="2"/>
  <c r="S1231" i="2" s="1"/>
  <c r="V1245" i="2"/>
  <c r="R1257" i="2"/>
  <c r="S1257" i="2" s="1"/>
  <c r="R1278" i="2"/>
  <c r="S1278" i="2" s="1"/>
  <c r="S1289" i="2"/>
  <c r="R1291" i="2"/>
  <c r="S1291" i="2" s="1"/>
  <c r="R1324" i="2"/>
  <c r="S1324" i="2" s="1"/>
  <c r="R1332" i="2"/>
  <c r="S1332" i="2" s="1"/>
  <c r="O13" i="3"/>
  <c r="P13" i="3" s="1"/>
  <c r="X17" i="3"/>
  <c r="O19" i="3"/>
  <c r="P19" i="3" s="1"/>
  <c r="R20" i="7"/>
  <c r="S20" i="7" s="1"/>
  <c r="R40" i="7"/>
  <c r="S40" i="7" s="1"/>
  <c r="R41" i="7"/>
  <c r="S41" i="7" s="1"/>
  <c r="R82" i="7"/>
  <c r="S82" i="7" s="1"/>
  <c r="S145" i="7"/>
  <c r="S177" i="7"/>
  <c r="R1151" i="2"/>
  <c r="S1151" i="2" s="1"/>
  <c r="R1166" i="2"/>
  <c r="S1166" i="2" s="1"/>
  <c r="R1174" i="2"/>
  <c r="S1174" i="2" s="1"/>
  <c r="R1182" i="2"/>
  <c r="S1182" i="2" s="1"/>
  <c r="R1190" i="2"/>
  <c r="S1190" i="2" s="1"/>
  <c r="R1250" i="2"/>
  <c r="S1250" i="2" s="1"/>
  <c r="V1265" i="2"/>
  <c r="R1277" i="2"/>
  <c r="S1277" i="2" s="1"/>
  <c r="R1279" i="2"/>
  <c r="S1279" i="2" s="1"/>
  <c r="S1282" i="2"/>
  <c r="S1317" i="2"/>
  <c r="R1351" i="2"/>
  <c r="S1351" i="2" s="1"/>
  <c r="R1352" i="2"/>
  <c r="S1352" i="2" s="1"/>
  <c r="O6" i="3"/>
  <c r="P6" i="3" s="1"/>
  <c r="T9" i="3"/>
  <c r="S9" i="3"/>
  <c r="AC17" i="3"/>
  <c r="R122" i="7"/>
  <c r="S122" i="7" s="1"/>
  <c r="R198" i="7"/>
  <c r="S198" i="7" s="1"/>
  <c r="R1118" i="2"/>
  <c r="S1118" i="2" s="1"/>
  <c r="R1132" i="2"/>
  <c r="S1132" i="2" s="1"/>
  <c r="R1137" i="2"/>
  <c r="S1137" i="2" s="1"/>
  <c r="R1142" i="2"/>
  <c r="S1142" i="2" s="1"/>
  <c r="R1156" i="2"/>
  <c r="S1156" i="2" s="1"/>
  <c r="R1161" i="2"/>
  <c r="S1161" i="2" s="1"/>
  <c r="R1198" i="2"/>
  <c r="S1198" i="2" s="1"/>
  <c r="R1206" i="2"/>
  <c r="S1206" i="2" s="1"/>
  <c r="R1214" i="2"/>
  <c r="S1214" i="2" s="1"/>
  <c r="R1222" i="2"/>
  <c r="S1222" i="2" s="1"/>
  <c r="R1230" i="2"/>
  <c r="S1230" i="2" s="1"/>
  <c r="V1237" i="2"/>
  <c r="R1249" i="2"/>
  <c r="S1249" i="2" s="1"/>
  <c r="R1270" i="2"/>
  <c r="S1270" i="2" s="1"/>
  <c r="V1290" i="2"/>
  <c r="V1310" i="2"/>
  <c r="V1323" i="2"/>
  <c r="R1331" i="2"/>
  <c r="S1331" i="2" s="1"/>
  <c r="U6" i="3"/>
  <c r="S6" i="3"/>
  <c r="R16" i="7"/>
  <c r="S16" i="7" s="1"/>
  <c r="R17" i="7"/>
  <c r="S17" i="7" s="1"/>
  <c r="R61" i="7"/>
  <c r="S61" i="7" s="1"/>
  <c r="V162" i="7"/>
  <c r="S197" i="7"/>
  <c r="R1242" i="2"/>
  <c r="S1242" i="2" s="1"/>
  <c r="S1284" i="2"/>
  <c r="R1297" i="2"/>
  <c r="S1297" i="2" s="1"/>
  <c r="S1298" i="2"/>
  <c r="S39" i="7"/>
  <c r="R98" i="7"/>
  <c r="S98" i="7" s="1"/>
  <c r="R118" i="7"/>
  <c r="S118" i="7" s="1"/>
  <c r="R83" i="7"/>
  <c r="S83" i="7" s="1"/>
  <c r="R95" i="7"/>
  <c r="S95" i="7" s="1"/>
  <c r="R107" i="7"/>
  <c r="S107" i="7" s="1"/>
  <c r="R119" i="7"/>
  <c r="S119" i="7" s="1"/>
  <c r="R134" i="7"/>
  <c r="S134" i="7" s="1"/>
  <c r="R143" i="7"/>
  <c r="S143" i="7" s="1"/>
  <c r="R174" i="7"/>
  <c r="S174" i="7" s="1"/>
  <c r="R21" i="7"/>
  <c r="S21" i="7" s="1"/>
  <c r="R45" i="7"/>
  <c r="S45" i="7" s="1"/>
  <c r="V202" i="7"/>
  <c r="R238" i="7"/>
  <c r="S238" i="7" s="1"/>
  <c r="R239" i="7"/>
  <c r="S239" i="7" s="1"/>
  <c r="R263" i="7"/>
  <c r="S263" i="7" s="1"/>
  <c r="V269" i="7"/>
  <c r="AC18" i="3"/>
  <c r="V69" i="7"/>
  <c r="R131" i="7"/>
  <c r="S131" i="7" s="1"/>
  <c r="V144" i="7"/>
  <c r="V145" i="7"/>
  <c r="R169" i="7"/>
  <c r="S169" i="7" s="1"/>
  <c r="V176" i="7"/>
  <c r="V265" i="7"/>
  <c r="S1314" i="2"/>
  <c r="K1355" i="2"/>
  <c r="L1355" i="2" s="1"/>
  <c r="S11" i="3"/>
  <c r="S17" i="3"/>
  <c r="O18" i="3"/>
  <c r="P18" i="3" s="1"/>
  <c r="R5" i="4"/>
  <c r="S5" i="4" s="1"/>
  <c r="R25" i="7"/>
  <c r="S25" i="7" s="1"/>
  <c r="R49" i="7"/>
  <c r="S49" i="7" s="1"/>
  <c r="V66" i="7"/>
  <c r="V67" i="7"/>
  <c r="V81" i="7"/>
  <c r="V93" i="7"/>
  <c r="V105" i="7"/>
  <c r="V117" i="7"/>
  <c r="R130" i="7"/>
  <c r="S130" i="7" s="1"/>
  <c r="R231" i="7"/>
  <c r="S231" i="7" s="1"/>
  <c r="R339" i="7"/>
  <c r="S339" i="7" s="1"/>
  <c r="V386" i="7"/>
  <c r="S1294" i="2"/>
  <c r="R1320" i="2"/>
  <c r="S1320" i="2" s="1"/>
  <c r="R1327" i="2"/>
  <c r="S1327" i="2" s="1"/>
  <c r="S1333" i="2"/>
  <c r="S1342" i="2"/>
  <c r="R1353" i="2"/>
  <c r="S1353" i="2" s="1"/>
  <c r="S5" i="3"/>
  <c r="T11" i="3"/>
  <c r="R1018" i="6"/>
  <c r="S1018" i="6" s="1"/>
  <c r="R24" i="7"/>
  <c r="S24" i="7" s="1"/>
  <c r="R48" i="7"/>
  <c r="S48" i="7" s="1"/>
  <c r="S222" i="7"/>
  <c r="R223" i="7"/>
  <c r="S223" i="7" s="1"/>
  <c r="R1235" i="2"/>
  <c r="S1235" i="2" s="1"/>
  <c r="R1239" i="2"/>
  <c r="S1239" i="2" s="1"/>
  <c r="R1243" i="2"/>
  <c r="S1243" i="2" s="1"/>
  <c r="R1247" i="2"/>
  <c r="S1247" i="2" s="1"/>
  <c r="R1251" i="2"/>
  <c r="S1251" i="2" s="1"/>
  <c r="R1255" i="2"/>
  <c r="S1255" i="2" s="1"/>
  <c r="R1259" i="2"/>
  <c r="S1259" i="2" s="1"/>
  <c r="R1263" i="2"/>
  <c r="S1263" i="2" s="1"/>
  <c r="R1267" i="2"/>
  <c r="S1267" i="2" s="1"/>
  <c r="R1271" i="2"/>
  <c r="S1271" i="2" s="1"/>
  <c r="R1275" i="2"/>
  <c r="S1275" i="2" s="1"/>
  <c r="R1300" i="2"/>
  <c r="S1300" i="2" s="1"/>
  <c r="R1307" i="2"/>
  <c r="S1307" i="2" s="1"/>
  <c r="S1313" i="2"/>
  <c r="S1322" i="2"/>
  <c r="R1348" i="2"/>
  <c r="S1348" i="2" s="1"/>
  <c r="T5" i="3"/>
  <c r="P12" i="3"/>
  <c r="AC12" i="3"/>
  <c r="R5" i="7"/>
  <c r="S5" i="7" s="1"/>
  <c r="R29" i="7"/>
  <c r="S29" i="7" s="1"/>
  <c r="R53" i="7"/>
  <c r="S53" i="7" s="1"/>
  <c r="V78" i="7"/>
  <c r="V90" i="7"/>
  <c r="V102" i="7"/>
  <c r="V114" i="7"/>
  <c r="V126" i="7"/>
  <c r="V129" i="7"/>
  <c r="V171" i="7"/>
  <c r="V182" i="7"/>
  <c r="R230" i="7"/>
  <c r="S230" i="7" s="1"/>
  <c r="R335" i="7"/>
  <c r="S335" i="7" s="1"/>
  <c r="S1293" i="2"/>
  <c r="S1302" i="2"/>
  <c r="S1341" i="2"/>
  <c r="S1350" i="2"/>
  <c r="S8" i="3"/>
  <c r="AC19" i="3"/>
  <c r="V166" i="7"/>
  <c r="V170" i="7"/>
  <c r="V228" i="7"/>
  <c r="R11" i="8"/>
  <c r="S11" i="8" s="1"/>
  <c r="R331" i="7"/>
  <c r="S331" i="7" s="1"/>
  <c r="R423" i="7"/>
  <c r="S423" i="7" s="1"/>
  <c r="R10" i="8"/>
  <c r="S10" i="8" s="1"/>
  <c r="R151" i="7"/>
  <c r="S151" i="7" s="1"/>
  <c r="V172" i="7"/>
  <c r="R180" i="7"/>
  <c r="S180" i="7" s="1"/>
  <c r="R199" i="7"/>
  <c r="S199" i="7" s="1"/>
  <c r="V229" i="7"/>
  <c r="R256" i="7"/>
  <c r="S256" i="7" s="1"/>
  <c r="R260" i="7"/>
  <c r="S260" i="7" s="1"/>
  <c r="S261" i="7"/>
  <c r="R299" i="7"/>
  <c r="S299" i="7" s="1"/>
  <c r="V70" i="7"/>
  <c r="V71" i="7"/>
  <c r="R75" i="7"/>
  <c r="S75" i="7" s="1"/>
  <c r="V82" i="7"/>
  <c r="V83" i="7"/>
  <c r="R87" i="7"/>
  <c r="S87" i="7" s="1"/>
  <c r="V94" i="7"/>
  <c r="V95" i="7"/>
  <c r="R99" i="7"/>
  <c r="S99" i="7" s="1"/>
  <c r="V106" i="7"/>
  <c r="V107" i="7"/>
  <c r="R111" i="7"/>
  <c r="S111" i="7" s="1"/>
  <c r="V118" i="7"/>
  <c r="V119" i="7"/>
  <c r="R123" i="7"/>
  <c r="S123" i="7" s="1"/>
  <c r="V130" i="7"/>
  <c r="R135" i="7"/>
  <c r="S135" i="7" s="1"/>
  <c r="V190" i="7"/>
  <c r="R247" i="7"/>
  <c r="S247" i="7" s="1"/>
  <c r="R295" i="7"/>
  <c r="S295" i="7" s="1"/>
  <c r="V322" i="7"/>
  <c r="R155" i="7"/>
  <c r="S155" i="7" s="1"/>
  <c r="V237" i="7"/>
  <c r="S67" i="7"/>
  <c r="R154" i="7"/>
  <c r="S154" i="7" s="1"/>
  <c r="R159" i="7"/>
  <c r="S159" i="7" s="1"/>
  <c r="R160" i="7"/>
  <c r="S160" i="7" s="1"/>
  <c r="R186" i="7"/>
  <c r="S186" i="7" s="1"/>
  <c r="R207" i="7"/>
  <c r="S207" i="7" s="1"/>
  <c r="R246" i="7"/>
  <c r="S246" i="7" s="1"/>
  <c r="R327" i="7"/>
  <c r="S327" i="7" s="1"/>
  <c r="V357" i="7"/>
  <c r="R462" i="7"/>
  <c r="S462" i="7" s="1"/>
  <c r="V9" i="8"/>
  <c r="O17" i="3"/>
  <c r="P17" i="3" s="1"/>
  <c r="S19" i="3"/>
  <c r="R6" i="4"/>
  <c r="S6" i="4" s="1"/>
  <c r="R1244" i="6"/>
  <c r="S1244" i="6" s="1"/>
  <c r="R6" i="7"/>
  <c r="S6" i="7" s="1"/>
  <c r="R10" i="7"/>
  <c r="S10" i="7" s="1"/>
  <c r="R14" i="7"/>
  <c r="S14" i="7" s="1"/>
  <c r="R18" i="7"/>
  <c r="S18" i="7" s="1"/>
  <c r="R22" i="7"/>
  <c r="S22" i="7" s="1"/>
  <c r="R26" i="7"/>
  <c r="S26" i="7" s="1"/>
  <c r="R30" i="7"/>
  <c r="S30" i="7" s="1"/>
  <c r="R34" i="7"/>
  <c r="S34" i="7" s="1"/>
  <c r="R38" i="7"/>
  <c r="S38" i="7" s="1"/>
  <c r="R42" i="7"/>
  <c r="S42" i="7" s="1"/>
  <c r="R46" i="7"/>
  <c r="S46" i="7" s="1"/>
  <c r="R50" i="7"/>
  <c r="S50" i="7" s="1"/>
  <c r="R54" i="7"/>
  <c r="S54" i="7" s="1"/>
  <c r="R58" i="7"/>
  <c r="S58" i="7" s="1"/>
  <c r="R62" i="7"/>
  <c r="S62" i="7" s="1"/>
  <c r="R66" i="7"/>
  <c r="S66" i="7" s="1"/>
  <c r="R68" i="7"/>
  <c r="S68" i="7" s="1"/>
  <c r="R139" i="7"/>
  <c r="S139" i="7" s="1"/>
  <c r="S214" i="7"/>
  <c r="V245" i="7"/>
  <c r="V257" i="7"/>
  <c r="V278" i="7"/>
  <c r="V318" i="7"/>
  <c r="V356" i="7"/>
  <c r="R458" i="7"/>
  <c r="S458" i="7" s="1"/>
  <c r="R459" i="7"/>
  <c r="S459" i="7" s="1"/>
  <c r="V74" i="7"/>
  <c r="V75" i="7"/>
  <c r="R79" i="7"/>
  <c r="S79" i="7" s="1"/>
  <c r="V86" i="7"/>
  <c r="V87" i="7"/>
  <c r="R91" i="7"/>
  <c r="S91" i="7" s="1"/>
  <c r="V98" i="7"/>
  <c r="V99" i="7"/>
  <c r="R103" i="7"/>
  <c r="S103" i="7" s="1"/>
  <c r="V110" i="7"/>
  <c r="V111" i="7"/>
  <c r="R115" i="7"/>
  <c r="S115" i="7" s="1"/>
  <c r="V122" i="7"/>
  <c r="R127" i="7"/>
  <c r="S127" i="7" s="1"/>
  <c r="V134" i="7"/>
  <c r="S163" i="7"/>
  <c r="R164" i="7"/>
  <c r="S164" i="7" s="1"/>
  <c r="R206" i="7"/>
  <c r="S206" i="7" s="1"/>
  <c r="R215" i="7"/>
  <c r="S215" i="7" s="1"/>
  <c r="V254" i="7"/>
  <c r="R430" i="7"/>
  <c r="S430" i="7" s="1"/>
  <c r="V178" i="7"/>
  <c r="R187" i="7"/>
  <c r="S187" i="7" s="1"/>
  <c r="V266" i="7"/>
  <c r="V270" i="7"/>
  <c r="R291" i="7"/>
  <c r="S291" i="7" s="1"/>
  <c r="V306" i="7"/>
  <c r="V310" i="7"/>
  <c r="R456" i="7"/>
  <c r="S456" i="7" s="1"/>
  <c r="V158" i="7"/>
  <c r="V198" i="7"/>
  <c r="R283" i="7"/>
  <c r="S283" i="7" s="1"/>
  <c r="R287" i="7"/>
  <c r="S287" i="7" s="1"/>
  <c r="R348" i="7"/>
  <c r="S348" i="7" s="1"/>
  <c r="R349" i="7"/>
  <c r="S349" i="7" s="1"/>
  <c r="R446" i="7"/>
  <c r="S446" i="7" s="1"/>
  <c r="V465" i="7"/>
  <c r="V8" i="8"/>
  <c r="R195" i="7"/>
  <c r="S195" i="7" s="1"/>
  <c r="R323" i="7"/>
  <c r="S323" i="7" s="1"/>
  <c r="V329" i="7"/>
  <c r="R443" i="7"/>
  <c r="S443" i="7" s="1"/>
  <c r="R165" i="7"/>
  <c r="S165" i="7" s="1"/>
  <c r="S171" i="7"/>
  <c r="R175" i="7"/>
  <c r="S175" i="7" s="1"/>
  <c r="R194" i="7"/>
  <c r="S194" i="7" s="1"/>
  <c r="R251" i="7"/>
  <c r="S251" i="7" s="1"/>
  <c r="R279" i="7"/>
  <c r="S279" i="7" s="1"/>
  <c r="R343" i="7"/>
  <c r="S343" i="7" s="1"/>
  <c r="R344" i="7"/>
  <c r="S344" i="7" s="1"/>
  <c r="V368" i="7"/>
  <c r="V369" i="7"/>
  <c r="V397" i="7"/>
  <c r="V398" i="7"/>
  <c r="R440" i="7"/>
  <c r="S440" i="7" s="1"/>
  <c r="R455" i="7"/>
  <c r="S455" i="7" s="1"/>
  <c r="R72" i="7"/>
  <c r="S72" i="7" s="1"/>
  <c r="R76" i="7"/>
  <c r="S76" i="7" s="1"/>
  <c r="R80" i="7"/>
  <c r="S80" i="7" s="1"/>
  <c r="R84" i="7"/>
  <c r="S84" i="7" s="1"/>
  <c r="R88" i="7"/>
  <c r="S88" i="7" s="1"/>
  <c r="R92" i="7"/>
  <c r="S92" i="7" s="1"/>
  <c r="R96" i="7"/>
  <c r="S96" i="7" s="1"/>
  <c r="R100" i="7"/>
  <c r="S100" i="7" s="1"/>
  <c r="R104" i="7"/>
  <c r="S104" i="7" s="1"/>
  <c r="R108" i="7"/>
  <c r="S108" i="7" s="1"/>
  <c r="R112" i="7"/>
  <c r="S112" i="7" s="1"/>
  <c r="R116" i="7"/>
  <c r="S116" i="7" s="1"/>
  <c r="R120" i="7"/>
  <c r="S120" i="7" s="1"/>
  <c r="R124" i="7"/>
  <c r="S124" i="7" s="1"/>
  <c r="R128" i="7"/>
  <c r="S128" i="7" s="1"/>
  <c r="R132" i="7"/>
  <c r="S132" i="7" s="1"/>
  <c r="R136" i="7"/>
  <c r="S136" i="7" s="1"/>
  <c r="R140" i="7"/>
  <c r="S140" i="7" s="1"/>
  <c r="R144" i="7"/>
  <c r="S144" i="7" s="1"/>
  <c r="R148" i="7"/>
  <c r="S148" i="7" s="1"/>
  <c r="R152" i="7"/>
  <c r="S152" i="7" s="1"/>
  <c r="R156" i="7"/>
  <c r="S156" i="7" s="1"/>
  <c r="R170" i="7"/>
  <c r="S170" i="7" s="1"/>
  <c r="R203" i="7"/>
  <c r="S203" i="7" s="1"/>
  <c r="R211" i="7"/>
  <c r="S211" i="7" s="1"/>
  <c r="R219" i="7"/>
  <c r="S219" i="7" s="1"/>
  <c r="R227" i="7"/>
  <c r="S227" i="7" s="1"/>
  <c r="R235" i="7"/>
  <c r="S235" i="7" s="1"/>
  <c r="R243" i="7"/>
  <c r="S243" i="7" s="1"/>
  <c r="R439" i="7"/>
  <c r="S439" i="7" s="1"/>
  <c r="R442" i="7"/>
  <c r="S442" i="7" s="1"/>
  <c r="V454" i="7"/>
  <c r="S167" i="7"/>
  <c r="S176" i="7"/>
  <c r="R183" i="7"/>
  <c r="S183" i="7" s="1"/>
  <c r="S259" i="7"/>
  <c r="R275" i="7"/>
  <c r="S275" i="7" s="1"/>
  <c r="V326" i="7"/>
  <c r="R414" i="7"/>
  <c r="S414" i="7" s="1"/>
  <c r="V449" i="7"/>
  <c r="V453" i="7"/>
  <c r="V258" i="7"/>
  <c r="R264" i="7"/>
  <c r="S264" i="7" s="1"/>
  <c r="V282" i="7"/>
  <c r="R303" i="7"/>
  <c r="S303" i="7" s="1"/>
  <c r="V330" i="7"/>
  <c r="R411" i="7"/>
  <c r="S411" i="7" s="1"/>
  <c r="V433" i="7"/>
  <c r="V437" i="7"/>
  <c r="V286" i="7"/>
  <c r="R307" i="7"/>
  <c r="S307" i="7" s="1"/>
  <c r="V334" i="7"/>
  <c r="R353" i="7"/>
  <c r="S353" i="7" s="1"/>
  <c r="R354" i="7"/>
  <c r="S354" i="7" s="1"/>
  <c r="R399" i="7"/>
  <c r="S399" i="7" s="1"/>
  <c r="R400" i="7"/>
  <c r="S400" i="7" s="1"/>
  <c r="R402" i="7"/>
  <c r="S402" i="7" s="1"/>
  <c r="R408" i="7"/>
  <c r="S408" i="7" s="1"/>
  <c r="S267" i="7"/>
  <c r="V290" i="7"/>
  <c r="R311" i="7"/>
  <c r="S311" i="7" s="1"/>
  <c r="V338" i="7"/>
  <c r="V342" i="7"/>
  <c r="S357" i="7"/>
  <c r="R358" i="7"/>
  <c r="S358" i="7" s="1"/>
  <c r="R363" i="7"/>
  <c r="S363" i="7" s="1"/>
  <c r="R382" i="7"/>
  <c r="S382" i="7" s="1"/>
  <c r="S389" i="7"/>
  <c r="R391" i="7"/>
  <c r="S391" i="7" s="1"/>
  <c r="R410" i="7"/>
  <c r="S410" i="7" s="1"/>
  <c r="V420" i="7"/>
  <c r="V421" i="7"/>
  <c r="S252" i="7"/>
  <c r="S255" i="7"/>
  <c r="R268" i="7"/>
  <c r="S268" i="7" s="1"/>
  <c r="R315" i="7"/>
  <c r="S315" i="7" s="1"/>
  <c r="R352" i="7"/>
  <c r="S352" i="7" s="1"/>
  <c r="R371" i="7"/>
  <c r="S371" i="7" s="1"/>
  <c r="S379" i="7"/>
  <c r="R407" i="7"/>
  <c r="S407" i="7" s="1"/>
  <c r="S29" i="8"/>
  <c r="R33" i="8"/>
  <c r="S33" i="8" s="1"/>
  <c r="R271" i="7"/>
  <c r="S271" i="7" s="1"/>
  <c r="R319" i="7"/>
  <c r="S319" i="7" s="1"/>
  <c r="R380" i="7"/>
  <c r="S380" i="7" s="1"/>
  <c r="R388" i="7"/>
  <c r="S388" i="7" s="1"/>
  <c r="R390" i="7"/>
  <c r="S390" i="7" s="1"/>
  <c r="S13" i="8"/>
  <c r="R17" i="8"/>
  <c r="S17" i="8" s="1"/>
  <c r="R27" i="8"/>
  <c r="S27" i="8" s="1"/>
  <c r="R30" i="8"/>
  <c r="S30" i="8" s="1"/>
  <c r="R364" i="7"/>
  <c r="S364" i="7" s="1"/>
  <c r="R372" i="7"/>
  <c r="S372" i="7" s="1"/>
  <c r="V388" i="7"/>
  <c r="R412" i="7"/>
  <c r="S412" i="7" s="1"/>
  <c r="R428" i="7"/>
  <c r="S428" i="7" s="1"/>
  <c r="R444" i="7"/>
  <c r="S444" i="7" s="1"/>
  <c r="R460" i="7"/>
  <c r="S460" i="7" s="1"/>
  <c r="R15" i="8"/>
  <c r="S15" i="8" s="1"/>
  <c r="R31" i="8"/>
  <c r="S31" i="8" s="1"/>
  <c r="V352" i="7"/>
  <c r="R392" i="7"/>
  <c r="S392" i="7" s="1"/>
  <c r="V408" i="7"/>
  <c r="V424" i="7"/>
  <c r="V380" i="7"/>
  <c r="V425" i="7"/>
  <c r="V441" i="7"/>
  <c r="V457" i="7"/>
  <c r="V12" i="8"/>
  <c r="V28" i="8"/>
  <c r="R272" i="7"/>
  <c r="S272" i="7" s="1"/>
  <c r="R276" i="7"/>
  <c r="S276" i="7" s="1"/>
  <c r="R280" i="7"/>
  <c r="S280" i="7" s="1"/>
  <c r="R284" i="7"/>
  <c r="S284" i="7" s="1"/>
  <c r="R288" i="7"/>
  <c r="S288" i="7" s="1"/>
  <c r="R292" i="7"/>
  <c r="S292" i="7" s="1"/>
  <c r="R296" i="7"/>
  <c r="S296" i="7" s="1"/>
  <c r="R300" i="7"/>
  <c r="S300" i="7" s="1"/>
  <c r="R304" i="7"/>
  <c r="S304" i="7" s="1"/>
  <c r="R308" i="7"/>
  <c r="S308" i="7" s="1"/>
  <c r="R312" i="7"/>
  <c r="S312" i="7" s="1"/>
  <c r="R316" i="7"/>
  <c r="S316" i="7" s="1"/>
  <c r="R320" i="7"/>
  <c r="S320" i="7" s="1"/>
  <c r="R324" i="7"/>
  <c r="S324" i="7" s="1"/>
  <c r="R328" i="7"/>
  <c r="S328" i="7" s="1"/>
  <c r="R332" i="7"/>
  <c r="S332" i="7" s="1"/>
  <c r="R336" i="7"/>
  <c r="S336" i="7" s="1"/>
  <c r="R340" i="7"/>
  <c r="S340" i="7" s="1"/>
  <c r="V348" i="7"/>
  <c r="R359" i="7"/>
  <c r="S359" i="7" s="1"/>
  <c r="R374" i="7"/>
  <c r="S374" i="7" s="1"/>
  <c r="R384" i="7"/>
  <c r="S384" i="7" s="1"/>
  <c r="S385" i="7"/>
  <c r="V400" i="7"/>
  <c r="R416" i="7"/>
  <c r="S416" i="7" s="1"/>
  <c r="S417" i="7"/>
  <c r="R432" i="7"/>
  <c r="S432" i="7" s="1"/>
  <c r="R448" i="7"/>
  <c r="S448" i="7" s="1"/>
  <c r="R464" i="7"/>
  <c r="S464" i="7" s="1"/>
  <c r="R19" i="8"/>
  <c r="S19" i="8" s="1"/>
  <c r="S20" i="8"/>
  <c r="R35" i="8"/>
  <c r="S35" i="8" s="1"/>
  <c r="R345" i="7"/>
  <c r="S345" i="7" s="1"/>
  <c r="R350" i="7"/>
  <c r="S350" i="7" s="1"/>
  <c r="V364" i="7"/>
  <c r="R366" i="7"/>
  <c r="S366" i="7" s="1"/>
  <c r="V372" i="7"/>
  <c r="R383" i="7"/>
  <c r="S383" i="7" s="1"/>
  <c r="R394" i="7"/>
  <c r="S394" i="7" s="1"/>
  <c r="R404" i="7"/>
  <c r="S404" i="7" s="1"/>
  <c r="S405" i="7"/>
  <c r="V412" i="7"/>
  <c r="R415" i="7"/>
  <c r="S415" i="7" s="1"/>
  <c r="R431" i="7"/>
  <c r="S431" i="7" s="1"/>
  <c r="R447" i="7"/>
  <c r="S447" i="7" s="1"/>
  <c r="R463" i="7"/>
  <c r="S463" i="7" s="1"/>
  <c r="R18" i="8"/>
  <c r="S18" i="8" s="1"/>
  <c r="R34" i="8"/>
  <c r="S34" i="8" s="1"/>
  <c r="S37" i="8"/>
  <c r="R355" i="7"/>
  <c r="S355" i="7" s="1"/>
  <c r="S361" i="7"/>
  <c r="R376" i="7"/>
  <c r="S376" i="7" s="1"/>
  <c r="S377" i="7"/>
  <c r="R403" i="7"/>
  <c r="S403" i="7" s="1"/>
  <c r="R418" i="7"/>
  <c r="S418" i="7" s="1"/>
  <c r="S422" i="7"/>
  <c r="R434" i="7"/>
  <c r="S434" i="7" s="1"/>
  <c r="S438" i="7"/>
  <c r="R450" i="7"/>
  <c r="S450" i="7" s="1"/>
  <c r="S454" i="7"/>
  <c r="R5" i="8"/>
  <c r="S5" i="8" s="1"/>
  <c r="S9" i="8"/>
  <c r="R21" i="8"/>
  <c r="S21" i="8" s="1"/>
  <c r="S25" i="8"/>
  <c r="R39" i="8"/>
  <c r="S39" i="8" s="1"/>
  <c r="S41" i="8"/>
  <c r="R341" i="7"/>
  <c r="S341" i="7" s="1"/>
  <c r="R368" i="7"/>
  <c r="S368" i="7" s="1"/>
  <c r="S369" i="7"/>
  <c r="R396" i="7"/>
  <c r="S396" i="7" s="1"/>
  <c r="S397" i="7"/>
  <c r="R420" i="7"/>
  <c r="S420" i="7" s="1"/>
  <c r="S421" i="7"/>
  <c r="R436" i="7"/>
  <c r="S436" i="7" s="1"/>
  <c r="S437" i="7"/>
  <c r="R452" i="7"/>
  <c r="S452" i="7" s="1"/>
  <c r="S453" i="7"/>
  <c r="R7" i="8"/>
  <c r="S7" i="8" s="1"/>
  <c r="S8" i="8"/>
  <c r="R23" i="8"/>
  <c r="S23" i="8" s="1"/>
  <c r="S24" i="8"/>
  <c r="R43" i="8"/>
  <c r="S43" i="8" s="1"/>
  <c r="R47" i="8"/>
  <c r="S47" i="8" s="1"/>
  <c r="R40" i="8"/>
  <c r="S40" i="8" s="1"/>
  <c r="R44" i="8"/>
  <c r="S44" i="8" s="1"/>
  <c r="R48" i="8"/>
  <c r="S48" i="8" s="1"/>
  <c r="R49" i="8"/>
  <c r="S49" i="8" s="1"/>
  <c r="AC7" i="3" l="1"/>
  <c r="X9" i="3"/>
  <c r="X16" i="3"/>
  <c r="X11" i="3"/>
  <c r="X10" i="3"/>
  <c r="V6" i="3"/>
  <c r="AC6" i="3"/>
  <c r="X7" i="3"/>
  <c r="X5" i="3"/>
  <c r="Y6" i="3" l="1"/>
  <c r="X6" i="3"/>
</calcChain>
</file>

<file path=xl/sharedStrings.xml><?xml version="1.0" encoding="utf-8"?>
<sst xmlns="http://schemas.openxmlformats.org/spreadsheetml/2006/main" count="14075" uniqueCount="740">
  <si>
    <t>Марка</t>
  </si>
  <si>
    <t>Объем</t>
  </si>
  <si>
    <t>Артикуль</t>
  </si>
  <si>
    <t>Стоимость, руб</t>
  </si>
  <si>
    <t>БРЕНД</t>
  </si>
  <si>
    <t>TRANSELF TYP B80W90</t>
  </si>
  <si>
    <t xml:space="preserve">60L </t>
  </si>
  <si>
    <t>ELF</t>
  </si>
  <si>
    <t>TRANSELF EP 80W90</t>
  </si>
  <si>
    <t>TRANSELF TYP B85W140</t>
  </si>
  <si>
    <t>MULTI</t>
  </si>
  <si>
    <t xml:space="preserve">24T04K </t>
  </si>
  <si>
    <t>ELFMATIC G3</t>
  </si>
  <si>
    <t>TRANSELF SYN FE 75W90</t>
  </si>
  <si>
    <t>AZOLLA AF 68</t>
  </si>
  <si>
    <t xml:space="preserve">208L </t>
  </si>
  <si>
    <t>TOTAL</t>
  </si>
  <si>
    <t>MULTIS COMPLEX EP 2</t>
  </si>
  <si>
    <t xml:space="preserve">180K </t>
  </si>
  <si>
    <t xml:space="preserve">50K </t>
  </si>
  <si>
    <t>MULTIS EP 1</t>
  </si>
  <si>
    <t>MULTIS EP 2</t>
  </si>
  <si>
    <t xml:space="preserve">4C5K </t>
  </si>
  <si>
    <t>MULTIS EP 3</t>
  </si>
  <si>
    <t>MULTIS MS 2</t>
  </si>
  <si>
    <t>MULTIS ZS 000</t>
  </si>
  <si>
    <t>AERO 100</t>
  </si>
  <si>
    <t>AERO D 100</t>
  </si>
  <si>
    <t>AERO D 120</t>
  </si>
  <si>
    <t>AERO D 80</t>
  </si>
  <si>
    <t>AERO DM 15W50</t>
  </si>
  <si>
    <t>AZOLLA ZS 100</t>
  </si>
  <si>
    <t xml:space="preserve">20L </t>
  </si>
  <si>
    <t>AZOLLA ZS 150</t>
  </si>
  <si>
    <t>AZOLLA ZS 22</t>
  </si>
  <si>
    <t>AZOLLA ZS 32</t>
  </si>
  <si>
    <t>AZOLLA ZS 46</t>
  </si>
  <si>
    <t>AZOLLA ZS 68</t>
  </si>
  <si>
    <t>CARTER EP 100</t>
  </si>
  <si>
    <t>CARTER EP 150</t>
  </si>
  <si>
    <t>CARTER EP 220</t>
  </si>
  <si>
    <t>CARTER EP 320</t>
  </si>
  <si>
    <t>CARTER EP 460</t>
  </si>
  <si>
    <t>CARTER EP 68</t>
  </si>
  <si>
    <t>CARTER EP 680</t>
  </si>
  <si>
    <t>CARTER SY 220</t>
  </si>
  <si>
    <t>CARTER SY 320</t>
  </si>
  <si>
    <t>CARTER SY 460</t>
  </si>
  <si>
    <t>CHAINLUB</t>
  </si>
  <si>
    <t xml:space="preserve">200L </t>
  </si>
  <si>
    <t>CIRKAN ZS 220</t>
  </si>
  <si>
    <t>CORTIS MS 220</t>
  </si>
  <si>
    <t>DROSERA MS 10</t>
  </si>
  <si>
    <t>DROSERA MS 100</t>
  </si>
  <si>
    <t>DROSERA MS 150</t>
  </si>
  <si>
    <t>DROSERA MS 220</t>
  </si>
  <si>
    <t>DROSERA MS 32</t>
  </si>
  <si>
    <t>DROSERA MS 46</t>
  </si>
  <si>
    <t>DROSERA MS 68</t>
  </si>
  <si>
    <t>EQUIVIS ZS 15</t>
  </si>
  <si>
    <t>EQUIVIS ZS 32</t>
  </si>
  <si>
    <t>EQUIVIS ZS 46</t>
  </si>
  <si>
    <t>EQUIVIS ZS 68</t>
  </si>
  <si>
    <t>FLUIDE LDS</t>
  </si>
  <si>
    <t>HBF 3</t>
  </si>
  <si>
    <t>LHM PLUS</t>
  </si>
  <si>
    <t>MULTAGRI MS 15W40</t>
  </si>
  <si>
    <t>MULTAGRI SUPER 10W30</t>
  </si>
  <si>
    <t>QUARTZ 5000 15W40</t>
  </si>
  <si>
    <t>QUARTZ 5000 20W50</t>
  </si>
  <si>
    <t>QUARTZ 9000 5W40</t>
  </si>
  <si>
    <t>RUBIA CF 2 40</t>
  </si>
  <si>
    <t>RUBIA TIR 6400 15W40</t>
  </si>
  <si>
    <t>RUBIA TIR 8600 10W40</t>
  </si>
  <si>
    <t>HBF 4</t>
  </si>
  <si>
    <t>QUARTZ RACING 10W50</t>
  </si>
  <si>
    <t>CIRKAN C 100</t>
  </si>
  <si>
    <t>DROSERA MS 15</t>
  </si>
  <si>
    <t>MULTIS EP 0</t>
  </si>
  <si>
    <t>CIRKAN C 32</t>
  </si>
  <si>
    <t>AZOLLA ZS 10</t>
  </si>
  <si>
    <t>EQUIVIS ZS 22</t>
  </si>
  <si>
    <t>EQUIVIS ZS 100</t>
  </si>
  <si>
    <t>DROSERA MS 5</t>
  </si>
  <si>
    <t>CARTER EP 1000</t>
  </si>
  <si>
    <t>CARTER EP 1500</t>
  </si>
  <si>
    <t>PNEUMA 68</t>
  </si>
  <si>
    <t>PNEUMA 100</t>
  </si>
  <si>
    <t>CIRKAN C 68</t>
  </si>
  <si>
    <t>CIRKAN C 150</t>
  </si>
  <si>
    <t>CIRKAN C 220</t>
  </si>
  <si>
    <t>CIRKAN C 320</t>
  </si>
  <si>
    <t>CORTIS MS 460</t>
  </si>
  <si>
    <t>AZOLLA AF 32</t>
  </si>
  <si>
    <t>LUNARIA FR 32</t>
  </si>
  <si>
    <t>LUNARIA NH 46</t>
  </si>
  <si>
    <t>LUNARIA NH 68</t>
  </si>
  <si>
    <t>LUNARIA SK 100</t>
  </si>
  <si>
    <t>LUNARIA SH 46</t>
  </si>
  <si>
    <t>EQUIVIS XV 32</t>
  </si>
  <si>
    <t>EQUIVIS XV 46</t>
  </si>
  <si>
    <t>CARTER SH 150</t>
  </si>
  <si>
    <t>CARTER SH 220</t>
  </si>
  <si>
    <t>LUNARIA SK 55</t>
  </si>
  <si>
    <t>PNEUMA 46</t>
  </si>
  <si>
    <t>PRESLIA 32</t>
  </si>
  <si>
    <t>PRESLIA 46</t>
  </si>
  <si>
    <t>CIRKAN RO 32</t>
  </si>
  <si>
    <t>CIRKAN RO 46</t>
  </si>
  <si>
    <t>CIRKAN RO 68</t>
  </si>
  <si>
    <t>CIRKAN RO 100</t>
  </si>
  <si>
    <t>CIRKAN RO 150</t>
  </si>
  <si>
    <t>CIRKAN RO 220</t>
  </si>
  <si>
    <t>CIRKAN RO 320</t>
  </si>
  <si>
    <t>MISOLA MAP 220</t>
  </si>
  <si>
    <t>MISOLA MAP 320</t>
  </si>
  <si>
    <t>CARTER SH 320</t>
  </si>
  <si>
    <t>CIRKAN RO 460</t>
  </si>
  <si>
    <t>CARTER SH 460</t>
  </si>
  <si>
    <t>CARTER SH 680</t>
  </si>
  <si>
    <t>CARTER SH 1000</t>
  </si>
  <si>
    <t>LUNARIA FR 46</t>
  </si>
  <si>
    <t>LUNARIA FR 68</t>
  </si>
  <si>
    <t>DACNIS SH 46</t>
  </si>
  <si>
    <t>DACNIS SH 32</t>
  </si>
  <si>
    <t>DACNIS SH 100</t>
  </si>
  <si>
    <t>DACNIS SH 68</t>
  </si>
  <si>
    <t>PLANETELF ACD 32</t>
  </si>
  <si>
    <t>DACNIS SE 46</t>
  </si>
  <si>
    <t>PLANETELF ACD 46</t>
  </si>
  <si>
    <t>PLANETELF ACD 68</t>
  </si>
  <si>
    <t>PLANETELF ACD 100 FY</t>
  </si>
  <si>
    <t>CIRKAN ZS 320</t>
  </si>
  <si>
    <t>DACNIS SE 68</t>
  </si>
  <si>
    <t>PNEUMA 150</t>
  </si>
  <si>
    <t>DROSERA MS 22</t>
  </si>
  <si>
    <t xml:space="preserve">1000L </t>
  </si>
  <si>
    <t>RUBIA TIR 7400 15W40</t>
  </si>
  <si>
    <t>PRESLIA 100</t>
  </si>
  <si>
    <t>LACTUCA LT 3000</t>
  </si>
  <si>
    <t>CORTIS MS 150</t>
  </si>
  <si>
    <t>LUNARIA FR 100</t>
  </si>
  <si>
    <t>DACNIS SE 100</t>
  </si>
  <si>
    <t>MISOLA AFH 220</t>
  </si>
  <si>
    <t>FLUIDEMATIC SYN</t>
  </si>
  <si>
    <t>PLANETELF ACD 150 FY</t>
  </si>
  <si>
    <t>PLANETELF ACD 220 FY</t>
  </si>
  <si>
    <t>RUBIA TIR 9200 FE 5W30</t>
  </si>
  <si>
    <t>AZOLLA AF 100</t>
  </si>
  <si>
    <t>PERFORMANCE SUPER D 30</t>
  </si>
  <si>
    <t>TRANSELF EP 80W</t>
  </si>
  <si>
    <t>TRANSELF LD 75W80</t>
  </si>
  <si>
    <t>PROSYLVA 2T SYN</t>
  </si>
  <si>
    <t>TRACTAGRI HDX 15W40</t>
  </si>
  <si>
    <t>ELFMATIC G3 SYN</t>
  </si>
  <si>
    <t>RUBIA TIR 7200 FE 15W30</t>
  </si>
  <si>
    <t>NEVASTANE SY 220</t>
  </si>
  <si>
    <t xml:space="preserve">206K </t>
  </si>
  <si>
    <t xml:space="preserve">25K </t>
  </si>
  <si>
    <t>NEVASTANE SY 320</t>
  </si>
  <si>
    <t>AZOLLA AF 22</t>
  </si>
  <si>
    <t>MULTI MOS 2</t>
  </si>
  <si>
    <t>MULTIPLEX EP 2</t>
  </si>
  <si>
    <t>MULTIS EP 2 (SPRAY)</t>
  </si>
  <si>
    <t xml:space="preserve">12S04L </t>
  </si>
  <si>
    <t>MULTIS EP 00</t>
  </si>
  <si>
    <t>CERAN MS</t>
  </si>
  <si>
    <t xml:space="preserve">18K </t>
  </si>
  <si>
    <t>MULTIS XHV 2</t>
  </si>
  <si>
    <t>PLANETELF PAG 488</t>
  </si>
  <si>
    <t xml:space="preserve">25B025L </t>
  </si>
  <si>
    <t>ALTIS EM 2</t>
  </si>
  <si>
    <t>ALTIS MV 2</t>
  </si>
  <si>
    <t>COPAL GEP 0</t>
  </si>
  <si>
    <t>ALTIS SH 2</t>
  </si>
  <si>
    <t xml:space="preserve">20B1L </t>
  </si>
  <si>
    <t xml:space="preserve">4B5L </t>
  </si>
  <si>
    <t>COOLELF MDX -26°C</t>
  </si>
  <si>
    <t>PLANETELF PAG SP 20</t>
  </si>
  <si>
    <t>MISOLA AFH 150</t>
  </si>
  <si>
    <t>TRACTORELF ULTRA 10W40</t>
  </si>
  <si>
    <t>MULTAGRI PRO TEC 10W40</t>
  </si>
  <si>
    <t>MULTIS COMPLEX HV 2</t>
  </si>
  <si>
    <t>MULTIS COMPLEX S2A</t>
  </si>
  <si>
    <t>MULTIS COMPLEX EP 3</t>
  </si>
  <si>
    <t>MULTIPLEX S2A</t>
  </si>
  <si>
    <t>MULTIS EP 000</t>
  </si>
  <si>
    <t>GLACELF PLUS</t>
  </si>
  <si>
    <t>COOLELF AUTO SUPRA -37°C</t>
  </si>
  <si>
    <t>COOLELF MDX -37°C</t>
  </si>
  <si>
    <t>COOLELF PLUS -37°C</t>
  </si>
  <si>
    <t>GLACELF MDX</t>
  </si>
  <si>
    <t>COOLELF AUTO SUPRA -26°C</t>
  </si>
  <si>
    <t>GLACELF AUTO SUPRA</t>
  </si>
  <si>
    <t>MISOLA MAP 150</t>
  </si>
  <si>
    <t>LUNARIA NH 150 EP</t>
  </si>
  <si>
    <t>MULTIS COMPLEX SHD 2</t>
  </si>
  <si>
    <t>TP MAX 10W40</t>
  </si>
  <si>
    <t>ADBLUE (TOT)</t>
  </si>
  <si>
    <t>RUBIA TIR 8900 10W40</t>
  </si>
  <si>
    <t>NEPTUNA SPEEDER 10W30</t>
  </si>
  <si>
    <t>NEPTUNA 2T SUPER SPORT</t>
  </si>
  <si>
    <t>DYNATRANS WS 75W90</t>
  </si>
  <si>
    <t>QUARTZ INEO ECS 5W30</t>
  </si>
  <si>
    <t>QUARTZ INEO MC3 5W30</t>
  </si>
  <si>
    <t>QUARTZ 9000 ENERGY 0W30</t>
  </si>
  <si>
    <t>CERAN AD PLUS</t>
  </si>
  <si>
    <t>DYNATRANS FR</t>
  </si>
  <si>
    <t>DYNATRANS MPV</t>
  </si>
  <si>
    <t>DYNATRANS LS 20W40</t>
  </si>
  <si>
    <t>DYNATRANS DA 80W90</t>
  </si>
  <si>
    <t>MULTIS COMPLEX MV 2</t>
  </si>
  <si>
    <t>EQUIVIS XLT 22</t>
  </si>
  <si>
    <t>RUBIA TIR 8600 FE 10W30</t>
  </si>
  <si>
    <t>DYNATRANS CVT 10W30</t>
  </si>
  <si>
    <t>CORTIS MS 680</t>
  </si>
  <si>
    <t>TRACTAGRI HDM 15W40</t>
  </si>
  <si>
    <t>QUARTZ 9000 ENERGY 5W40</t>
  </si>
  <si>
    <t>TRANSELF TYP B 90</t>
  </si>
  <si>
    <t>BIOTRANS FX</t>
  </si>
  <si>
    <t>LUNARIA SH 68</t>
  </si>
  <si>
    <t>RUBIA GAS 5M 15W40</t>
  </si>
  <si>
    <t>CARTER SY 150</t>
  </si>
  <si>
    <t>CARTER SY 680</t>
  </si>
  <si>
    <t>MULTIS XLT2</t>
  </si>
  <si>
    <t>MULTIS COMPLEX SHD 32</t>
  </si>
  <si>
    <t xml:space="preserve">170K </t>
  </si>
  <si>
    <t>SPIRIT WBF 7200</t>
  </si>
  <si>
    <t>TRANSELF NFP 75W80</t>
  </si>
  <si>
    <t>DACNIS LD 32</t>
  </si>
  <si>
    <t>DACNIS LD 46</t>
  </si>
  <si>
    <t>DACNIS LD 68</t>
  </si>
  <si>
    <t>RUBIA TIR 8900 FE 10W30</t>
  </si>
  <si>
    <t>CORTIS MS 100</t>
  </si>
  <si>
    <t>LACTUCA DDC 5000</t>
  </si>
  <si>
    <t>MISOLA ASC 320</t>
  </si>
  <si>
    <t xml:space="preserve">12C1K </t>
  </si>
  <si>
    <t>EQUIVIS XLT 32</t>
  </si>
  <si>
    <t>MULTIS COMPLEX SHD 460</t>
  </si>
  <si>
    <t xml:space="preserve">24T037K </t>
  </si>
  <si>
    <t>MULTIS COMPLEX SHD 220</t>
  </si>
  <si>
    <t>RUBIA TIR 7900 FE 10W30</t>
  </si>
  <si>
    <t>DROSERA MS 2</t>
  </si>
  <si>
    <t>DACNIS 32</t>
  </si>
  <si>
    <t>DACNIS 46</t>
  </si>
  <si>
    <t>DACNIS 68</t>
  </si>
  <si>
    <t>DACNIS 100</t>
  </si>
  <si>
    <t>DACNIS 150</t>
  </si>
  <si>
    <t>AZOLLA AF 46</t>
  </si>
  <si>
    <t>FLUIDE XLD FE</t>
  </si>
  <si>
    <t>DYNATRANS LS 80W90</t>
  </si>
  <si>
    <t>EQUIVIS XLT 15</t>
  </si>
  <si>
    <t>MULTIS COMPLEX SHD 00</t>
  </si>
  <si>
    <t>COOLAGRI ORGANIC -37°C</t>
  </si>
  <si>
    <t>DYNATRANS HD 85W140</t>
  </si>
  <si>
    <t>DYNATRANS MDL 80W90</t>
  </si>
  <si>
    <t xml:space="preserve">17K </t>
  </si>
  <si>
    <t>LACTUCA MSF 5200</t>
  </si>
  <si>
    <t>CERAN XM 100</t>
  </si>
  <si>
    <t>MULTAGRI UNIVERSAL 10W40</t>
  </si>
  <si>
    <t>MOTO 4 MAXI TECH 10W30</t>
  </si>
  <si>
    <t>DYNATRANS DA 85W140</t>
  </si>
  <si>
    <t>NEVASTANE HTF</t>
  </si>
  <si>
    <t>CORTIS MS 320</t>
  </si>
  <si>
    <t>RUBIA WORKS 1000 15W40</t>
  </si>
  <si>
    <t>RUBIA TIR 7900 15W40</t>
  </si>
  <si>
    <t>DROSERA MS 320</t>
  </si>
  <si>
    <t>MULTIS COMPLEX SHD 100</t>
  </si>
  <si>
    <t>MISOLA ASC 150</t>
  </si>
  <si>
    <t>MISOLA ASC 220</t>
  </si>
  <si>
    <t>CARTER SG 1000</t>
  </si>
  <si>
    <t>EQUIVIS D 46</t>
  </si>
  <si>
    <t>GLACELF PLUS (N)</t>
  </si>
  <si>
    <t xml:space="preserve">18B1L </t>
  </si>
  <si>
    <t>RUBIA TIR 9900 FE 5W30</t>
  </si>
  <si>
    <t>SPIRIT WBF 5400</t>
  </si>
  <si>
    <t>BIOTRANS LS FE 75W90</t>
  </si>
  <si>
    <t>NEVASTANE HD2T</t>
  </si>
  <si>
    <t xml:space="preserve">2X12T04 </t>
  </si>
  <si>
    <t>LACTUCA WBA 5400</t>
  </si>
  <si>
    <t>QUARTZ 9000 ENERGY 5W30</t>
  </si>
  <si>
    <t>CERAN XM 220</t>
  </si>
  <si>
    <t>NEVASTANE 2+</t>
  </si>
  <si>
    <t xml:space="preserve">16K </t>
  </si>
  <si>
    <t xml:space="preserve">24T042K </t>
  </si>
  <si>
    <t>QUARTZ INEO L LIFE 5W30</t>
  </si>
  <si>
    <t>NEVASTANE CHAIN OIL XT</t>
  </si>
  <si>
    <t>QUARTZ 9000 0W30</t>
  </si>
  <si>
    <t>TRACTAGRI HDZ FE 10W30</t>
  </si>
  <si>
    <t>CERAN XM 460</t>
  </si>
  <si>
    <t>QUARTZ RACING 10W60</t>
  </si>
  <si>
    <t>MOTO 2 OFF ROAD</t>
  </si>
  <si>
    <t>MOTO 4 TWIN TECH 20W60</t>
  </si>
  <si>
    <t>MOTO 4 RACE 10W60</t>
  </si>
  <si>
    <t>QUARTZ INEO FIRST 0W30</t>
  </si>
  <si>
    <t>MOTO 4 TECH 10W50</t>
  </si>
  <si>
    <t>MOTO 2 TECH</t>
  </si>
  <si>
    <t>MOTO 4 CRUISE 20W50</t>
  </si>
  <si>
    <t>MOTO 4 ROAD 15W50</t>
  </si>
  <si>
    <t>MOTO 2 SELF MIX</t>
  </si>
  <si>
    <t>MOTO 4 ROAD 10W40</t>
  </si>
  <si>
    <t>SCOOTER 4 MAXI CITY 5W40</t>
  </si>
  <si>
    <t>DYNATRANS VX FE</t>
  </si>
  <si>
    <t>CHAINLUB AEROSOL</t>
  </si>
  <si>
    <t xml:space="preserve">4S0435K </t>
  </si>
  <si>
    <t>NEVASTANE XMF 2</t>
  </si>
  <si>
    <t xml:space="preserve">180K+L </t>
  </si>
  <si>
    <t xml:space="preserve">50K+L </t>
  </si>
  <si>
    <t>SPIRIT WBA 5600</t>
  </si>
  <si>
    <t>QUARTZ INEO EFFICEN 0W30</t>
  </si>
  <si>
    <t>NEVASTANE XMF 1</t>
  </si>
  <si>
    <t>CERAN XM 220 (RP)</t>
  </si>
  <si>
    <t xml:space="preserve">6T024RP </t>
  </si>
  <si>
    <t>ALTIS SH 2 (RP)</t>
  </si>
  <si>
    <t>NEVASTANE XMF 0</t>
  </si>
  <si>
    <t>NEVASTANE XMF 00</t>
  </si>
  <si>
    <t>CERAN XS 40 MOLY</t>
  </si>
  <si>
    <t>EQUIVIS AF 46</t>
  </si>
  <si>
    <t>GLACELF G13</t>
  </si>
  <si>
    <t xml:space="preserve">2X12T03 </t>
  </si>
  <si>
    <t>NEVASTANE XMF 2 (LS)</t>
  </si>
  <si>
    <t>CERAN XS 320</t>
  </si>
  <si>
    <t>CERAN XS 80</t>
  </si>
  <si>
    <t>TRACTAGRI HDZ 10W40</t>
  </si>
  <si>
    <t>NEVASTANE XSH 320</t>
  </si>
  <si>
    <t>RUBIA G 1300 SAE 40</t>
  </si>
  <si>
    <t>EQUIVIS AF 68</t>
  </si>
  <si>
    <t>NEVASTANE SH 32</t>
  </si>
  <si>
    <t>NEVASTANE SH 46</t>
  </si>
  <si>
    <t>NEVASTANE XS 320</t>
  </si>
  <si>
    <t>NEVASTANE XS 80</t>
  </si>
  <si>
    <t>NEVASTANE AW 32</t>
  </si>
  <si>
    <t>NEVASTANE AW 46</t>
  </si>
  <si>
    <t>NEVASTANE SH 68</t>
  </si>
  <si>
    <t>NEVASTANE SH 100</t>
  </si>
  <si>
    <t>NEVASTANE AW 22</t>
  </si>
  <si>
    <t>NEVASTANE AW 68</t>
  </si>
  <si>
    <t>EQUIVIS AF 32</t>
  </si>
  <si>
    <t>NEVASTANE EP 150</t>
  </si>
  <si>
    <t>NEVASTANE EP 220</t>
  </si>
  <si>
    <t>NEVASTANE EP 320</t>
  </si>
  <si>
    <t>NEVASTANE EP 460</t>
  </si>
  <si>
    <t>NEVASTANE EP 680</t>
  </si>
  <si>
    <t>NEVASTANE EP 1000</t>
  </si>
  <si>
    <t>NEVASTANE XSH 150</t>
  </si>
  <si>
    <t>NEVASTANE XSH 220</t>
  </si>
  <si>
    <t>NEVASTANE XSH 460</t>
  </si>
  <si>
    <t>ALTIS HV 1</t>
  </si>
  <si>
    <t>NEVASTANE EP 100</t>
  </si>
  <si>
    <t>QUARTZ 9000FUT.GF5 0W20</t>
  </si>
  <si>
    <t>NEVASTANE XS 80 (RP)</t>
  </si>
  <si>
    <t>LACTUCA WBF 9400</t>
  </si>
  <si>
    <t>PERF. EXPERTY 10W40</t>
  </si>
  <si>
    <t xml:space="preserve">3B5L </t>
  </si>
  <si>
    <t>EVOL. 500 TS 15W40</t>
  </si>
  <si>
    <t>EVOL. 900 SXR 5W40</t>
  </si>
  <si>
    <t>EVOL. 900 SXR 5W30</t>
  </si>
  <si>
    <t>EVOL. FULLTECH LLX 5W30</t>
  </si>
  <si>
    <t>EVOL. 900 NF 5W40</t>
  </si>
  <si>
    <t>EVOL. 900 5W50</t>
  </si>
  <si>
    <t>EVOL. 900 DID 5W30</t>
  </si>
  <si>
    <t>EVOL. 900 FT 5W40</t>
  </si>
  <si>
    <t>EVOL. FULLTECH LSX 5W40</t>
  </si>
  <si>
    <t>EVOL. FULLTECH MSX 5W30</t>
  </si>
  <si>
    <t>EVOL. FULLTECH FE 5W30</t>
  </si>
  <si>
    <t>EVOL. 500 DIESEL 15W40</t>
  </si>
  <si>
    <t xml:space="preserve">12B2L </t>
  </si>
  <si>
    <t>QUARTZ 9000 ENERGY 0W40</t>
  </si>
  <si>
    <t>EVOL. 900 FT 0W40</t>
  </si>
  <si>
    <t>EVOL. 900 FT 0W30</t>
  </si>
  <si>
    <t>FLUIDMATIC 7S</t>
  </si>
  <si>
    <t>MOTO CHAIN LUBE</t>
  </si>
  <si>
    <t>RUBIA G 1700 SAE 40</t>
  </si>
  <si>
    <t>RUBIA G 1300 20W40</t>
  </si>
  <si>
    <t>PLANETELF PAG 244 F</t>
  </si>
  <si>
    <t>NEVASTANE XS 80 (LS)</t>
  </si>
  <si>
    <t>CERAN XM 720</t>
  </si>
  <si>
    <t>RUBIA TIR 9900 10W40</t>
  </si>
  <si>
    <t>MISOLA MAP SH 150</t>
  </si>
  <si>
    <t>MISOLA MAP SH 220</t>
  </si>
  <si>
    <t>MISOLA MAP SH 320</t>
  </si>
  <si>
    <t>MISOLA MAP SH 460</t>
  </si>
  <si>
    <t>MISOLA MAP ZS 150</t>
  </si>
  <si>
    <t>MOTO 4 PRO TECH 5W40</t>
  </si>
  <si>
    <t>MOTO 4 PRO 10W40</t>
  </si>
  <si>
    <t>FLUIDMATIC DCT MV</t>
  </si>
  <si>
    <t>FLUIDMATIC CVT MV</t>
  </si>
  <si>
    <t>HI-PERF GEAR OIL 80W90</t>
  </si>
  <si>
    <t>DYNATRANS AC 0W20</t>
  </si>
  <si>
    <t>HTX 735</t>
  </si>
  <si>
    <t>MOTO SPRAY SILICONE</t>
  </si>
  <si>
    <t>CERAN XM 220 MOLY</t>
  </si>
  <si>
    <t>CERAN XM 220 MOLY (LS)</t>
  </si>
  <si>
    <t>MISOLA MAP ZS 320</t>
  </si>
  <si>
    <t>COOLELF AUTO SUPRA -50°C</t>
  </si>
  <si>
    <t>CARTER SG 150</t>
  </si>
  <si>
    <t>EVOL. FULLTECH DTX 5W30</t>
  </si>
  <si>
    <t>CARTER SG 460</t>
  </si>
  <si>
    <t>CARTER SG 680</t>
  </si>
  <si>
    <t>CARTER SG 220</t>
  </si>
  <si>
    <t>CARTER SG 100</t>
  </si>
  <si>
    <t>CARTER SG 320</t>
  </si>
  <si>
    <t>MOTO DEGREASER+</t>
  </si>
  <si>
    <t>MOTO MULTI LUBE+</t>
  </si>
  <si>
    <t>HTX 3830</t>
  </si>
  <si>
    <t>HTX 830</t>
  </si>
  <si>
    <t>HTX 3835</t>
  </si>
  <si>
    <t>HTX 850</t>
  </si>
  <si>
    <t>TRANS. AXLE 8 75W90</t>
  </si>
  <si>
    <t>TRANS. GEAR 8 75W80</t>
  </si>
  <si>
    <t>MOTO CHAIN PASTE</t>
  </si>
  <si>
    <t xml:space="preserve">12T025L </t>
  </si>
  <si>
    <t>QUARTZ INEO C1 5W30</t>
  </si>
  <si>
    <t>QUARTZ 7000 10W40 (SN)</t>
  </si>
  <si>
    <t>QUARTZ D 7000 10W40 (SN)</t>
  </si>
  <si>
    <t>QUARTZ 7000 EGY10W40(SN)</t>
  </si>
  <si>
    <t>EVOL. 700 STI 10W40 (SN)</t>
  </si>
  <si>
    <t>EVOL. 700 TD 10W40 (SN)</t>
  </si>
  <si>
    <t>TRANS. DUAL 9 FE 75W90</t>
  </si>
  <si>
    <t>HTX 320</t>
  </si>
  <si>
    <t xml:space="preserve">12B05L </t>
  </si>
  <si>
    <t>NEVASTANE XS 220</t>
  </si>
  <si>
    <t>GLACELF SI-OAT</t>
  </si>
  <si>
    <t>GLACELF ECO BS</t>
  </si>
  <si>
    <t>SPIRIT 3000</t>
  </si>
  <si>
    <t>SPIRIT 5000</t>
  </si>
  <si>
    <t>DYNATRANS HD 80W90</t>
  </si>
  <si>
    <t>QUARTZ INEO FDE 0W30</t>
  </si>
  <si>
    <t>HTX CHRONO 10W60</t>
  </si>
  <si>
    <t>HTX COLLECTION 20W50</t>
  </si>
  <si>
    <t>HTX PRESTIGE 20W50</t>
  </si>
  <si>
    <t>TRACTAGRI T4R FE 5W30</t>
  </si>
  <si>
    <t>SPIRIT 7000</t>
  </si>
  <si>
    <t>QUARTZ INEO L LIFE 0W30</t>
  </si>
  <si>
    <t>EVOL. FULLTECH LLX 0W30</t>
  </si>
  <si>
    <t>EVOL. FULLTECH VSX 0W20</t>
  </si>
  <si>
    <t>RUBIA TIR 8700 10W40</t>
  </si>
  <si>
    <t>DYNATRANS ACX 10W</t>
  </si>
  <si>
    <t>DYNATRANS ACX 30</t>
  </si>
  <si>
    <t>DYNATRANS ACX 50</t>
  </si>
  <si>
    <t>RUBIA OPT.2600 XFE 5W30</t>
  </si>
  <si>
    <t>RUBIA OPT.1100 FE 10W30</t>
  </si>
  <si>
    <t>RUBIA OPT.1100 15W40</t>
  </si>
  <si>
    <t>PROSYLVA CHAIN EXTREM</t>
  </si>
  <si>
    <t>SERIOLA 100</t>
  </si>
  <si>
    <t>SERIOLA 32</t>
  </si>
  <si>
    <t>CERAN XM 320</t>
  </si>
  <si>
    <t>FLUIDMATIC DVI MV</t>
  </si>
  <si>
    <t>QUARTZ INEO C3 5W40</t>
  </si>
  <si>
    <t>RUBIA OPT. 4100 XFE 5W30</t>
  </si>
  <si>
    <t xml:space="preserve">RUBIA FLEET HD 400 15W40 </t>
  </si>
  <si>
    <t xml:space="preserve">FLUIDMATIC ATX           </t>
  </si>
  <si>
    <t xml:space="preserve">FLUIDMATIC D2            </t>
  </si>
  <si>
    <t xml:space="preserve">RUBIA FLEET HD 300 15W40 </t>
  </si>
  <si>
    <t xml:space="preserve">PROSYLVA 2TZ             </t>
  </si>
  <si>
    <t xml:space="preserve">FLUIDMATIC D3            </t>
  </si>
  <si>
    <t xml:space="preserve">COOLELF AUTO SUP-37°(N)  </t>
  </si>
  <si>
    <t xml:space="preserve">RUBIA TIR 9200 FE 5W30   </t>
  </si>
  <si>
    <t xml:space="preserve">RUBIA TIR 7400 15W40     </t>
  </si>
  <si>
    <t xml:space="preserve">RUBIA TIR 8600 10W40     </t>
  </si>
  <si>
    <t xml:space="preserve">QUARTZ 5000 20W50        </t>
  </si>
  <si>
    <t xml:space="preserve">3B4L </t>
  </si>
  <si>
    <t xml:space="preserve">QUARTZ 5000 15W40        </t>
  </si>
  <si>
    <t xml:space="preserve">QUARTZ 9000 5W40         </t>
  </si>
  <si>
    <t xml:space="preserve">QUARTZ DIESEL 5000 15W40 </t>
  </si>
  <si>
    <t xml:space="preserve">HBF 4                    </t>
  </si>
  <si>
    <t xml:space="preserve">NEPTUNA SPEEDER 10W30    </t>
  </si>
  <si>
    <t xml:space="preserve">NEPTUNA 2T RACING        </t>
  </si>
  <si>
    <t xml:space="preserve">NEPTUNA 2T SUPER SPORT   </t>
  </si>
  <si>
    <t xml:space="preserve">QUARTZ INEO ECS 5W30     </t>
  </si>
  <si>
    <t xml:space="preserve">QUARTZ 9000 ENERGY 0W30  </t>
  </si>
  <si>
    <t xml:space="preserve">QUARTZ 9000 ENERGY 0W30 </t>
  </si>
  <si>
    <t xml:space="preserve">DYNATRANS MPV            </t>
  </si>
  <si>
    <t>CLASSIC 7 10W40</t>
  </si>
  <si>
    <t xml:space="preserve">RUBIA TIR 8900 10W40     </t>
  </si>
  <si>
    <t xml:space="preserve">QUARTZ 9000 ENERGY 5W40  </t>
  </si>
  <si>
    <t xml:space="preserve">QUARTZ INEO MC3 5W30     </t>
  </si>
  <si>
    <t xml:space="preserve">QUARTZ RACING 10W50      </t>
  </si>
  <si>
    <t xml:space="preserve">PROSYLVA 2T SYN          </t>
  </si>
  <si>
    <t xml:space="preserve">6B2L </t>
  </si>
  <si>
    <t xml:space="preserve">PROSYLVA 4T              </t>
  </si>
  <si>
    <t xml:space="preserve">FLUIDMATIC XLD FE        </t>
  </si>
  <si>
    <t xml:space="preserve">DYNATRANS LS 80W90       </t>
  </si>
  <si>
    <t xml:space="preserve">MULTAGRI PRO TEC 10W40   </t>
  </si>
  <si>
    <t xml:space="preserve">COOLAGRI ORGANIC -37°C   </t>
  </si>
  <si>
    <t xml:space="preserve">TRACTAGRI HDX 15W40      </t>
  </si>
  <si>
    <t xml:space="preserve">DYNATRANS HD 85W140      </t>
  </si>
  <si>
    <t xml:space="preserve">DYNATRANS MDL 80W90      </t>
  </si>
  <si>
    <t xml:space="preserve">12B1L </t>
  </si>
  <si>
    <t xml:space="preserve">FLUIDMATIC AT 42         </t>
  </si>
  <si>
    <t xml:space="preserve">FLUIDE DA                </t>
  </si>
  <si>
    <t xml:space="preserve">FLUIDE LDS               </t>
  </si>
  <si>
    <t xml:space="preserve">NEPTUNA 2T BIO-JET       </t>
  </si>
  <si>
    <t xml:space="preserve">TRACTAGRI HDM 15W40      </t>
  </si>
  <si>
    <t xml:space="preserve">QUARTZ 9000 NFC 5W30     </t>
  </si>
  <si>
    <t xml:space="preserve">GLACELF AUTO SUPRA       </t>
  </si>
  <si>
    <t xml:space="preserve">GLACELF PLUS             </t>
  </si>
  <si>
    <t xml:space="preserve">QUARTZ INEO C3 5W40      </t>
  </si>
  <si>
    <t xml:space="preserve">QUARTZ 9000 ENERGY 5W30  </t>
  </si>
  <si>
    <t xml:space="preserve">QUARTZ INEO DID 5W30     </t>
  </si>
  <si>
    <t xml:space="preserve">QUARTZ 9000 0W30         </t>
  </si>
  <si>
    <t xml:space="preserve">RUBIA TIR 8900 FE 10W30  </t>
  </si>
  <si>
    <t xml:space="preserve">QUARTZ INEO L LIFE 5W30  </t>
  </si>
  <si>
    <t xml:space="preserve">RUBIA WORKS 1000 15W40   </t>
  </si>
  <si>
    <t xml:space="preserve">HBF 3                    </t>
  </si>
  <si>
    <t xml:space="preserve">16B05L </t>
  </si>
  <si>
    <t xml:space="preserve">24B025L </t>
  </si>
  <si>
    <t xml:space="preserve">HBF 5.1                  </t>
  </si>
  <si>
    <t xml:space="preserve">QUARTZ RACING 10W60      </t>
  </si>
  <si>
    <t xml:space="preserve">QUARTZ INEO FIRST 0W30   </t>
  </si>
  <si>
    <t xml:space="preserve">QUARTZ INEO EFFICEN 0W30 </t>
  </si>
  <si>
    <t xml:space="preserve">TRACTAGRI HDZ 10W40      </t>
  </si>
  <si>
    <t xml:space="preserve">HI-PERF 4T 900 10W50     </t>
  </si>
  <si>
    <t xml:space="preserve">HI-PERF 2T 700 SCOOTER   </t>
  </si>
  <si>
    <t xml:space="preserve">HI-PERF 2T 500           </t>
  </si>
  <si>
    <t xml:space="preserve">HI-PERF 2T 900           </t>
  </si>
  <si>
    <t xml:space="preserve">HI-PERF 2T 700           </t>
  </si>
  <si>
    <t xml:space="preserve">HI-PERF 4T 500 20W50(SL) </t>
  </si>
  <si>
    <t xml:space="preserve">ELFMATIC G3              </t>
  </si>
  <si>
    <t xml:space="preserve">QUARTZ INEO ECOB 5W20    </t>
  </si>
  <si>
    <t xml:space="preserve">RENAULTMATIC D2          </t>
  </si>
  <si>
    <t xml:space="preserve">TRANSELF EP 80W90        </t>
  </si>
  <si>
    <t xml:space="preserve">GARDEN 2T                </t>
  </si>
  <si>
    <t xml:space="preserve">GARDEN 4T 15W-40         </t>
  </si>
  <si>
    <t xml:space="preserve">GARDEN 2T SYN            </t>
  </si>
  <si>
    <t xml:space="preserve">FRELUB 650               </t>
  </si>
  <si>
    <t xml:space="preserve">FRELUB 450               </t>
  </si>
  <si>
    <t xml:space="preserve">TRANSELF TYP B80W90      </t>
  </si>
  <si>
    <t xml:space="preserve">TRANSELF SYN FE 75W140   </t>
  </si>
  <si>
    <t xml:space="preserve">ELFMATIC J6              </t>
  </si>
  <si>
    <t xml:space="preserve">RENAULTMATIC D3 SYN      </t>
  </si>
  <si>
    <t xml:space="preserve">TRANSELF NFJ 75W80       </t>
  </si>
  <si>
    <t xml:space="preserve">ELFMATIC CVT             </t>
  </si>
  <si>
    <t xml:space="preserve">EVOL. 500 TS 15W40       </t>
  </si>
  <si>
    <t xml:space="preserve">EVOL. 700 ST 15W50       </t>
  </si>
  <si>
    <t xml:space="preserve">EVOL. 900 5W50           </t>
  </si>
  <si>
    <t xml:space="preserve">EVOL. 900 SXR 5W30       </t>
  </si>
  <si>
    <t xml:space="preserve">EVOL. 900 SXR 5W40       </t>
  </si>
  <si>
    <t xml:space="preserve">EVOL. 500 TURBO D 15W40  </t>
  </si>
  <si>
    <t xml:space="preserve">EVOL. FULLTECH LLX 5W30  </t>
  </si>
  <si>
    <t xml:space="preserve">EVOL. 900 NF 5W40        </t>
  </si>
  <si>
    <t xml:space="preserve">EVOL. 900 DID 5W30       </t>
  </si>
  <si>
    <t xml:space="preserve">EVOL. 900 FT 5W40        </t>
  </si>
  <si>
    <t xml:space="preserve">EVOL. FULLTECH LSX 5W40  </t>
  </si>
  <si>
    <t xml:space="preserve">EVOL. FULLTECH MSX 5W30  </t>
  </si>
  <si>
    <t xml:space="preserve">EVOL. FULLTECH FE 5W30   </t>
  </si>
  <si>
    <t xml:space="preserve">MOTO 4 MAXI TECH 10W30   </t>
  </si>
  <si>
    <t xml:space="preserve">MOTO 2 RACING            </t>
  </si>
  <si>
    <t xml:space="preserve">MOTO 2 OFF ROAD          </t>
  </si>
  <si>
    <t xml:space="preserve">SCOOTER 2 STREET         </t>
  </si>
  <si>
    <t xml:space="preserve">MOTO 4 TWIN TECH 20W60   </t>
  </si>
  <si>
    <t xml:space="preserve">MOTO 4 RACE 10W60        </t>
  </si>
  <si>
    <t xml:space="preserve">MOTO 4 TECH 10W50        </t>
  </si>
  <si>
    <t xml:space="preserve">MOTO 2 TECH              </t>
  </si>
  <si>
    <t xml:space="preserve">MOTO 4 CRUISE 20W50      </t>
  </si>
  <si>
    <t xml:space="preserve">MOTO 4 ROAD 15W50        </t>
  </si>
  <si>
    <t xml:space="preserve">MOTO 2 SELF MIX          </t>
  </si>
  <si>
    <t xml:space="preserve">MOTO 4 ROAD 10W40        </t>
  </si>
  <si>
    <t xml:space="preserve">SCOOTER 2 STREET MAX     </t>
  </si>
  <si>
    <t xml:space="preserve">SCOOTER 4 MAXI CITY 5W40 </t>
  </si>
  <si>
    <t xml:space="preserve">MOTO GEAR OIL 10W40      </t>
  </si>
  <si>
    <t xml:space="preserve">MOTO GEAR OIL 80W90      </t>
  </si>
  <si>
    <t xml:space="preserve">MOTO FORK OIL 15W        </t>
  </si>
  <si>
    <t xml:space="preserve">MOTO FORK OIL 10W        </t>
  </si>
  <si>
    <t xml:space="preserve">MOTO FORK OIL SYN 10W    </t>
  </si>
  <si>
    <t xml:space="preserve">MOTO FORK OIL SYN 5W     </t>
  </si>
  <si>
    <t xml:space="preserve">MOTO FORK OIL SYN 2,5W   </t>
  </si>
  <si>
    <t xml:space="preserve">MOTO BRAKE FLUID DOT 5.1 </t>
  </si>
  <si>
    <t xml:space="preserve">MOTO BRAKE FLUID DOT 4   </t>
  </si>
  <si>
    <t xml:space="preserve">MOTO AIR FILTER OIL      </t>
  </si>
  <si>
    <t xml:space="preserve">MOTO COOLANT ORGANIC     </t>
  </si>
  <si>
    <t xml:space="preserve">TRANSELF NFP 75W80       </t>
  </si>
  <si>
    <t xml:space="preserve">RUBIA TIR 9900 FE 5W30   </t>
  </si>
  <si>
    <t xml:space="preserve">SCOOTER 2 SELF MIX       </t>
  </si>
  <si>
    <t xml:space="preserve">SCOOTER 4 CITY 10W40     </t>
  </si>
  <si>
    <t xml:space="preserve">QUARTZ 9000 ENERGY 0W40  </t>
  </si>
  <si>
    <t xml:space="preserve">TRANSELF SYN FE 75W90    </t>
  </si>
  <si>
    <t xml:space="preserve">EVOL. 900 FT 0W30        </t>
  </si>
  <si>
    <t xml:space="preserve">DYNATRANS DA 80W90       </t>
  </si>
  <si>
    <t xml:space="preserve">TRANSELF UNIV. FE 80W90  </t>
  </si>
  <si>
    <t xml:space="preserve">MOTO 4 PRO TECH 5W40     </t>
  </si>
  <si>
    <t xml:space="preserve">SPEEDMATIC               </t>
  </si>
  <si>
    <t xml:space="preserve">FLUIDMATIC DCT MV        </t>
  </si>
  <si>
    <t xml:space="preserve">FLUIDMATIC LV MV         </t>
  </si>
  <si>
    <t xml:space="preserve">HI-PERF 4T 900 SC. 5W40  </t>
  </si>
  <si>
    <t xml:space="preserve">HTX 740                  </t>
  </si>
  <si>
    <t xml:space="preserve">HTX 755                  </t>
  </si>
  <si>
    <t xml:space="preserve">HTX 909                  </t>
  </si>
  <si>
    <t xml:space="preserve">FLUIDMATIC CVT MV        </t>
  </si>
  <si>
    <t xml:space="preserve">EVOL. FULLTECH DTX 5W30  </t>
  </si>
  <si>
    <t xml:space="preserve">HTX 976+                 </t>
  </si>
  <si>
    <t xml:space="preserve">HTX 860                  </t>
  </si>
  <si>
    <t xml:space="preserve">TRAX. AXLE 7 85W90       </t>
  </si>
  <si>
    <t xml:space="preserve">TRAX. GEAR 9 FE 75W90    </t>
  </si>
  <si>
    <t xml:space="preserve">TRAX. AXLE 8 75W90       </t>
  </si>
  <si>
    <t xml:space="preserve">TRAX. AXLE 8 FE 80W140   </t>
  </si>
  <si>
    <t xml:space="preserve">TRAX. GEAR 8 75W80       </t>
  </si>
  <si>
    <t xml:space="preserve">TRAX. GEAR 8 FE 75W80    </t>
  </si>
  <si>
    <t xml:space="preserve">TRAX. AXLE 7 80W90       </t>
  </si>
  <si>
    <t xml:space="preserve">TRAX. AXLE 7 85W140      </t>
  </si>
  <si>
    <t xml:space="preserve">TRAX. GEAR 7 80W90       </t>
  </si>
  <si>
    <t xml:space="preserve">QUARTZ INEO C1 5W30      </t>
  </si>
  <si>
    <t xml:space="preserve">QUARTZ 7000 10W40 (SN)   </t>
  </si>
  <si>
    <t xml:space="preserve">QUARTZ D 7000 10W40 (SN) </t>
  </si>
  <si>
    <t xml:space="preserve">QUARTZ 7000 EGY10W40(SN) </t>
  </si>
  <si>
    <t xml:space="preserve">EVOL. 700 STI 10W40 (SN) </t>
  </si>
  <si>
    <t xml:space="preserve">EVOL. 700 TD 10W40 (SN)  </t>
  </si>
  <si>
    <t xml:space="preserve">TRAX. AXLE 8 FE 75W140   </t>
  </si>
  <si>
    <t xml:space="preserve">TRAX. GEAR 9 FE 75W80    </t>
  </si>
  <si>
    <t xml:space="preserve">TRAX. AXLE 8 80W90       </t>
  </si>
  <si>
    <t xml:space="preserve">TRAX. DUAL 9 FE 75W90    </t>
  </si>
  <si>
    <t xml:space="preserve">TRAX. GEAR 9V FE 75W90   </t>
  </si>
  <si>
    <t xml:space="preserve">TRAX. AXLE 9 80W90       </t>
  </si>
  <si>
    <t xml:space="preserve">TRAX. DUAL 8 FE 80W90    </t>
  </si>
  <si>
    <t xml:space="preserve">QUARTZ INEO X.VDR.0W20   </t>
  </si>
  <si>
    <t xml:space="preserve">LHM PLUS                 </t>
  </si>
  <si>
    <t xml:space="preserve">TRAX. GEAR 7 80W85       </t>
  </si>
  <si>
    <t xml:space="preserve">TRAX. AXLE 9 FE 75W140   </t>
  </si>
  <si>
    <t xml:space="preserve">QUARTZ INEO L LIFE 0W30  </t>
  </si>
  <si>
    <t xml:space="preserve">QUARTZ INEO X.LL 0W20    </t>
  </si>
  <si>
    <t xml:space="preserve">EVOL. FULLTECH VSX 0W20  </t>
  </si>
  <si>
    <t xml:space="preserve">TRAX. GEAR 6 75W85       </t>
  </si>
  <si>
    <t xml:space="preserve">TRAX. GEAR 9 FE SAE 75W  </t>
  </si>
  <si>
    <t xml:space="preserve">DYNATRANS HD 80W90       </t>
  </si>
  <si>
    <t xml:space="preserve">BLUE CONCENTRATE         </t>
  </si>
  <si>
    <t xml:space="preserve">CARTER EP 220            </t>
  </si>
  <si>
    <t xml:space="preserve">RUBIA OPT.1100 FE 10W30  </t>
  </si>
  <si>
    <t xml:space="preserve">HI-PERF 4T 700 10W40     </t>
  </si>
  <si>
    <t xml:space="preserve">HI-PERF 4T 700 SC. 10W40 </t>
  </si>
  <si>
    <t xml:space="preserve">QUARTZ 7000 15W50 (SN)   </t>
  </si>
  <si>
    <t xml:space="preserve">PERF. PRO 700 15W40      </t>
  </si>
  <si>
    <t xml:space="preserve">RUBIA FLEET HD 400 20W50 </t>
  </si>
  <si>
    <t xml:space="preserve">RUBIA TIR 7400 10W40     </t>
  </si>
  <si>
    <t xml:space="preserve">PERF. PRO 800 10W40      </t>
  </si>
  <si>
    <t xml:space="preserve">PERFO HDX 400 20W50      </t>
  </si>
  <si>
    <t>RUBIA GAS 9M 15W40</t>
  </si>
  <si>
    <t xml:space="preserve">QUARTZ 9000FUT.GF5 0W20  </t>
  </si>
  <si>
    <t xml:space="preserve">QUARTZ INEO FDE 0W30     </t>
  </si>
  <si>
    <t xml:space="preserve">RUBIA OPT.1100 15W40     </t>
  </si>
  <si>
    <t>FLUIDMATIC SYN T295</t>
  </si>
  <si>
    <t>FLUIDMATIC XLD FE</t>
  </si>
  <si>
    <t>TRAX. GEAR 6 75W80</t>
  </si>
  <si>
    <t>TRANSELF NFX SAE 75W</t>
  </si>
  <si>
    <t>DYNATRANS AC 10W</t>
  </si>
  <si>
    <t xml:space="preserve">DYNATRANS AC 10W    </t>
  </si>
  <si>
    <t>DYNATRANS AC 30</t>
  </si>
  <si>
    <t>DYNATRANS AC 30</t>
  </si>
  <si>
    <t xml:space="preserve">DYNATRANS AC 30   </t>
  </si>
  <si>
    <t xml:space="preserve">DYNATRANS MPV  </t>
  </si>
  <si>
    <t>RUBIA POLYTRAFIC 10W40</t>
  </si>
  <si>
    <t xml:space="preserve">RUBIA TIR 6400 15W40  </t>
  </si>
  <si>
    <t xml:space="preserve">AZOLLA ZS 68  </t>
  </si>
  <si>
    <t xml:space="preserve">AZOLLA ZS 68 </t>
  </si>
  <si>
    <t xml:space="preserve">EQUIVIS ZS 68 </t>
  </si>
  <si>
    <t>RUBIA S 10W</t>
  </si>
  <si>
    <t>RU110477</t>
  </si>
  <si>
    <t>RU110478</t>
  </si>
  <si>
    <t>RU110480</t>
  </si>
  <si>
    <t>RU110481</t>
  </si>
  <si>
    <t>RU110483</t>
  </si>
  <si>
    <t>RU110486</t>
  </si>
  <si>
    <t>RU110489</t>
  </si>
  <si>
    <t>RU110490</t>
  </si>
  <si>
    <t>RU110492</t>
  </si>
  <si>
    <t>RU112532</t>
  </si>
  <si>
    <t>RU154843</t>
  </si>
  <si>
    <t>RU154934</t>
  </si>
  <si>
    <t>DYNATRANS AC 50</t>
  </si>
  <si>
    <t>RU154937</t>
  </si>
  <si>
    <t>RU154941</t>
  </si>
  <si>
    <t>CLASSIC 10W40</t>
  </si>
  <si>
    <t>RU156390</t>
  </si>
  <si>
    <t>RU160783</t>
  </si>
  <si>
    <t>RU162119</t>
  </si>
  <si>
    <t>RU162120</t>
  </si>
  <si>
    <t>RU171786</t>
  </si>
  <si>
    <t>NATERIA MP 40</t>
  </si>
  <si>
    <t>RU174096</t>
  </si>
  <si>
    <t>RU196163</t>
  </si>
  <si>
    <t>RUBIA WORKS 1700 5W40</t>
  </si>
  <si>
    <t>RU900003</t>
  </si>
  <si>
    <t>TRANSTEC 5 80W90</t>
  </si>
  <si>
    <t>RU900025</t>
  </si>
  <si>
    <t>RU900026</t>
  </si>
  <si>
    <t>EVOL. 900 SXR 5W30  RO</t>
  </si>
  <si>
    <t xml:space="preserve">4B4L </t>
  </si>
  <si>
    <t>RUBIA TIR 7400 15W40 RO</t>
  </si>
  <si>
    <t>TRANS. AXLE 7 80W90</t>
  </si>
  <si>
    <t>RU100411</t>
  </si>
  <si>
    <t>Объем в Фасовке</t>
  </si>
  <si>
    <t>Дисконт по позиции</t>
  </si>
  <si>
    <t>Итоговый дисконт</t>
  </si>
  <si>
    <t>Целевая Цена Закупа</t>
  </si>
  <si>
    <t>Целевая цена  за позицию</t>
  </si>
  <si>
    <t>Цена за тонну</t>
  </si>
  <si>
    <t>Заработок на закупе</t>
  </si>
  <si>
    <t>Цена доставки одной тонны</t>
  </si>
  <si>
    <t>Цена растоможки одной тонны</t>
  </si>
  <si>
    <t>НДС за ввоз</t>
  </si>
  <si>
    <t>Входная цена в Астане</t>
  </si>
  <si>
    <t>Отпускная Цена</t>
  </si>
  <si>
    <t>Целевая цена за тонну</t>
  </si>
  <si>
    <t>Разница</t>
  </si>
  <si>
    <t>кг/л</t>
  </si>
  <si>
    <t>%</t>
  </si>
  <si>
    <t>Тенге</t>
  </si>
  <si>
    <t>Евро</t>
  </si>
  <si>
    <t>Цена за упаковку с НДС</t>
  </si>
  <si>
    <t>Цена за упаковку без НДС</t>
  </si>
  <si>
    <t>Целевая цена за упаковку</t>
  </si>
  <si>
    <t>Цена у дистриба за 1 емкость</t>
  </si>
  <si>
    <t>Цена у дистриба</t>
  </si>
  <si>
    <t>тенге</t>
  </si>
  <si>
    <t>за упаковку</t>
  </si>
  <si>
    <t>TOT QUARTZ 9000 5W40</t>
  </si>
  <si>
    <t>216565, 213674</t>
  </si>
  <si>
    <t>208L</t>
  </si>
  <si>
    <t>110742, 166477, 197110</t>
  </si>
  <si>
    <t>TOT QUARTZ 9000 FUTURE NFC  5W30</t>
  </si>
  <si>
    <t>213836, 216627</t>
  </si>
  <si>
    <t>TOT Quartz INEO MC 3  5W-30</t>
  </si>
  <si>
    <t>213698</t>
  </si>
  <si>
    <t>TOT Rubia TIR 8900  10w40</t>
  </si>
  <si>
    <t>20L</t>
  </si>
  <si>
    <t>160777, 174755</t>
  </si>
  <si>
    <t>TOT Rubia TIR 8600  10w40</t>
  </si>
  <si>
    <t>110801, 165999</t>
  </si>
  <si>
    <t>Quartz ENERGY 9000 5W-40</t>
  </si>
  <si>
    <t>213697, 216609</t>
  </si>
  <si>
    <t>ELF SXR 5w30</t>
  </si>
  <si>
    <t>213888, 216642</t>
  </si>
  <si>
    <t>ELF SXR 5w30 RO</t>
  </si>
  <si>
    <t>216643</t>
  </si>
  <si>
    <t>213894, 217558</t>
  </si>
  <si>
    <t>ELF NF 5w40</t>
  </si>
  <si>
    <t>Model</t>
  </si>
  <si>
    <t>Vol</t>
  </si>
  <si>
    <t>Number</t>
  </si>
  <si>
    <t>Price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</si>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</sst>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;\(#,##0\)"/>
    <numFmt numFmtId="166" formatCode="#,##0.00;\(#,##0.00\)"/>
  </numFmts>
  <fonts count="5" x14ac:knownFonts="1">
    <font>
      <sz val="11"/>
      <color theme="1"/>
      <name val="Calibri"/>
      <scheme val="minor"/>
    </font>
    <font>
      <sz val="10"/>
      <color theme="1"/>
      <name val="Arial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164" fontId="2" fillId="0" borderId="0" xfId="0" applyNumberFormat="1" applyFont="1" applyAlignment="1">
      <alignment horizontal="center" wrapText="1"/>
    </xf>
    <xf numFmtId="3" fontId="2" fillId="3" borderId="0" xfId="0" applyNumberFormat="1" applyFont="1" applyFill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9" fontId="3" fillId="3" borderId="0" xfId="0" applyNumberFormat="1" applyFont="1" applyFill="1" applyAlignment="1">
      <alignment horizontal="right"/>
    </xf>
    <xf numFmtId="9" fontId="3" fillId="0" borderId="0" xfId="0" applyNumberFormat="1" applyFont="1"/>
    <xf numFmtId="3" fontId="3" fillId="0" borderId="0" xfId="0" applyNumberFormat="1" applyFont="1"/>
    <xf numFmtId="9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1" fillId="4" borderId="0" xfId="0" applyFont="1" applyFill="1" applyAlignment="1">
      <alignment horizontal="left" vertical="center" wrapText="1"/>
    </xf>
    <xf numFmtId="3" fontId="1" fillId="4" borderId="1" xfId="0" applyNumberFormat="1" applyFont="1" applyFill="1" applyBorder="1" applyAlignment="1">
      <alignment horizontal="right" vertical="center" wrapText="1"/>
    </xf>
    <xf numFmtId="3" fontId="1" fillId="4" borderId="0" xfId="0" applyNumberFormat="1" applyFont="1" applyFill="1" applyAlignment="1">
      <alignment horizontal="right" vertical="center" wrapText="1"/>
    </xf>
    <xf numFmtId="164" fontId="1" fillId="4" borderId="0" xfId="0" applyNumberFormat="1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9" fontId="3" fillId="3" borderId="0" xfId="0" applyNumberFormat="1" applyFont="1" applyFill="1"/>
    <xf numFmtId="165" fontId="3" fillId="3" borderId="0" xfId="0" applyNumberFormat="1" applyFont="1" applyFill="1"/>
    <xf numFmtId="165" fontId="4" fillId="0" borderId="0" xfId="0" applyNumberFormat="1" applyFont="1" applyAlignment="1">
      <alignment horizontal="center" wrapText="1"/>
    </xf>
    <xf numFmtId="10" fontId="4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right" wrapText="1"/>
    </xf>
    <xf numFmtId="3" fontId="2" fillId="0" borderId="3" xfId="0" applyNumberFormat="1" applyFont="1" applyBorder="1" applyAlignment="1">
      <alignment horizontal="right" wrapText="1"/>
    </xf>
    <xf numFmtId="3" fontId="2" fillId="0" borderId="0" xfId="0" applyNumberFormat="1" applyFont="1" applyAlignment="1">
      <alignment horizontal="right" wrapText="1"/>
    </xf>
    <xf numFmtId="166" fontId="4" fillId="0" borderId="0" xfId="0" applyNumberFormat="1" applyFont="1" applyAlignment="1">
      <alignment horizontal="center" wrapText="1"/>
    </xf>
    <xf numFmtId="3" fontId="3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right" vertical="center" wrapText="1"/>
    </xf>
    <xf numFmtId="3" fontId="1" fillId="4" borderId="0" xfId="0" applyNumberFormat="1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165" fontId="2" fillId="3" borderId="0" xfId="0" applyNumberFormat="1" applyFont="1" applyFill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0" fontId="2" fillId="0" borderId="0" xfId="0" applyNumberFormat="1" applyFont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352"/>
  <sheetViews>
    <sheetView tabSelected="1" workbookViewId="0">
      <pane ySplit="1" topLeftCell="A241" activePane="bottomLeft" state="frozen"/>
      <selection pane="bottomLeft" activeCell="G1299" sqref="G1299"/>
    </sheetView>
  </sheetViews>
  <sheetFormatPr baseColWidth="10" defaultColWidth="14.5" defaultRowHeight="15" customHeight="1" x14ac:dyDescent="0.2"/>
  <cols>
    <col min="1" max="1" width="31" customWidth="1"/>
    <col min="2" max="2" width="20.33203125" customWidth="1"/>
    <col min="3" max="3" width="9.6640625" customWidth="1"/>
    <col min="4" max="5" width="16.1640625" customWidth="1"/>
  </cols>
  <sheetData>
    <row r="1" spans="1:5" ht="37.5" customHeight="1" x14ac:dyDescent="0.2">
      <c r="A1" s="1" t="s">
        <v>735</v>
      </c>
      <c r="B1" s="2" t="s">
        <v>736</v>
      </c>
      <c r="C1" s="3" t="s">
        <v>737</v>
      </c>
      <c r="D1" s="5" t="s">
        <v>739</v>
      </c>
      <c r="E1" s="4" t="s">
        <v>738</v>
      </c>
    </row>
    <row r="2" spans="1:5" ht="12.75" customHeight="1" x14ac:dyDescent="0.2">
      <c r="A2" s="6" t="s">
        <v>5</v>
      </c>
      <c r="B2" s="6" t="s">
        <v>6</v>
      </c>
      <c r="C2" s="7">
        <v>101068</v>
      </c>
      <c r="D2" s="9" t="s">
        <v>7</v>
      </c>
      <c r="E2" s="8"/>
    </row>
    <row r="3" spans="1:5" ht="12.75" customHeight="1" x14ac:dyDescent="0.2">
      <c r="A3" s="6" t="s">
        <v>8</v>
      </c>
      <c r="B3" s="6" t="s">
        <v>6</v>
      </c>
      <c r="C3" s="7">
        <v>101999</v>
      </c>
      <c r="D3" s="9" t="s">
        <v>7</v>
      </c>
      <c r="E3" s="8"/>
    </row>
    <row r="4" spans="1:5" ht="12.75" customHeight="1" x14ac:dyDescent="0.2">
      <c r="A4" s="6" t="s">
        <v>9</v>
      </c>
      <c r="B4" s="6" t="s">
        <v>6</v>
      </c>
      <c r="C4" s="7">
        <v>102437</v>
      </c>
      <c r="D4" s="9" t="s">
        <v>7</v>
      </c>
      <c r="E4" s="8"/>
    </row>
    <row r="5" spans="1:5" ht="12.75" customHeight="1" x14ac:dyDescent="0.2">
      <c r="A5" s="6" t="s">
        <v>10</v>
      </c>
      <c r="B5" s="6" t="s">
        <v>11</v>
      </c>
      <c r="C5" s="7">
        <v>102798</v>
      </c>
      <c r="D5" s="9" t="s">
        <v>7</v>
      </c>
      <c r="E5" s="8"/>
    </row>
    <row r="6" spans="1:5" ht="12.75" customHeight="1" x14ac:dyDescent="0.2">
      <c r="A6" s="6" t="s">
        <v>12</v>
      </c>
      <c r="B6" s="6" t="s">
        <v>6</v>
      </c>
      <c r="C6" s="7">
        <v>102922</v>
      </c>
      <c r="D6" s="9" t="s">
        <v>7</v>
      </c>
      <c r="E6" s="8"/>
    </row>
    <row r="7" spans="1:5" ht="12.75" customHeight="1" x14ac:dyDescent="0.2">
      <c r="A7" s="6" t="s">
        <v>13</v>
      </c>
      <c r="B7" s="6" t="s">
        <v>6</v>
      </c>
      <c r="C7" s="7">
        <v>103000</v>
      </c>
      <c r="D7" s="9" t="s">
        <v>7</v>
      </c>
      <c r="E7" s="8"/>
    </row>
    <row r="8" spans="1:5" ht="12.75" customHeight="1" x14ac:dyDescent="0.2">
      <c r="A8" s="6" t="s">
        <v>14</v>
      </c>
      <c r="B8" s="6" t="s">
        <v>15</v>
      </c>
      <c r="C8" s="7">
        <v>110286</v>
      </c>
      <c r="D8" s="9" t="s">
        <v>16</v>
      </c>
      <c r="E8" s="8"/>
    </row>
    <row r="9" spans="1:5" ht="12.75" customHeight="1" x14ac:dyDescent="0.2">
      <c r="A9" s="6" t="s">
        <v>17</v>
      </c>
      <c r="B9" s="6" t="s">
        <v>18</v>
      </c>
      <c r="C9" s="7">
        <v>110369</v>
      </c>
      <c r="D9" s="9" t="s">
        <v>16</v>
      </c>
      <c r="E9" s="8"/>
    </row>
    <row r="10" spans="1:5" ht="12.75" customHeight="1" x14ac:dyDescent="0.2">
      <c r="A10" s="6" t="s">
        <v>17</v>
      </c>
      <c r="B10" s="6" t="s">
        <v>19</v>
      </c>
      <c r="C10" s="7">
        <v>110371</v>
      </c>
      <c r="D10" s="9" t="s">
        <v>16</v>
      </c>
      <c r="E10" s="8"/>
    </row>
    <row r="11" spans="1:5" ht="12.75" customHeight="1" x14ac:dyDescent="0.2">
      <c r="A11" s="6" t="s">
        <v>20</v>
      </c>
      <c r="B11" s="6" t="s">
        <v>18</v>
      </c>
      <c r="C11" s="7">
        <v>110378</v>
      </c>
      <c r="D11" s="9" t="s">
        <v>16</v>
      </c>
      <c r="E11" s="8"/>
    </row>
    <row r="12" spans="1:5" ht="12.75" customHeight="1" x14ac:dyDescent="0.2">
      <c r="A12" s="6" t="s">
        <v>21</v>
      </c>
      <c r="B12" s="6" t="s">
        <v>18</v>
      </c>
      <c r="C12" s="7">
        <v>110382</v>
      </c>
      <c r="D12" s="9" t="s">
        <v>16</v>
      </c>
      <c r="E12" s="8"/>
    </row>
    <row r="13" spans="1:5" ht="12.75" customHeight="1" x14ac:dyDescent="0.2">
      <c r="A13" s="6" t="s">
        <v>21</v>
      </c>
      <c r="B13" s="6" t="s">
        <v>22</v>
      </c>
      <c r="C13" s="7">
        <v>110384</v>
      </c>
      <c r="D13" s="9" t="s">
        <v>16</v>
      </c>
      <c r="E13" s="8"/>
    </row>
    <row r="14" spans="1:5" ht="12.75" customHeight="1" x14ac:dyDescent="0.2">
      <c r="A14" s="6" t="s">
        <v>21</v>
      </c>
      <c r="B14" s="6" t="s">
        <v>19</v>
      </c>
      <c r="C14" s="7">
        <v>110385</v>
      </c>
      <c r="D14" s="9" t="s">
        <v>16</v>
      </c>
      <c r="E14" s="8"/>
    </row>
    <row r="15" spans="1:5" ht="12.75" customHeight="1" x14ac:dyDescent="0.2">
      <c r="A15" s="6" t="s">
        <v>23</v>
      </c>
      <c r="B15" s="6" t="s">
        <v>19</v>
      </c>
      <c r="C15" s="7">
        <v>110389</v>
      </c>
      <c r="D15" s="9" t="s">
        <v>16</v>
      </c>
      <c r="E15" s="8"/>
    </row>
    <row r="16" spans="1:5" ht="12.75" customHeight="1" x14ac:dyDescent="0.2">
      <c r="A16" s="6" t="s">
        <v>24</v>
      </c>
      <c r="B16" s="6" t="s">
        <v>18</v>
      </c>
      <c r="C16" s="7">
        <v>110394</v>
      </c>
      <c r="D16" s="9" t="s">
        <v>16</v>
      </c>
      <c r="E16" s="8"/>
    </row>
    <row r="17" spans="1:5" ht="12.75" customHeight="1" x14ac:dyDescent="0.2">
      <c r="A17" s="6" t="s">
        <v>24</v>
      </c>
      <c r="B17" s="6" t="s">
        <v>19</v>
      </c>
      <c r="C17" s="7">
        <v>110396</v>
      </c>
      <c r="D17" s="9" t="s">
        <v>16</v>
      </c>
      <c r="E17" s="8"/>
    </row>
    <row r="18" spans="1:5" ht="12.75" customHeight="1" x14ac:dyDescent="0.2">
      <c r="A18" s="6" t="s">
        <v>25</v>
      </c>
      <c r="B18" s="6" t="s">
        <v>19</v>
      </c>
      <c r="C18" s="7">
        <v>110404</v>
      </c>
      <c r="D18" s="9" t="s">
        <v>16</v>
      </c>
      <c r="E18" s="8"/>
    </row>
    <row r="19" spans="1:5" ht="12.75" customHeight="1" x14ac:dyDescent="0.2">
      <c r="A19" s="6" t="s">
        <v>26</v>
      </c>
      <c r="B19" s="6" t="s">
        <v>15</v>
      </c>
      <c r="C19" s="7">
        <v>110445</v>
      </c>
      <c r="D19" s="9" t="s">
        <v>16</v>
      </c>
      <c r="E19" s="8"/>
    </row>
    <row r="20" spans="1:5" ht="12.75" customHeight="1" x14ac:dyDescent="0.2">
      <c r="A20" s="6" t="s">
        <v>27</v>
      </c>
      <c r="B20" s="6" t="s">
        <v>15</v>
      </c>
      <c r="C20" s="7">
        <v>110448</v>
      </c>
      <c r="D20" s="9" t="s">
        <v>16</v>
      </c>
      <c r="E20" s="8"/>
    </row>
    <row r="21" spans="1:5" ht="12.75" customHeight="1" x14ac:dyDescent="0.2">
      <c r="A21" s="6" t="s">
        <v>28</v>
      </c>
      <c r="B21" s="6" t="s">
        <v>15</v>
      </c>
      <c r="C21" s="7">
        <v>110451</v>
      </c>
      <c r="D21" s="9" t="s">
        <v>16</v>
      </c>
      <c r="E21" s="8"/>
    </row>
    <row r="22" spans="1:5" ht="12.75" customHeight="1" x14ac:dyDescent="0.2">
      <c r="A22" s="6" t="s">
        <v>29</v>
      </c>
      <c r="B22" s="6" t="s">
        <v>15</v>
      </c>
      <c r="C22" s="7">
        <v>110452</v>
      </c>
      <c r="D22" s="9" t="s">
        <v>16</v>
      </c>
      <c r="E22" s="8"/>
    </row>
    <row r="23" spans="1:5" ht="12.75" customHeight="1" x14ac:dyDescent="0.2">
      <c r="A23" s="6" t="s">
        <v>30</v>
      </c>
      <c r="B23" s="6" t="s">
        <v>15</v>
      </c>
      <c r="C23" s="7">
        <v>110454</v>
      </c>
      <c r="D23" s="9" t="s">
        <v>16</v>
      </c>
      <c r="E23" s="8"/>
    </row>
    <row r="24" spans="1:5" ht="12.75" customHeight="1" x14ac:dyDescent="0.2">
      <c r="A24" s="6" t="s">
        <v>31</v>
      </c>
      <c r="B24" s="6" t="s">
        <v>15</v>
      </c>
      <c r="C24" s="7">
        <v>110468</v>
      </c>
      <c r="D24" s="9" t="s">
        <v>16</v>
      </c>
      <c r="E24" s="8"/>
    </row>
    <row r="25" spans="1:5" ht="12.75" customHeight="1" x14ac:dyDescent="0.2">
      <c r="A25" s="6" t="s">
        <v>31</v>
      </c>
      <c r="B25" s="6" t="s">
        <v>32</v>
      </c>
      <c r="C25" s="7">
        <v>110469</v>
      </c>
      <c r="D25" s="9" t="s">
        <v>16</v>
      </c>
      <c r="E25" s="8"/>
    </row>
    <row r="26" spans="1:5" ht="12.75" customHeight="1" x14ac:dyDescent="0.2">
      <c r="A26" s="6" t="s">
        <v>33</v>
      </c>
      <c r="B26" s="6" t="s">
        <v>15</v>
      </c>
      <c r="C26" s="7">
        <v>110471</v>
      </c>
      <c r="D26" s="9" t="s">
        <v>16</v>
      </c>
      <c r="E26" s="8"/>
    </row>
    <row r="27" spans="1:5" ht="12.75" customHeight="1" x14ac:dyDescent="0.2">
      <c r="A27" s="6" t="s">
        <v>34</v>
      </c>
      <c r="B27" s="6" t="s">
        <v>15</v>
      </c>
      <c r="C27" s="7">
        <v>110473</v>
      </c>
      <c r="D27" s="9" t="s">
        <v>16</v>
      </c>
      <c r="E27" s="8"/>
    </row>
    <row r="28" spans="1:5" ht="12.75" customHeight="1" x14ac:dyDescent="0.2">
      <c r="A28" s="6" t="s">
        <v>35</v>
      </c>
      <c r="B28" s="6" t="s">
        <v>15</v>
      </c>
      <c r="C28" s="7">
        <v>110474</v>
      </c>
      <c r="D28" s="9" t="s">
        <v>16</v>
      </c>
      <c r="E28" s="8"/>
    </row>
    <row r="29" spans="1:5" ht="12.75" customHeight="1" x14ac:dyDescent="0.2">
      <c r="A29" s="6" t="s">
        <v>35</v>
      </c>
      <c r="B29" s="6" t="s">
        <v>32</v>
      </c>
      <c r="C29" s="7">
        <v>110475</v>
      </c>
      <c r="D29" s="9" t="s">
        <v>16</v>
      </c>
      <c r="E29" s="8"/>
    </row>
    <row r="30" spans="1:5" ht="12.75" customHeight="1" x14ac:dyDescent="0.2">
      <c r="A30" s="6" t="s">
        <v>35</v>
      </c>
      <c r="B30" s="6" t="s">
        <v>6</v>
      </c>
      <c r="C30" s="7">
        <v>110476</v>
      </c>
      <c r="D30" s="9" t="s">
        <v>16</v>
      </c>
      <c r="E30" s="8"/>
    </row>
    <row r="31" spans="1:5" ht="12.75" customHeight="1" x14ac:dyDescent="0.2">
      <c r="A31" s="6" t="s">
        <v>36</v>
      </c>
      <c r="B31" s="6" t="s">
        <v>15</v>
      </c>
      <c r="C31" s="7">
        <v>110477</v>
      </c>
      <c r="D31" s="9" t="s">
        <v>16</v>
      </c>
      <c r="E31" s="8"/>
    </row>
    <row r="32" spans="1:5" ht="12.75" customHeight="1" x14ac:dyDescent="0.2">
      <c r="A32" s="6" t="s">
        <v>36</v>
      </c>
      <c r="B32" s="6" t="s">
        <v>32</v>
      </c>
      <c r="C32" s="7">
        <v>110478</v>
      </c>
      <c r="D32" s="9" t="s">
        <v>16</v>
      </c>
      <c r="E32" s="8"/>
    </row>
    <row r="33" spans="1:5" ht="12.75" customHeight="1" x14ac:dyDescent="0.2">
      <c r="A33" s="6" t="s">
        <v>36</v>
      </c>
      <c r="B33" s="6" t="s">
        <v>6</v>
      </c>
      <c r="C33" s="7">
        <v>110479</v>
      </c>
      <c r="D33" s="9" t="s">
        <v>16</v>
      </c>
      <c r="E33" s="8"/>
    </row>
    <row r="34" spans="1:5" ht="12.75" customHeight="1" x14ac:dyDescent="0.2">
      <c r="A34" s="6" t="s">
        <v>37</v>
      </c>
      <c r="B34" s="6" t="s">
        <v>15</v>
      </c>
      <c r="C34" s="7">
        <v>110480</v>
      </c>
      <c r="D34" s="9" t="s">
        <v>16</v>
      </c>
      <c r="E34" s="8"/>
    </row>
    <row r="35" spans="1:5" ht="12.75" customHeight="1" x14ac:dyDescent="0.2">
      <c r="A35" s="6" t="s">
        <v>37</v>
      </c>
      <c r="B35" s="6" t="s">
        <v>32</v>
      </c>
      <c r="C35" s="7">
        <v>110481</v>
      </c>
      <c r="D35" s="9" t="s">
        <v>16</v>
      </c>
      <c r="E35" s="8"/>
    </row>
    <row r="36" spans="1:5" ht="12.75" customHeight="1" x14ac:dyDescent="0.2">
      <c r="A36" s="6" t="s">
        <v>37</v>
      </c>
      <c r="B36" s="6" t="s">
        <v>6</v>
      </c>
      <c r="C36" s="7">
        <v>110482</v>
      </c>
      <c r="D36" s="9" t="s">
        <v>16</v>
      </c>
      <c r="E36" s="8"/>
    </row>
    <row r="37" spans="1:5" ht="12.75" customHeight="1" x14ac:dyDescent="0.2">
      <c r="A37" s="6" t="s">
        <v>38</v>
      </c>
      <c r="B37" s="6" t="s">
        <v>15</v>
      </c>
      <c r="C37" s="7">
        <v>110483</v>
      </c>
      <c r="D37" s="9" t="s">
        <v>16</v>
      </c>
      <c r="E37" s="8"/>
    </row>
    <row r="38" spans="1:5" ht="12.75" customHeight="1" x14ac:dyDescent="0.2">
      <c r="A38" s="6" t="s">
        <v>38</v>
      </c>
      <c r="B38" s="6" t="s">
        <v>32</v>
      </c>
      <c r="C38" s="7">
        <v>110484</v>
      </c>
      <c r="D38" s="9" t="s">
        <v>16</v>
      </c>
      <c r="E38" s="8"/>
    </row>
    <row r="39" spans="1:5" ht="12.75" customHeight="1" x14ac:dyDescent="0.2">
      <c r="A39" s="6" t="s">
        <v>39</v>
      </c>
      <c r="B39" s="6" t="s">
        <v>15</v>
      </c>
      <c r="C39" s="7">
        <v>110486</v>
      </c>
      <c r="D39" s="9" t="s">
        <v>16</v>
      </c>
      <c r="E39" s="8"/>
    </row>
    <row r="40" spans="1:5" ht="12.75" customHeight="1" x14ac:dyDescent="0.2">
      <c r="A40" s="6" t="s">
        <v>39</v>
      </c>
      <c r="B40" s="6" t="s">
        <v>32</v>
      </c>
      <c r="C40" s="7">
        <v>110487</v>
      </c>
      <c r="D40" s="9" t="s">
        <v>16</v>
      </c>
      <c r="E40" s="8"/>
    </row>
    <row r="41" spans="1:5" ht="12.75" customHeight="1" x14ac:dyDescent="0.2">
      <c r="A41" s="6" t="s">
        <v>40</v>
      </c>
      <c r="B41" s="6" t="s">
        <v>15</v>
      </c>
      <c r="C41" s="7">
        <v>110489</v>
      </c>
      <c r="D41" s="9" t="s">
        <v>16</v>
      </c>
      <c r="E41" s="8"/>
    </row>
    <row r="42" spans="1:5" ht="12.75" customHeight="1" x14ac:dyDescent="0.2">
      <c r="A42" s="6" t="s">
        <v>40</v>
      </c>
      <c r="B42" s="6" t="s">
        <v>32</v>
      </c>
      <c r="C42" s="7">
        <v>110490</v>
      </c>
      <c r="D42" s="9" t="s">
        <v>16</v>
      </c>
      <c r="E42" s="8"/>
    </row>
    <row r="43" spans="1:5" ht="12.75" customHeight="1" x14ac:dyDescent="0.2">
      <c r="A43" s="6" t="s">
        <v>41</v>
      </c>
      <c r="B43" s="6" t="s">
        <v>15</v>
      </c>
      <c r="C43" s="7">
        <v>110492</v>
      </c>
      <c r="D43" s="9" t="s">
        <v>16</v>
      </c>
      <c r="E43" s="8"/>
    </row>
    <row r="44" spans="1:5" ht="12.75" customHeight="1" x14ac:dyDescent="0.2">
      <c r="A44" s="6" t="s">
        <v>42</v>
      </c>
      <c r="B44" s="6" t="s">
        <v>15</v>
      </c>
      <c r="C44" s="7">
        <v>110494</v>
      </c>
      <c r="D44" s="9" t="s">
        <v>16</v>
      </c>
      <c r="E44" s="8"/>
    </row>
    <row r="45" spans="1:5" ht="12.75" customHeight="1" x14ac:dyDescent="0.2">
      <c r="A45" s="6" t="s">
        <v>42</v>
      </c>
      <c r="B45" s="6" t="s">
        <v>32</v>
      </c>
      <c r="C45" s="7">
        <v>110495</v>
      </c>
      <c r="D45" s="9" t="s">
        <v>16</v>
      </c>
      <c r="E45" s="8"/>
    </row>
    <row r="46" spans="1:5" ht="12.75" customHeight="1" x14ac:dyDescent="0.2">
      <c r="A46" s="6" t="s">
        <v>43</v>
      </c>
      <c r="B46" s="6" t="s">
        <v>15</v>
      </c>
      <c r="C46" s="7">
        <v>110497</v>
      </c>
      <c r="D46" s="9" t="s">
        <v>16</v>
      </c>
      <c r="E46" s="8"/>
    </row>
    <row r="47" spans="1:5" ht="12.75" customHeight="1" x14ac:dyDescent="0.2">
      <c r="A47" s="6" t="s">
        <v>44</v>
      </c>
      <c r="B47" s="6" t="s">
        <v>15</v>
      </c>
      <c r="C47" s="7">
        <v>110499</v>
      </c>
      <c r="D47" s="9" t="s">
        <v>16</v>
      </c>
      <c r="E47" s="8"/>
    </row>
    <row r="48" spans="1:5" ht="12.75" customHeight="1" x14ac:dyDescent="0.2">
      <c r="A48" s="6" t="s">
        <v>45</v>
      </c>
      <c r="B48" s="6" t="s">
        <v>15</v>
      </c>
      <c r="C48" s="7">
        <v>110513</v>
      </c>
      <c r="D48" s="9" t="s">
        <v>16</v>
      </c>
      <c r="E48" s="8"/>
    </row>
    <row r="49" spans="1:5" ht="12.75" customHeight="1" x14ac:dyDescent="0.2">
      <c r="A49" s="6" t="s">
        <v>45</v>
      </c>
      <c r="B49" s="6" t="s">
        <v>32</v>
      </c>
      <c r="C49" s="7">
        <v>110514</v>
      </c>
      <c r="D49" s="9" t="s">
        <v>16</v>
      </c>
      <c r="E49" s="8"/>
    </row>
    <row r="50" spans="1:5" ht="12.75" customHeight="1" x14ac:dyDescent="0.2">
      <c r="A50" s="6" t="s">
        <v>46</v>
      </c>
      <c r="B50" s="6" t="s">
        <v>32</v>
      </c>
      <c r="C50" s="7">
        <v>110515</v>
      </c>
      <c r="D50" s="9" t="s">
        <v>16</v>
      </c>
      <c r="E50" s="8"/>
    </row>
    <row r="51" spans="1:5" ht="12.75" customHeight="1" x14ac:dyDescent="0.2">
      <c r="A51" s="6" t="s">
        <v>47</v>
      </c>
      <c r="B51" s="6" t="s">
        <v>32</v>
      </c>
      <c r="C51" s="7">
        <v>110516</v>
      </c>
      <c r="D51" s="9" t="s">
        <v>16</v>
      </c>
      <c r="E51" s="8"/>
    </row>
    <row r="52" spans="1:5" ht="12.75" customHeight="1" x14ac:dyDescent="0.2">
      <c r="A52" s="6" t="s">
        <v>48</v>
      </c>
      <c r="B52" s="6" t="s">
        <v>49</v>
      </c>
      <c r="C52" s="7">
        <v>110519</v>
      </c>
      <c r="D52" s="9" t="s">
        <v>16</v>
      </c>
      <c r="E52" s="8"/>
    </row>
    <row r="53" spans="1:5" ht="12.75" customHeight="1" x14ac:dyDescent="0.2">
      <c r="A53" s="6" t="s">
        <v>50</v>
      </c>
      <c r="B53" s="6" t="s">
        <v>15</v>
      </c>
      <c r="C53" s="7">
        <v>110521</v>
      </c>
      <c r="D53" s="9" t="s">
        <v>16</v>
      </c>
      <c r="E53" s="8"/>
    </row>
    <row r="54" spans="1:5" ht="12.75" customHeight="1" x14ac:dyDescent="0.2">
      <c r="A54" s="6" t="s">
        <v>51</v>
      </c>
      <c r="B54" s="6" t="s">
        <v>15</v>
      </c>
      <c r="C54" s="7">
        <v>110523</v>
      </c>
      <c r="D54" s="9" t="s">
        <v>16</v>
      </c>
      <c r="E54" s="8"/>
    </row>
    <row r="55" spans="1:5" ht="12.75" customHeight="1" x14ac:dyDescent="0.2">
      <c r="A55" s="6" t="s">
        <v>52</v>
      </c>
      <c r="B55" s="6" t="s">
        <v>15</v>
      </c>
      <c r="C55" s="7">
        <v>110544</v>
      </c>
      <c r="D55" s="9" t="s">
        <v>16</v>
      </c>
      <c r="E55" s="8"/>
    </row>
    <row r="56" spans="1:5" ht="12.75" customHeight="1" x14ac:dyDescent="0.2">
      <c r="A56" s="6" t="s">
        <v>53</v>
      </c>
      <c r="B56" s="6" t="s">
        <v>15</v>
      </c>
      <c r="C56" s="7">
        <v>110546</v>
      </c>
      <c r="D56" s="9" t="s">
        <v>16</v>
      </c>
      <c r="E56" s="8"/>
    </row>
    <row r="57" spans="1:5" ht="12.75" customHeight="1" x14ac:dyDescent="0.2">
      <c r="A57" s="6" t="s">
        <v>54</v>
      </c>
      <c r="B57" s="6" t="s">
        <v>15</v>
      </c>
      <c r="C57" s="7">
        <v>110548</v>
      </c>
      <c r="D57" s="9" t="s">
        <v>16</v>
      </c>
      <c r="E57" s="8"/>
    </row>
    <row r="58" spans="1:5" ht="12.75" customHeight="1" x14ac:dyDescent="0.2">
      <c r="A58" s="6" t="s">
        <v>55</v>
      </c>
      <c r="B58" s="6" t="s">
        <v>15</v>
      </c>
      <c r="C58" s="7">
        <v>110550</v>
      </c>
      <c r="D58" s="9" t="s">
        <v>16</v>
      </c>
      <c r="E58" s="8"/>
    </row>
    <row r="59" spans="1:5" ht="12.75" customHeight="1" x14ac:dyDescent="0.2">
      <c r="A59" s="6" t="s">
        <v>56</v>
      </c>
      <c r="B59" s="6" t="s">
        <v>15</v>
      </c>
      <c r="C59" s="7">
        <v>110552</v>
      </c>
      <c r="D59" s="9" t="s">
        <v>16</v>
      </c>
      <c r="E59" s="8"/>
    </row>
    <row r="60" spans="1:5" ht="12.75" customHeight="1" x14ac:dyDescent="0.2">
      <c r="A60" s="6" t="s">
        <v>57</v>
      </c>
      <c r="B60" s="6" t="s">
        <v>15</v>
      </c>
      <c r="C60" s="7">
        <v>110553</v>
      </c>
      <c r="D60" s="9" t="s">
        <v>16</v>
      </c>
      <c r="E60" s="8"/>
    </row>
    <row r="61" spans="1:5" ht="12.75" customHeight="1" x14ac:dyDescent="0.2">
      <c r="A61" s="6" t="s">
        <v>58</v>
      </c>
      <c r="B61" s="6" t="s">
        <v>15</v>
      </c>
      <c r="C61" s="7">
        <v>110555</v>
      </c>
      <c r="D61" s="9" t="s">
        <v>16</v>
      </c>
      <c r="E61" s="8"/>
    </row>
    <row r="62" spans="1:5" ht="12.75" customHeight="1" x14ac:dyDescent="0.2">
      <c r="A62" s="6" t="s">
        <v>58</v>
      </c>
      <c r="B62" s="6" t="s">
        <v>32</v>
      </c>
      <c r="C62" s="7">
        <v>110556</v>
      </c>
      <c r="D62" s="9" t="s">
        <v>16</v>
      </c>
      <c r="E62" s="8"/>
    </row>
    <row r="63" spans="1:5" ht="12.75" customHeight="1" x14ac:dyDescent="0.2">
      <c r="A63" s="6" t="s">
        <v>59</v>
      </c>
      <c r="B63" s="6" t="s">
        <v>15</v>
      </c>
      <c r="C63" s="7">
        <v>110568</v>
      </c>
      <c r="D63" s="9" t="s">
        <v>16</v>
      </c>
      <c r="E63" s="8"/>
    </row>
    <row r="64" spans="1:5" ht="12.75" customHeight="1" x14ac:dyDescent="0.2">
      <c r="A64" s="6" t="s">
        <v>59</v>
      </c>
      <c r="B64" s="6" t="s">
        <v>32</v>
      </c>
      <c r="C64" s="7">
        <v>110569</v>
      </c>
      <c r="D64" s="9" t="s">
        <v>16</v>
      </c>
      <c r="E64" s="8"/>
    </row>
    <row r="65" spans="1:5" ht="12.75" customHeight="1" x14ac:dyDescent="0.2">
      <c r="A65" s="6" t="s">
        <v>60</v>
      </c>
      <c r="B65" s="6" t="s">
        <v>15</v>
      </c>
      <c r="C65" s="7">
        <v>110570</v>
      </c>
      <c r="D65" s="9" t="s">
        <v>16</v>
      </c>
      <c r="E65" s="8"/>
    </row>
    <row r="66" spans="1:5" ht="12.75" customHeight="1" x14ac:dyDescent="0.2">
      <c r="A66" s="6" t="s">
        <v>60</v>
      </c>
      <c r="B66" s="6" t="s">
        <v>32</v>
      </c>
      <c r="C66" s="7">
        <v>110571</v>
      </c>
      <c r="D66" s="9" t="s">
        <v>16</v>
      </c>
      <c r="E66" s="8"/>
    </row>
    <row r="67" spans="1:5" ht="12.75" customHeight="1" x14ac:dyDescent="0.2">
      <c r="A67" s="6" t="s">
        <v>60</v>
      </c>
      <c r="B67" s="6" t="s">
        <v>6</v>
      </c>
      <c r="C67" s="7">
        <v>110572</v>
      </c>
      <c r="D67" s="9" t="s">
        <v>16</v>
      </c>
      <c r="E67" s="8"/>
    </row>
    <row r="68" spans="1:5" ht="12.75" customHeight="1" x14ac:dyDescent="0.2">
      <c r="A68" s="6" t="s">
        <v>61</v>
      </c>
      <c r="B68" s="6" t="s">
        <v>15</v>
      </c>
      <c r="C68" s="7">
        <v>110573</v>
      </c>
      <c r="D68" s="9" t="s">
        <v>16</v>
      </c>
      <c r="E68" s="8"/>
    </row>
    <row r="69" spans="1:5" ht="12.75" customHeight="1" x14ac:dyDescent="0.2">
      <c r="A69" s="6" t="s">
        <v>61</v>
      </c>
      <c r="B69" s="6" t="s">
        <v>32</v>
      </c>
      <c r="C69" s="7">
        <v>110574</v>
      </c>
      <c r="D69" s="9" t="s">
        <v>16</v>
      </c>
      <c r="E69" s="8"/>
    </row>
    <row r="70" spans="1:5" ht="12.75" customHeight="1" x14ac:dyDescent="0.2">
      <c r="A70" s="6" t="s">
        <v>61</v>
      </c>
      <c r="B70" s="6" t="s">
        <v>6</v>
      </c>
      <c r="C70" s="7">
        <v>110575</v>
      </c>
      <c r="D70" s="9" t="s">
        <v>16</v>
      </c>
      <c r="E70" s="8"/>
    </row>
    <row r="71" spans="1:5" ht="12.75" customHeight="1" x14ac:dyDescent="0.2">
      <c r="A71" s="6" t="s">
        <v>62</v>
      </c>
      <c r="B71" s="6" t="s">
        <v>15</v>
      </c>
      <c r="C71" s="7">
        <v>110576</v>
      </c>
      <c r="D71" s="9" t="s">
        <v>16</v>
      </c>
      <c r="E71" s="8"/>
    </row>
    <row r="72" spans="1:5" ht="12.75" customHeight="1" x14ac:dyDescent="0.2">
      <c r="A72" s="6" t="s">
        <v>62</v>
      </c>
      <c r="B72" s="6" t="s">
        <v>32</v>
      </c>
      <c r="C72" s="7">
        <v>110577</v>
      </c>
      <c r="D72" s="9" t="s">
        <v>16</v>
      </c>
      <c r="E72" s="8"/>
    </row>
    <row r="73" spans="1:5" ht="12.75" customHeight="1" x14ac:dyDescent="0.2">
      <c r="A73" s="6" t="s">
        <v>62</v>
      </c>
      <c r="B73" s="6" t="s">
        <v>6</v>
      </c>
      <c r="C73" s="7">
        <v>110578</v>
      </c>
      <c r="D73" s="9" t="s">
        <v>16</v>
      </c>
      <c r="E73" s="8"/>
    </row>
    <row r="74" spans="1:5" ht="12.75" customHeight="1" x14ac:dyDescent="0.2">
      <c r="A74" s="6" t="s">
        <v>63</v>
      </c>
      <c r="B74" s="6" t="s">
        <v>15</v>
      </c>
      <c r="C74" s="7">
        <v>110596</v>
      </c>
      <c r="D74" s="9" t="s">
        <v>16</v>
      </c>
      <c r="E74" s="8"/>
    </row>
    <row r="75" spans="1:5" ht="12.75" customHeight="1" x14ac:dyDescent="0.2">
      <c r="A75" s="6" t="s">
        <v>64</v>
      </c>
      <c r="B75" s="6" t="s">
        <v>15</v>
      </c>
      <c r="C75" s="7">
        <v>110602</v>
      </c>
      <c r="D75" s="9" t="s">
        <v>16</v>
      </c>
      <c r="E75" s="8"/>
    </row>
    <row r="76" spans="1:5" ht="12.75" customHeight="1" x14ac:dyDescent="0.2">
      <c r="A76" s="6" t="s">
        <v>65</v>
      </c>
      <c r="B76" s="6" t="s">
        <v>15</v>
      </c>
      <c r="C76" s="7">
        <v>110629</v>
      </c>
      <c r="D76" s="9" t="s">
        <v>16</v>
      </c>
      <c r="E76" s="8"/>
    </row>
    <row r="77" spans="1:5" ht="12.75" customHeight="1" x14ac:dyDescent="0.2">
      <c r="A77" s="6" t="s">
        <v>65</v>
      </c>
      <c r="B77" s="6" t="s">
        <v>32</v>
      </c>
      <c r="C77" s="7">
        <v>110630</v>
      </c>
      <c r="D77" s="9" t="s">
        <v>16</v>
      </c>
      <c r="E77" s="8"/>
    </row>
    <row r="78" spans="1:5" ht="12.75" customHeight="1" x14ac:dyDescent="0.2">
      <c r="A78" s="6" t="s">
        <v>65</v>
      </c>
      <c r="B78" s="6" t="s">
        <v>6</v>
      </c>
      <c r="C78" s="7">
        <v>110634</v>
      </c>
      <c r="D78" s="9" t="s">
        <v>16</v>
      </c>
      <c r="E78" s="8"/>
    </row>
    <row r="79" spans="1:5" ht="12.75" customHeight="1" x14ac:dyDescent="0.2">
      <c r="A79" s="6" t="s">
        <v>66</v>
      </c>
      <c r="B79" s="6" t="s">
        <v>15</v>
      </c>
      <c r="C79" s="7">
        <v>110658</v>
      </c>
      <c r="D79" s="9" t="s">
        <v>16</v>
      </c>
      <c r="E79" s="8"/>
    </row>
    <row r="80" spans="1:5" ht="12.75" customHeight="1" x14ac:dyDescent="0.2">
      <c r="A80" s="6" t="s">
        <v>67</v>
      </c>
      <c r="B80" s="6" t="s">
        <v>32</v>
      </c>
      <c r="C80" s="7">
        <v>110659</v>
      </c>
      <c r="D80" s="9" t="s">
        <v>16</v>
      </c>
      <c r="E80" s="8"/>
    </row>
    <row r="81" spans="1:5" ht="12.75" customHeight="1" x14ac:dyDescent="0.2">
      <c r="A81" s="6" t="s">
        <v>67</v>
      </c>
      <c r="B81" s="6" t="s">
        <v>6</v>
      </c>
      <c r="C81" s="7">
        <v>110660</v>
      </c>
      <c r="D81" s="9" t="s">
        <v>16</v>
      </c>
      <c r="E81" s="8"/>
    </row>
    <row r="82" spans="1:5" ht="12.75" customHeight="1" x14ac:dyDescent="0.2">
      <c r="A82" s="6" t="s">
        <v>68</v>
      </c>
      <c r="B82" s="6" t="s">
        <v>15</v>
      </c>
      <c r="C82" s="7">
        <v>110685</v>
      </c>
      <c r="D82" s="9" t="s">
        <v>16</v>
      </c>
      <c r="E82" s="8"/>
    </row>
    <row r="83" spans="1:5" ht="12.75" customHeight="1" x14ac:dyDescent="0.2">
      <c r="A83" s="6" t="s">
        <v>68</v>
      </c>
      <c r="B83" s="6" t="s">
        <v>6</v>
      </c>
      <c r="C83" s="7">
        <v>110691</v>
      </c>
      <c r="D83" s="9" t="s">
        <v>16</v>
      </c>
      <c r="E83" s="8"/>
    </row>
    <row r="84" spans="1:5" ht="12.75" customHeight="1" x14ac:dyDescent="0.2">
      <c r="A84" s="6" t="s">
        <v>69</v>
      </c>
      <c r="B84" s="6" t="s">
        <v>15</v>
      </c>
      <c r="C84" s="7">
        <v>110698</v>
      </c>
      <c r="D84" s="9" t="s">
        <v>16</v>
      </c>
      <c r="E84" s="8"/>
    </row>
    <row r="85" spans="1:5" ht="12.75" customHeight="1" x14ac:dyDescent="0.2">
      <c r="A85" s="6" t="s">
        <v>70</v>
      </c>
      <c r="B85" s="6" t="s">
        <v>15</v>
      </c>
      <c r="C85" s="7">
        <v>110742</v>
      </c>
      <c r="D85" s="9" t="s">
        <v>16</v>
      </c>
      <c r="E85" s="8"/>
    </row>
    <row r="86" spans="1:5" ht="12.75" customHeight="1" x14ac:dyDescent="0.2">
      <c r="A86" s="6" t="s">
        <v>71</v>
      </c>
      <c r="B86" s="6" t="s">
        <v>15</v>
      </c>
      <c r="C86" s="7">
        <v>110784</v>
      </c>
      <c r="D86" s="9" t="s">
        <v>16</v>
      </c>
      <c r="E86" s="8"/>
    </row>
    <row r="87" spans="1:5" ht="12.75" customHeight="1" x14ac:dyDescent="0.2">
      <c r="A87" s="6" t="s">
        <v>72</v>
      </c>
      <c r="B87" s="6" t="s">
        <v>32</v>
      </c>
      <c r="C87" s="7">
        <v>110797</v>
      </c>
      <c r="D87" s="9" t="s">
        <v>16</v>
      </c>
      <c r="E87" s="8"/>
    </row>
    <row r="88" spans="1:5" ht="12.75" customHeight="1" x14ac:dyDescent="0.2">
      <c r="A88" s="6" t="s">
        <v>73</v>
      </c>
      <c r="B88" s="6" t="s">
        <v>15</v>
      </c>
      <c r="C88" s="7">
        <v>110800</v>
      </c>
      <c r="D88" s="9" t="s">
        <v>16</v>
      </c>
      <c r="E88" s="8"/>
    </row>
    <row r="89" spans="1:5" ht="12.75" customHeight="1" x14ac:dyDescent="0.2">
      <c r="A89" s="6" t="s">
        <v>73</v>
      </c>
      <c r="B89" s="6" t="s">
        <v>32</v>
      </c>
      <c r="C89" s="7">
        <v>110801</v>
      </c>
      <c r="D89" s="9" t="s">
        <v>16</v>
      </c>
      <c r="E89" s="8"/>
    </row>
    <row r="90" spans="1:5" ht="12.75" customHeight="1" x14ac:dyDescent="0.2">
      <c r="A90" s="6" t="s">
        <v>74</v>
      </c>
      <c r="B90" s="6" t="s">
        <v>15</v>
      </c>
      <c r="C90" s="7">
        <v>111382</v>
      </c>
      <c r="D90" s="9" t="s">
        <v>16</v>
      </c>
      <c r="E90" s="8"/>
    </row>
    <row r="91" spans="1:5" ht="12.75" customHeight="1" x14ac:dyDescent="0.2">
      <c r="A91" s="6" t="s">
        <v>75</v>
      </c>
      <c r="B91" s="6" t="s">
        <v>15</v>
      </c>
      <c r="C91" s="7">
        <v>111482</v>
      </c>
      <c r="D91" s="9" t="s">
        <v>16</v>
      </c>
      <c r="E91" s="8"/>
    </row>
    <row r="92" spans="1:5" ht="12.75" customHeight="1" x14ac:dyDescent="0.2">
      <c r="A92" s="6" t="s">
        <v>76</v>
      </c>
      <c r="B92" s="6" t="s">
        <v>15</v>
      </c>
      <c r="C92" s="7">
        <v>111679</v>
      </c>
      <c r="D92" s="9" t="s">
        <v>16</v>
      </c>
      <c r="E92" s="8"/>
    </row>
    <row r="93" spans="1:5" ht="12.75" customHeight="1" x14ac:dyDescent="0.2">
      <c r="A93" s="6" t="s">
        <v>67</v>
      </c>
      <c r="B93" s="6" t="s">
        <v>15</v>
      </c>
      <c r="C93" s="7">
        <v>111811</v>
      </c>
      <c r="D93" s="9" t="s">
        <v>16</v>
      </c>
      <c r="E93" s="8"/>
    </row>
    <row r="94" spans="1:5" ht="12.75" customHeight="1" x14ac:dyDescent="0.2">
      <c r="A94" s="6" t="s">
        <v>77</v>
      </c>
      <c r="B94" s="6" t="s">
        <v>15</v>
      </c>
      <c r="C94" s="7">
        <v>112111</v>
      </c>
      <c r="D94" s="9" t="s">
        <v>16</v>
      </c>
      <c r="E94" s="8"/>
    </row>
    <row r="95" spans="1:5" ht="12.75" customHeight="1" x14ac:dyDescent="0.2">
      <c r="A95" s="6" t="s">
        <v>78</v>
      </c>
      <c r="B95" s="6" t="s">
        <v>19</v>
      </c>
      <c r="C95" s="7">
        <v>112261</v>
      </c>
      <c r="D95" s="9" t="s">
        <v>16</v>
      </c>
      <c r="E95" s="8"/>
    </row>
    <row r="96" spans="1:5" ht="12.75" customHeight="1" x14ac:dyDescent="0.2">
      <c r="A96" s="6" t="s">
        <v>79</v>
      </c>
      <c r="B96" s="6" t="s">
        <v>15</v>
      </c>
      <c r="C96" s="7">
        <v>112271</v>
      </c>
      <c r="D96" s="9" t="s">
        <v>16</v>
      </c>
      <c r="E96" s="8"/>
    </row>
    <row r="97" spans="1:5" ht="12.75" customHeight="1" x14ac:dyDescent="0.2">
      <c r="A97" s="6" t="s">
        <v>80</v>
      </c>
      <c r="B97" s="6" t="s">
        <v>15</v>
      </c>
      <c r="C97" s="7">
        <v>112332</v>
      </c>
      <c r="D97" s="9" t="s">
        <v>16</v>
      </c>
      <c r="E97" s="8"/>
    </row>
    <row r="98" spans="1:5" ht="12.75" customHeight="1" x14ac:dyDescent="0.2">
      <c r="A98" s="6" t="s">
        <v>81</v>
      </c>
      <c r="B98" s="6" t="s">
        <v>15</v>
      </c>
      <c r="C98" s="7">
        <v>112333</v>
      </c>
      <c r="D98" s="9" t="s">
        <v>16</v>
      </c>
      <c r="E98" s="8"/>
    </row>
    <row r="99" spans="1:5" ht="12.75" customHeight="1" x14ac:dyDescent="0.2">
      <c r="A99" s="6" t="s">
        <v>82</v>
      </c>
      <c r="B99" s="6" t="s">
        <v>15</v>
      </c>
      <c r="C99" s="7">
        <v>112339</v>
      </c>
      <c r="D99" s="9" t="s">
        <v>16</v>
      </c>
      <c r="E99" s="8"/>
    </row>
    <row r="100" spans="1:5" ht="12.75" customHeight="1" x14ac:dyDescent="0.2">
      <c r="A100" s="6" t="s">
        <v>83</v>
      </c>
      <c r="B100" s="6" t="s">
        <v>15</v>
      </c>
      <c r="C100" s="7">
        <v>112354</v>
      </c>
      <c r="D100" s="9" t="s">
        <v>16</v>
      </c>
      <c r="E100" s="8"/>
    </row>
    <row r="101" spans="1:5" ht="12.75" customHeight="1" x14ac:dyDescent="0.2">
      <c r="A101" s="6" t="s">
        <v>84</v>
      </c>
      <c r="B101" s="6" t="s">
        <v>15</v>
      </c>
      <c r="C101" s="7">
        <v>112358</v>
      </c>
      <c r="D101" s="9" t="s">
        <v>16</v>
      </c>
      <c r="E101" s="8"/>
    </row>
    <row r="102" spans="1:5" ht="12.75" customHeight="1" x14ac:dyDescent="0.2">
      <c r="A102" s="6" t="s">
        <v>85</v>
      </c>
      <c r="B102" s="6" t="s">
        <v>15</v>
      </c>
      <c r="C102" s="7">
        <v>112359</v>
      </c>
      <c r="D102" s="9" t="s">
        <v>16</v>
      </c>
      <c r="E102" s="8"/>
    </row>
    <row r="103" spans="1:5" ht="12.75" customHeight="1" x14ac:dyDescent="0.2">
      <c r="A103" s="6" t="s">
        <v>46</v>
      </c>
      <c r="B103" s="6" t="s">
        <v>15</v>
      </c>
      <c r="C103" s="7">
        <v>112371</v>
      </c>
      <c r="D103" s="9" t="s">
        <v>16</v>
      </c>
      <c r="E103" s="8"/>
    </row>
    <row r="104" spans="1:5" ht="12.75" customHeight="1" x14ac:dyDescent="0.2">
      <c r="A104" s="6" t="s">
        <v>47</v>
      </c>
      <c r="B104" s="6" t="s">
        <v>15</v>
      </c>
      <c r="C104" s="7">
        <v>112373</v>
      </c>
      <c r="D104" s="9" t="s">
        <v>16</v>
      </c>
      <c r="E104" s="8"/>
    </row>
    <row r="105" spans="1:5" ht="12.75" customHeight="1" x14ac:dyDescent="0.2">
      <c r="A105" s="6" t="s">
        <v>86</v>
      </c>
      <c r="B105" s="6" t="s">
        <v>15</v>
      </c>
      <c r="C105" s="7">
        <v>112379</v>
      </c>
      <c r="D105" s="9" t="s">
        <v>16</v>
      </c>
      <c r="E105" s="8"/>
    </row>
    <row r="106" spans="1:5" ht="12.75" customHeight="1" x14ac:dyDescent="0.2">
      <c r="A106" s="6" t="s">
        <v>87</v>
      </c>
      <c r="B106" s="6" t="s">
        <v>15</v>
      </c>
      <c r="C106" s="7">
        <v>112380</v>
      </c>
      <c r="D106" s="9" t="s">
        <v>16</v>
      </c>
      <c r="E106" s="8"/>
    </row>
    <row r="107" spans="1:5" ht="12.75" customHeight="1" x14ac:dyDescent="0.2">
      <c r="A107" s="6" t="s">
        <v>88</v>
      </c>
      <c r="B107" s="6" t="s">
        <v>15</v>
      </c>
      <c r="C107" s="7">
        <v>112401</v>
      </c>
      <c r="D107" s="9" t="s">
        <v>16</v>
      </c>
      <c r="E107" s="8"/>
    </row>
    <row r="108" spans="1:5" ht="12.75" customHeight="1" x14ac:dyDescent="0.2">
      <c r="A108" s="6" t="s">
        <v>89</v>
      </c>
      <c r="B108" s="6" t="s">
        <v>15</v>
      </c>
      <c r="C108" s="7">
        <v>112403</v>
      </c>
      <c r="D108" s="9" t="s">
        <v>16</v>
      </c>
      <c r="E108" s="8"/>
    </row>
    <row r="109" spans="1:5" ht="12.75" customHeight="1" x14ac:dyDescent="0.2">
      <c r="A109" s="6" t="s">
        <v>90</v>
      </c>
      <c r="B109" s="6" t="s">
        <v>15</v>
      </c>
      <c r="C109" s="7">
        <v>112404</v>
      </c>
      <c r="D109" s="9" t="s">
        <v>16</v>
      </c>
      <c r="E109" s="8"/>
    </row>
    <row r="110" spans="1:5" ht="12.75" customHeight="1" x14ac:dyDescent="0.2">
      <c r="A110" s="6" t="s">
        <v>91</v>
      </c>
      <c r="B110" s="6" t="s">
        <v>15</v>
      </c>
      <c r="C110" s="7">
        <v>112405</v>
      </c>
      <c r="D110" s="9" t="s">
        <v>16</v>
      </c>
      <c r="E110" s="8"/>
    </row>
    <row r="111" spans="1:5" ht="12.75" customHeight="1" x14ac:dyDescent="0.2">
      <c r="A111" s="6" t="s">
        <v>92</v>
      </c>
      <c r="B111" s="6" t="s">
        <v>15</v>
      </c>
      <c r="C111" s="7">
        <v>112407</v>
      </c>
      <c r="D111" s="9" t="s">
        <v>16</v>
      </c>
      <c r="E111" s="8"/>
    </row>
    <row r="112" spans="1:5" ht="12.75" customHeight="1" x14ac:dyDescent="0.2">
      <c r="A112" s="6" t="s">
        <v>93</v>
      </c>
      <c r="B112" s="6" t="s">
        <v>15</v>
      </c>
      <c r="C112" s="7">
        <v>112417</v>
      </c>
      <c r="D112" s="9" t="s">
        <v>16</v>
      </c>
      <c r="E112" s="8"/>
    </row>
    <row r="113" spans="1:5" ht="12.75" customHeight="1" x14ac:dyDescent="0.2">
      <c r="A113" s="6" t="s">
        <v>94</v>
      </c>
      <c r="B113" s="6" t="s">
        <v>15</v>
      </c>
      <c r="C113" s="7">
        <v>112427</v>
      </c>
      <c r="D113" s="9" t="s">
        <v>16</v>
      </c>
      <c r="E113" s="8"/>
    </row>
    <row r="114" spans="1:5" ht="12.75" customHeight="1" x14ac:dyDescent="0.2">
      <c r="A114" s="6" t="s">
        <v>95</v>
      </c>
      <c r="B114" s="6" t="s">
        <v>15</v>
      </c>
      <c r="C114" s="7">
        <v>112429</v>
      </c>
      <c r="D114" s="9" t="s">
        <v>16</v>
      </c>
      <c r="E114" s="8"/>
    </row>
    <row r="115" spans="1:5" ht="12.75" customHeight="1" x14ac:dyDescent="0.2">
      <c r="A115" s="6" t="s">
        <v>96</v>
      </c>
      <c r="B115" s="6" t="s">
        <v>15</v>
      </c>
      <c r="C115" s="7">
        <v>112440</v>
      </c>
      <c r="D115" s="9" t="s">
        <v>16</v>
      </c>
      <c r="E115" s="8"/>
    </row>
    <row r="116" spans="1:5" ht="12.75" customHeight="1" x14ac:dyDescent="0.2">
      <c r="A116" s="6" t="s">
        <v>97</v>
      </c>
      <c r="B116" s="6" t="s">
        <v>15</v>
      </c>
      <c r="C116" s="7">
        <v>112442</v>
      </c>
      <c r="D116" s="9" t="s">
        <v>16</v>
      </c>
      <c r="E116" s="8"/>
    </row>
    <row r="117" spans="1:5" ht="12.75" customHeight="1" x14ac:dyDescent="0.2">
      <c r="A117" s="6" t="s">
        <v>98</v>
      </c>
      <c r="B117" s="6" t="s">
        <v>15</v>
      </c>
      <c r="C117" s="7">
        <v>112445</v>
      </c>
      <c r="D117" s="9" t="s">
        <v>16</v>
      </c>
      <c r="E117" s="8"/>
    </row>
    <row r="118" spans="1:5" ht="12.75" customHeight="1" x14ac:dyDescent="0.2">
      <c r="A118" s="6" t="s">
        <v>99</v>
      </c>
      <c r="B118" s="6" t="s">
        <v>15</v>
      </c>
      <c r="C118" s="7">
        <v>112451</v>
      </c>
      <c r="D118" s="9" t="s">
        <v>16</v>
      </c>
      <c r="E118" s="8"/>
    </row>
    <row r="119" spans="1:5" ht="12.75" customHeight="1" x14ac:dyDescent="0.2">
      <c r="A119" s="6" t="s">
        <v>100</v>
      </c>
      <c r="B119" s="6" t="s">
        <v>15</v>
      </c>
      <c r="C119" s="7">
        <v>112452</v>
      </c>
      <c r="D119" s="9" t="s">
        <v>16</v>
      </c>
      <c r="E119" s="8"/>
    </row>
    <row r="120" spans="1:5" ht="12.75" customHeight="1" x14ac:dyDescent="0.2">
      <c r="A120" s="6" t="s">
        <v>101</v>
      </c>
      <c r="B120" s="6" t="s">
        <v>15</v>
      </c>
      <c r="C120" s="7">
        <v>112461</v>
      </c>
      <c r="D120" s="9" t="s">
        <v>16</v>
      </c>
      <c r="E120" s="8"/>
    </row>
    <row r="121" spans="1:5" ht="12.75" customHeight="1" x14ac:dyDescent="0.2">
      <c r="A121" s="6" t="s">
        <v>102</v>
      </c>
      <c r="B121" s="6" t="s">
        <v>15</v>
      </c>
      <c r="C121" s="7">
        <v>112462</v>
      </c>
      <c r="D121" s="9" t="s">
        <v>16</v>
      </c>
      <c r="E121" s="8"/>
    </row>
    <row r="122" spans="1:5" ht="12.75" customHeight="1" x14ac:dyDescent="0.2">
      <c r="A122" s="6" t="s">
        <v>80</v>
      </c>
      <c r="B122" s="6" t="s">
        <v>32</v>
      </c>
      <c r="C122" s="7">
        <v>112463</v>
      </c>
      <c r="D122" s="9" t="s">
        <v>16</v>
      </c>
      <c r="E122" s="8"/>
    </row>
    <row r="123" spans="1:5" ht="12.75" customHeight="1" x14ac:dyDescent="0.2">
      <c r="A123" s="6" t="s">
        <v>34</v>
      </c>
      <c r="B123" s="6" t="s">
        <v>32</v>
      </c>
      <c r="C123" s="7">
        <v>112464</v>
      </c>
      <c r="D123" s="9" t="s">
        <v>16</v>
      </c>
      <c r="E123" s="8"/>
    </row>
    <row r="124" spans="1:5" ht="12.75" customHeight="1" x14ac:dyDescent="0.2">
      <c r="A124" s="6" t="s">
        <v>33</v>
      </c>
      <c r="B124" s="6" t="s">
        <v>32</v>
      </c>
      <c r="C124" s="7">
        <v>112469</v>
      </c>
      <c r="D124" s="9" t="s">
        <v>16</v>
      </c>
      <c r="E124" s="8"/>
    </row>
    <row r="125" spans="1:5" ht="12.75" customHeight="1" x14ac:dyDescent="0.2">
      <c r="A125" s="6" t="s">
        <v>94</v>
      </c>
      <c r="B125" s="6" t="s">
        <v>32</v>
      </c>
      <c r="C125" s="7">
        <v>112470</v>
      </c>
      <c r="D125" s="9" t="s">
        <v>16</v>
      </c>
      <c r="E125" s="8"/>
    </row>
    <row r="126" spans="1:5" ht="12.75" customHeight="1" x14ac:dyDescent="0.2">
      <c r="A126" s="6" t="s">
        <v>95</v>
      </c>
      <c r="B126" s="6" t="s">
        <v>32</v>
      </c>
      <c r="C126" s="7">
        <v>112471</v>
      </c>
      <c r="D126" s="9" t="s">
        <v>16</v>
      </c>
      <c r="E126" s="8"/>
    </row>
    <row r="127" spans="1:5" ht="12.75" customHeight="1" x14ac:dyDescent="0.2">
      <c r="A127" s="6" t="s">
        <v>96</v>
      </c>
      <c r="B127" s="6" t="s">
        <v>32</v>
      </c>
      <c r="C127" s="7">
        <v>112472</v>
      </c>
      <c r="D127" s="9" t="s">
        <v>16</v>
      </c>
      <c r="E127" s="8"/>
    </row>
    <row r="128" spans="1:5" ht="12.75" customHeight="1" x14ac:dyDescent="0.2">
      <c r="A128" s="6" t="s">
        <v>103</v>
      </c>
      <c r="B128" s="6" t="s">
        <v>32</v>
      </c>
      <c r="C128" s="7">
        <v>112473</v>
      </c>
      <c r="D128" s="9" t="s">
        <v>16</v>
      </c>
      <c r="E128" s="8"/>
    </row>
    <row r="129" spans="1:5" ht="12.75" customHeight="1" x14ac:dyDescent="0.2">
      <c r="A129" s="6" t="s">
        <v>97</v>
      </c>
      <c r="B129" s="6" t="s">
        <v>32</v>
      </c>
      <c r="C129" s="7">
        <v>112474</v>
      </c>
      <c r="D129" s="9" t="s">
        <v>16</v>
      </c>
      <c r="E129" s="8"/>
    </row>
    <row r="130" spans="1:5" ht="12.75" customHeight="1" x14ac:dyDescent="0.2">
      <c r="A130" s="6" t="s">
        <v>98</v>
      </c>
      <c r="B130" s="6" t="s">
        <v>32</v>
      </c>
      <c r="C130" s="7">
        <v>112476</v>
      </c>
      <c r="D130" s="9" t="s">
        <v>16</v>
      </c>
      <c r="E130" s="8"/>
    </row>
    <row r="131" spans="1:5" ht="12.75" customHeight="1" x14ac:dyDescent="0.2">
      <c r="A131" s="6" t="s">
        <v>104</v>
      </c>
      <c r="B131" s="6" t="s">
        <v>32</v>
      </c>
      <c r="C131" s="7">
        <v>112478</v>
      </c>
      <c r="D131" s="9" t="s">
        <v>16</v>
      </c>
      <c r="E131" s="8"/>
    </row>
    <row r="132" spans="1:5" ht="12.75" customHeight="1" x14ac:dyDescent="0.2">
      <c r="A132" s="6" t="s">
        <v>81</v>
      </c>
      <c r="B132" s="6" t="s">
        <v>32</v>
      </c>
      <c r="C132" s="7">
        <v>112485</v>
      </c>
      <c r="D132" s="9" t="s">
        <v>16</v>
      </c>
      <c r="E132" s="8"/>
    </row>
    <row r="133" spans="1:5" ht="12.75" customHeight="1" x14ac:dyDescent="0.2">
      <c r="A133" s="6" t="s">
        <v>87</v>
      </c>
      <c r="B133" s="6" t="s">
        <v>32</v>
      </c>
      <c r="C133" s="7">
        <v>112490</v>
      </c>
      <c r="D133" s="9" t="s">
        <v>16</v>
      </c>
      <c r="E133" s="8"/>
    </row>
    <row r="134" spans="1:5" ht="12.75" customHeight="1" x14ac:dyDescent="0.2">
      <c r="A134" s="6" t="s">
        <v>105</v>
      </c>
      <c r="B134" s="6" t="s">
        <v>32</v>
      </c>
      <c r="C134" s="7">
        <v>112495</v>
      </c>
      <c r="D134" s="9" t="s">
        <v>16</v>
      </c>
      <c r="E134" s="8"/>
    </row>
    <row r="135" spans="1:5" ht="12.75" customHeight="1" x14ac:dyDescent="0.2">
      <c r="A135" s="6" t="s">
        <v>106</v>
      </c>
      <c r="B135" s="6" t="s">
        <v>32</v>
      </c>
      <c r="C135" s="7">
        <v>112496</v>
      </c>
      <c r="D135" s="9" t="s">
        <v>16</v>
      </c>
      <c r="E135" s="8"/>
    </row>
    <row r="136" spans="1:5" ht="12.75" customHeight="1" x14ac:dyDescent="0.2">
      <c r="A136" s="6" t="s">
        <v>99</v>
      </c>
      <c r="B136" s="6" t="s">
        <v>32</v>
      </c>
      <c r="C136" s="7">
        <v>112501</v>
      </c>
      <c r="D136" s="9" t="s">
        <v>16</v>
      </c>
      <c r="E136" s="8"/>
    </row>
    <row r="137" spans="1:5" ht="12.75" customHeight="1" x14ac:dyDescent="0.2">
      <c r="A137" s="6" t="s">
        <v>43</v>
      </c>
      <c r="B137" s="6" t="s">
        <v>32</v>
      </c>
      <c r="C137" s="7">
        <v>112508</v>
      </c>
      <c r="D137" s="9" t="s">
        <v>16</v>
      </c>
      <c r="E137" s="8"/>
    </row>
    <row r="138" spans="1:5" ht="12.75" customHeight="1" x14ac:dyDescent="0.2">
      <c r="A138" s="6" t="s">
        <v>107</v>
      </c>
      <c r="B138" s="6" t="s">
        <v>15</v>
      </c>
      <c r="C138" s="7">
        <v>112514</v>
      </c>
      <c r="D138" s="9" t="s">
        <v>16</v>
      </c>
      <c r="E138" s="8"/>
    </row>
    <row r="139" spans="1:5" ht="12.75" customHeight="1" x14ac:dyDescent="0.2">
      <c r="A139" s="6" t="s">
        <v>107</v>
      </c>
      <c r="B139" s="6" t="s">
        <v>32</v>
      </c>
      <c r="C139" s="7">
        <v>112515</v>
      </c>
      <c r="D139" s="9" t="s">
        <v>16</v>
      </c>
      <c r="E139" s="8"/>
    </row>
    <row r="140" spans="1:5" ht="12.75" customHeight="1" x14ac:dyDescent="0.2">
      <c r="A140" s="6" t="s">
        <v>108</v>
      </c>
      <c r="B140" s="6" t="s">
        <v>15</v>
      </c>
      <c r="C140" s="7">
        <v>112516</v>
      </c>
      <c r="D140" s="9" t="s">
        <v>16</v>
      </c>
      <c r="E140" s="8"/>
    </row>
    <row r="141" spans="1:5" ht="12.75" customHeight="1" x14ac:dyDescent="0.2">
      <c r="A141" s="6" t="s">
        <v>108</v>
      </c>
      <c r="B141" s="6" t="s">
        <v>32</v>
      </c>
      <c r="C141" s="7">
        <v>112517</v>
      </c>
      <c r="D141" s="9" t="s">
        <v>16</v>
      </c>
      <c r="E141" s="8"/>
    </row>
    <row r="142" spans="1:5" ht="12.75" customHeight="1" x14ac:dyDescent="0.2">
      <c r="A142" s="6" t="s">
        <v>109</v>
      </c>
      <c r="B142" s="6" t="s">
        <v>15</v>
      </c>
      <c r="C142" s="7">
        <v>112518</v>
      </c>
      <c r="D142" s="9" t="s">
        <v>16</v>
      </c>
      <c r="E142" s="8"/>
    </row>
    <row r="143" spans="1:5" ht="12.75" customHeight="1" x14ac:dyDescent="0.2">
      <c r="A143" s="6" t="s">
        <v>109</v>
      </c>
      <c r="B143" s="6" t="s">
        <v>32</v>
      </c>
      <c r="C143" s="7">
        <v>112519</v>
      </c>
      <c r="D143" s="9" t="s">
        <v>16</v>
      </c>
      <c r="E143" s="8"/>
    </row>
    <row r="144" spans="1:5" ht="12.75" customHeight="1" x14ac:dyDescent="0.2">
      <c r="A144" s="6" t="s">
        <v>110</v>
      </c>
      <c r="B144" s="6" t="s">
        <v>15</v>
      </c>
      <c r="C144" s="7">
        <v>112520</v>
      </c>
      <c r="D144" s="9" t="s">
        <v>16</v>
      </c>
      <c r="E144" s="8"/>
    </row>
    <row r="145" spans="1:5" ht="12.75" customHeight="1" x14ac:dyDescent="0.2">
      <c r="A145" s="6" t="s">
        <v>110</v>
      </c>
      <c r="B145" s="6" t="s">
        <v>32</v>
      </c>
      <c r="C145" s="7">
        <v>112521</v>
      </c>
      <c r="D145" s="9" t="s">
        <v>16</v>
      </c>
      <c r="E145" s="8"/>
    </row>
    <row r="146" spans="1:5" ht="12.75" customHeight="1" x14ac:dyDescent="0.2">
      <c r="A146" s="6" t="s">
        <v>111</v>
      </c>
      <c r="B146" s="6" t="s">
        <v>15</v>
      </c>
      <c r="C146" s="7">
        <v>112522</v>
      </c>
      <c r="D146" s="9" t="s">
        <v>16</v>
      </c>
      <c r="E146" s="8"/>
    </row>
    <row r="147" spans="1:5" ht="12.75" customHeight="1" x14ac:dyDescent="0.2">
      <c r="A147" s="6" t="s">
        <v>111</v>
      </c>
      <c r="B147" s="6" t="s">
        <v>32</v>
      </c>
      <c r="C147" s="7">
        <v>112523</v>
      </c>
      <c r="D147" s="9" t="s">
        <v>16</v>
      </c>
      <c r="E147" s="8"/>
    </row>
    <row r="148" spans="1:5" ht="12.75" customHeight="1" x14ac:dyDescent="0.2">
      <c r="A148" s="6" t="s">
        <v>112</v>
      </c>
      <c r="B148" s="6" t="s">
        <v>15</v>
      </c>
      <c r="C148" s="7">
        <v>112524</v>
      </c>
      <c r="D148" s="9" t="s">
        <v>16</v>
      </c>
      <c r="E148" s="8"/>
    </row>
    <row r="149" spans="1:5" ht="12.75" customHeight="1" x14ac:dyDescent="0.2">
      <c r="A149" s="6" t="s">
        <v>112</v>
      </c>
      <c r="B149" s="6" t="s">
        <v>32</v>
      </c>
      <c r="C149" s="7">
        <v>112525</v>
      </c>
      <c r="D149" s="9" t="s">
        <v>16</v>
      </c>
      <c r="E149" s="8"/>
    </row>
    <row r="150" spans="1:5" ht="12.75" customHeight="1" x14ac:dyDescent="0.2">
      <c r="A150" s="6" t="s">
        <v>113</v>
      </c>
      <c r="B150" s="6" t="s">
        <v>15</v>
      </c>
      <c r="C150" s="7">
        <v>112526</v>
      </c>
      <c r="D150" s="9" t="s">
        <v>16</v>
      </c>
      <c r="E150" s="8"/>
    </row>
    <row r="151" spans="1:5" ht="12.75" customHeight="1" x14ac:dyDescent="0.2">
      <c r="A151" s="6" t="s">
        <v>113</v>
      </c>
      <c r="B151" s="6" t="s">
        <v>32</v>
      </c>
      <c r="C151" s="7">
        <v>112527</v>
      </c>
      <c r="D151" s="9" t="s">
        <v>16</v>
      </c>
      <c r="E151" s="8"/>
    </row>
    <row r="152" spans="1:5" ht="12.75" customHeight="1" x14ac:dyDescent="0.2">
      <c r="A152" s="6" t="s">
        <v>114</v>
      </c>
      <c r="B152" s="6" t="s">
        <v>15</v>
      </c>
      <c r="C152" s="7">
        <v>112528</v>
      </c>
      <c r="D152" s="9" t="s">
        <v>16</v>
      </c>
      <c r="E152" s="8"/>
    </row>
    <row r="153" spans="1:5" ht="12.75" customHeight="1" x14ac:dyDescent="0.2">
      <c r="A153" s="6" t="s">
        <v>115</v>
      </c>
      <c r="B153" s="6" t="s">
        <v>15</v>
      </c>
      <c r="C153" s="7">
        <v>112529</v>
      </c>
      <c r="D153" s="9" t="s">
        <v>16</v>
      </c>
      <c r="E153" s="8"/>
    </row>
    <row r="154" spans="1:5" ht="12.75" customHeight="1" x14ac:dyDescent="0.2">
      <c r="A154" s="6" t="s">
        <v>41</v>
      </c>
      <c r="B154" s="6" t="s">
        <v>32</v>
      </c>
      <c r="C154" s="7">
        <v>112532</v>
      </c>
      <c r="D154" s="9" t="s">
        <v>16</v>
      </c>
      <c r="E154" s="8"/>
    </row>
    <row r="155" spans="1:5" ht="12.75" customHeight="1" x14ac:dyDescent="0.2">
      <c r="A155" s="6" t="s">
        <v>44</v>
      </c>
      <c r="B155" s="6" t="s">
        <v>32</v>
      </c>
      <c r="C155" s="7">
        <v>112534</v>
      </c>
      <c r="D155" s="9" t="s">
        <v>16</v>
      </c>
      <c r="E155" s="8"/>
    </row>
    <row r="156" spans="1:5" ht="12.75" customHeight="1" x14ac:dyDescent="0.2">
      <c r="A156" s="6" t="s">
        <v>84</v>
      </c>
      <c r="B156" s="6" t="s">
        <v>32</v>
      </c>
      <c r="C156" s="7">
        <v>112535</v>
      </c>
      <c r="D156" s="9" t="s">
        <v>16</v>
      </c>
      <c r="E156" s="8"/>
    </row>
    <row r="157" spans="1:5" ht="12.75" customHeight="1" x14ac:dyDescent="0.2">
      <c r="A157" s="6" t="s">
        <v>101</v>
      </c>
      <c r="B157" s="6" t="s">
        <v>32</v>
      </c>
      <c r="C157" s="7">
        <v>112537</v>
      </c>
      <c r="D157" s="9" t="s">
        <v>16</v>
      </c>
      <c r="E157" s="8"/>
    </row>
    <row r="158" spans="1:5" ht="12.75" customHeight="1" x14ac:dyDescent="0.2">
      <c r="A158" s="6" t="s">
        <v>116</v>
      </c>
      <c r="B158" s="6" t="s">
        <v>15</v>
      </c>
      <c r="C158" s="7">
        <v>112538</v>
      </c>
      <c r="D158" s="9" t="s">
        <v>16</v>
      </c>
      <c r="E158" s="8"/>
    </row>
    <row r="159" spans="1:5" ht="12.75" customHeight="1" x14ac:dyDescent="0.2">
      <c r="A159" s="6" t="s">
        <v>116</v>
      </c>
      <c r="B159" s="6" t="s">
        <v>32</v>
      </c>
      <c r="C159" s="7">
        <v>112539</v>
      </c>
      <c r="D159" s="9" t="s">
        <v>16</v>
      </c>
      <c r="E159" s="8"/>
    </row>
    <row r="160" spans="1:5" ht="12.75" customHeight="1" x14ac:dyDescent="0.2">
      <c r="A160" s="6" t="s">
        <v>117</v>
      </c>
      <c r="B160" s="6" t="s">
        <v>15</v>
      </c>
      <c r="C160" s="7">
        <v>112542</v>
      </c>
      <c r="D160" s="9" t="s">
        <v>16</v>
      </c>
      <c r="E160" s="8"/>
    </row>
    <row r="161" spans="1:5" ht="12.75" customHeight="1" x14ac:dyDescent="0.2">
      <c r="A161" s="6" t="s">
        <v>118</v>
      </c>
      <c r="B161" s="6" t="s">
        <v>32</v>
      </c>
      <c r="C161" s="7">
        <v>112550</v>
      </c>
      <c r="D161" s="9" t="s">
        <v>16</v>
      </c>
      <c r="E161" s="8"/>
    </row>
    <row r="162" spans="1:5" ht="12.75" customHeight="1" x14ac:dyDescent="0.2">
      <c r="A162" s="6" t="s">
        <v>119</v>
      </c>
      <c r="B162" s="6" t="s">
        <v>32</v>
      </c>
      <c r="C162" s="7">
        <v>112551</v>
      </c>
      <c r="D162" s="9" t="s">
        <v>16</v>
      </c>
      <c r="E162" s="8"/>
    </row>
    <row r="163" spans="1:5" ht="12.75" customHeight="1" x14ac:dyDescent="0.2">
      <c r="A163" s="6" t="s">
        <v>120</v>
      </c>
      <c r="B163" s="6" t="s">
        <v>32</v>
      </c>
      <c r="C163" s="7">
        <v>112552</v>
      </c>
      <c r="D163" s="9" t="s">
        <v>16</v>
      </c>
      <c r="E163" s="8"/>
    </row>
    <row r="164" spans="1:5" ht="12.75" customHeight="1" x14ac:dyDescent="0.2">
      <c r="A164" s="6" t="s">
        <v>83</v>
      </c>
      <c r="B164" s="6" t="s">
        <v>32</v>
      </c>
      <c r="C164" s="7">
        <v>112567</v>
      </c>
      <c r="D164" s="9" t="s">
        <v>16</v>
      </c>
      <c r="E164" s="8"/>
    </row>
    <row r="165" spans="1:5" ht="12.75" customHeight="1" x14ac:dyDescent="0.2">
      <c r="A165" s="6" t="s">
        <v>52</v>
      </c>
      <c r="B165" s="6" t="s">
        <v>32</v>
      </c>
      <c r="C165" s="7">
        <v>112580</v>
      </c>
      <c r="D165" s="9" t="s">
        <v>16</v>
      </c>
      <c r="E165" s="8"/>
    </row>
    <row r="166" spans="1:5" ht="12.75" customHeight="1" x14ac:dyDescent="0.2">
      <c r="A166" s="6" t="s">
        <v>77</v>
      </c>
      <c r="B166" s="6" t="s">
        <v>32</v>
      </c>
      <c r="C166" s="7">
        <v>112581</v>
      </c>
      <c r="D166" s="9" t="s">
        <v>16</v>
      </c>
      <c r="E166" s="8"/>
    </row>
    <row r="167" spans="1:5" ht="12.75" customHeight="1" x14ac:dyDescent="0.2">
      <c r="A167" s="6" t="s">
        <v>56</v>
      </c>
      <c r="B167" s="6" t="s">
        <v>32</v>
      </c>
      <c r="C167" s="7">
        <v>112582</v>
      </c>
      <c r="D167" s="9" t="s">
        <v>16</v>
      </c>
      <c r="E167" s="8"/>
    </row>
    <row r="168" spans="1:5" ht="12.75" customHeight="1" x14ac:dyDescent="0.2">
      <c r="A168" s="6" t="s">
        <v>57</v>
      </c>
      <c r="B168" s="6" t="s">
        <v>32</v>
      </c>
      <c r="C168" s="7">
        <v>112583</v>
      </c>
      <c r="D168" s="9" t="s">
        <v>16</v>
      </c>
      <c r="E168" s="8"/>
    </row>
    <row r="169" spans="1:5" ht="12.75" customHeight="1" x14ac:dyDescent="0.2">
      <c r="A169" s="6" t="s">
        <v>53</v>
      </c>
      <c r="B169" s="6" t="s">
        <v>32</v>
      </c>
      <c r="C169" s="7">
        <v>112585</v>
      </c>
      <c r="D169" s="9" t="s">
        <v>16</v>
      </c>
      <c r="E169" s="8"/>
    </row>
    <row r="170" spans="1:5" ht="12.75" customHeight="1" x14ac:dyDescent="0.2">
      <c r="A170" s="6" t="s">
        <v>54</v>
      </c>
      <c r="B170" s="6" t="s">
        <v>32</v>
      </c>
      <c r="C170" s="7">
        <v>112586</v>
      </c>
      <c r="D170" s="9" t="s">
        <v>16</v>
      </c>
      <c r="E170" s="8"/>
    </row>
    <row r="171" spans="1:5" ht="12.75" customHeight="1" x14ac:dyDescent="0.2">
      <c r="A171" s="6" t="s">
        <v>55</v>
      </c>
      <c r="B171" s="6" t="s">
        <v>32</v>
      </c>
      <c r="C171" s="7">
        <v>112587</v>
      </c>
      <c r="D171" s="9" t="s">
        <v>16</v>
      </c>
      <c r="E171" s="8"/>
    </row>
    <row r="172" spans="1:5" ht="12.75" customHeight="1" x14ac:dyDescent="0.2">
      <c r="A172" s="6" t="s">
        <v>121</v>
      </c>
      <c r="B172" s="6" t="s">
        <v>15</v>
      </c>
      <c r="C172" s="7">
        <v>112588</v>
      </c>
      <c r="D172" s="9" t="s">
        <v>16</v>
      </c>
      <c r="E172" s="8"/>
    </row>
    <row r="173" spans="1:5" ht="12.75" customHeight="1" x14ac:dyDescent="0.2">
      <c r="A173" s="6" t="s">
        <v>122</v>
      </c>
      <c r="B173" s="6" t="s">
        <v>15</v>
      </c>
      <c r="C173" s="7">
        <v>112589</v>
      </c>
      <c r="D173" s="9" t="s">
        <v>16</v>
      </c>
      <c r="E173" s="8"/>
    </row>
    <row r="174" spans="1:5" ht="12.75" customHeight="1" x14ac:dyDescent="0.2">
      <c r="A174" s="6" t="s">
        <v>123</v>
      </c>
      <c r="B174" s="6" t="s">
        <v>32</v>
      </c>
      <c r="C174" s="7">
        <v>112591</v>
      </c>
      <c r="D174" s="9" t="s">
        <v>16</v>
      </c>
      <c r="E174" s="8"/>
    </row>
    <row r="175" spans="1:5" ht="12.75" customHeight="1" x14ac:dyDescent="0.2">
      <c r="A175" s="6" t="s">
        <v>124</v>
      </c>
      <c r="B175" s="6" t="s">
        <v>32</v>
      </c>
      <c r="C175" s="7">
        <v>112592</v>
      </c>
      <c r="D175" s="9" t="s">
        <v>16</v>
      </c>
      <c r="E175" s="8"/>
    </row>
    <row r="176" spans="1:5" ht="12.75" customHeight="1" x14ac:dyDescent="0.2">
      <c r="A176" s="6" t="s">
        <v>125</v>
      </c>
      <c r="B176" s="6" t="s">
        <v>32</v>
      </c>
      <c r="C176" s="7">
        <v>112593</v>
      </c>
      <c r="D176" s="9" t="s">
        <v>16</v>
      </c>
      <c r="E176" s="8"/>
    </row>
    <row r="177" spans="1:5" ht="12.75" customHeight="1" x14ac:dyDescent="0.2">
      <c r="A177" s="6" t="s">
        <v>126</v>
      </c>
      <c r="B177" s="6" t="s">
        <v>32</v>
      </c>
      <c r="C177" s="7">
        <v>112594</v>
      </c>
      <c r="D177" s="9" t="s">
        <v>16</v>
      </c>
      <c r="E177" s="8"/>
    </row>
    <row r="178" spans="1:5" ht="12.75" customHeight="1" x14ac:dyDescent="0.2">
      <c r="A178" s="6" t="s">
        <v>123</v>
      </c>
      <c r="B178" s="6" t="s">
        <v>15</v>
      </c>
      <c r="C178" s="7">
        <v>112595</v>
      </c>
      <c r="D178" s="9" t="s">
        <v>16</v>
      </c>
      <c r="E178" s="8"/>
    </row>
    <row r="179" spans="1:5" ht="12.75" customHeight="1" x14ac:dyDescent="0.2">
      <c r="A179" s="6" t="s">
        <v>121</v>
      </c>
      <c r="B179" s="6" t="s">
        <v>32</v>
      </c>
      <c r="C179" s="7">
        <v>112601</v>
      </c>
      <c r="D179" s="9" t="s">
        <v>16</v>
      </c>
      <c r="E179" s="8"/>
    </row>
    <row r="180" spans="1:5" ht="12.75" customHeight="1" x14ac:dyDescent="0.2">
      <c r="A180" s="6" t="s">
        <v>122</v>
      </c>
      <c r="B180" s="6" t="s">
        <v>32</v>
      </c>
      <c r="C180" s="7">
        <v>112602</v>
      </c>
      <c r="D180" s="9" t="s">
        <v>16</v>
      </c>
      <c r="E180" s="8"/>
    </row>
    <row r="181" spans="1:5" ht="12.75" customHeight="1" x14ac:dyDescent="0.2">
      <c r="A181" s="6" t="s">
        <v>127</v>
      </c>
      <c r="B181" s="6" t="s">
        <v>15</v>
      </c>
      <c r="C181" s="7">
        <v>112604</v>
      </c>
      <c r="D181" s="9" t="s">
        <v>16</v>
      </c>
      <c r="E181" s="8"/>
    </row>
    <row r="182" spans="1:5" ht="12.75" customHeight="1" x14ac:dyDescent="0.2">
      <c r="A182" s="6" t="s">
        <v>128</v>
      </c>
      <c r="B182" s="6" t="s">
        <v>15</v>
      </c>
      <c r="C182" s="7">
        <v>112605</v>
      </c>
      <c r="D182" s="9" t="s">
        <v>16</v>
      </c>
      <c r="E182" s="8"/>
    </row>
    <row r="183" spans="1:5" ht="12.75" customHeight="1" x14ac:dyDescent="0.2">
      <c r="A183" s="6" t="s">
        <v>129</v>
      </c>
      <c r="B183" s="6" t="s">
        <v>15</v>
      </c>
      <c r="C183" s="7">
        <v>112606</v>
      </c>
      <c r="D183" s="9" t="s">
        <v>16</v>
      </c>
      <c r="E183" s="8"/>
    </row>
    <row r="184" spans="1:5" ht="12.75" customHeight="1" x14ac:dyDescent="0.2">
      <c r="A184" s="6" t="s">
        <v>130</v>
      </c>
      <c r="B184" s="6" t="s">
        <v>15</v>
      </c>
      <c r="C184" s="7">
        <v>112607</v>
      </c>
      <c r="D184" s="9" t="s">
        <v>16</v>
      </c>
      <c r="E184" s="8"/>
    </row>
    <row r="185" spans="1:5" ht="12.75" customHeight="1" x14ac:dyDescent="0.2">
      <c r="A185" s="6" t="s">
        <v>131</v>
      </c>
      <c r="B185" s="6" t="s">
        <v>15</v>
      </c>
      <c r="C185" s="7">
        <v>112608</v>
      </c>
      <c r="D185" s="9" t="s">
        <v>16</v>
      </c>
      <c r="E185" s="8"/>
    </row>
    <row r="186" spans="1:5" ht="12.75" customHeight="1" x14ac:dyDescent="0.2">
      <c r="A186" s="6" t="s">
        <v>128</v>
      </c>
      <c r="B186" s="6" t="s">
        <v>32</v>
      </c>
      <c r="C186" s="7">
        <v>112609</v>
      </c>
      <c r="D186" s="9" t="s">
        <v>16</v>
      </c>
      <c r="E186" s="8"/>
    </row>
    <row r="187" spans="1:5" ht="12.75" customHeight="1" x14ac:dyDescent="0.2">
      <c r="A187" s="6" t="s">
        <v>132</v>
      </c>
      <c r="B187" s="6" t="s">
        <v>15</v>
      </c>
      <c r="C187" s="7">
        <v>112612</v>
      </c>
      <c r="D187" s="9" t="s">
        <v>16</v>
      </c>
      <c r="E187" s="8"/>
    </row>
    <row r="188" spans="1:5" ht="12.75" customHeight="1" x14ac:dyDescent="0.2">
      <c r="A188" s="6" t="s">
        <v>127</v>
      </c>
      <c r="B188" s="6" t="s">
        <v>32</v>
      </c>
      <c r="C188" s="7">
        <v>112622</v>
      </c>
      <c r="D188" s="9" t="s">
        <v>16</v>
      </c>
      <c r="E188" s="8"/>
    </row>
    <row r="189" spans="1:5" ht="12.75" customHeight="1" x14ac:dyDescent="0.2">
      <c r="A189" s="6" t="s">
        <v>129</v>
      </c>
      <c r="B189" s="6" t="s">
        <v>32</v>
      </c>
      <c r="C189" s="7">
        <v>112623</v>
      </c>
      <c r="D189" s="9" t="s">
        <v>16</v>
      </c>
      <c r="E189" s="8"/>
    </row>
    <row r="190" spans="1:5" ht="12.75" customHeight="1" x14ac:dyDescent="0.2">
      <c r="A190" s="6" t="s">
        <v>130</v>
      </c>
      <c r="B190" s="6" t="s">
        <v>32</v>
      </c>
      <c r="C190" s="7">
        <v>112624</v>
      </c>
      <c r="D190" s="9" t="s">
        <v>16</v>
      </c>
      <c r="E190" s="8"/>
    </row>
    <row r="191" spans="1:5" ht="12.75" customHeight="1" x14ac:dyDescent="0.2">
      <c r="A191" s="6" t="s">
        <v>131</v>
      </c>
      <c r="B191" s="6" t="s">
        <v>32</v>
      </c>
      <c r="C191" s="7">
        <v>112625</v>
      </c>
      <c r="D191" s="9" t="s">
        <v>16</v>
      </c>
      <c r="E191" s="8"/>
    </row>
    <row r="192" spans="1:5" ht="12.75" customHeight="1" x14ac:dyDescent="0.2">
      <c r="A192" s="6" t="s">
        <v>133</v>
      </c>
      <c r="B192" s="6" t="s">
        <v>32</v>
      </c>
      <c r="C192" s="7">
        <v>112633</v>
      </c>
      <c r="D192" s="9" t="s">
        <v>16</v>
      </c>
      <c r="E192" s="8"/>
    </row>
    <row r="193" spans="1:5" ht="12.75" customHeight="1" x14ac:dyDescent="0.2">
      <c r="A193" s="6" t="s">
        <v>134</v>
      </c>
      <c r="B193" s="6" t="s">
        <v>32</v>
      </c>
      <c r="C193" s="7">
        <v>112640</v>
      </c>
      <c r="D193" s="9" t="s">
        <v>16</v>
      </c>
      <c r="E193" s="8"/>
    </row>
    <row r="194" spans="1:5" ht="12.75" customHeight="1" x14ac:dyDescent="0.2">
      <c r="A194" s="6" t="s">
        <v>135</v>
      </c>
      <c r="B194" s="6" t="s">
        <v>15</v>
      </c>
      <c r="C194" s="7">
        <v>112669</v>
      </c>
      <c r="D194" s="9" t="s">
        <v>16</v>
      </c>
      <c r="E194" s="8"/>
    </row>
    <row r="195" spans="1:5" ht="12.75" customHeight="1" x14ac:dyDescent="0.2">
      <c r="A195" s="6" t="s">
        <v>60</v>
      </c>
      <c r="B195" s="6" t="s">
        <v>136</v>
      </c>
      <c r="C195" s="7">
        <v>112703</v>
      </c>
      <c r="D195" s="9" t="s">
        <v>16</v>
      </c>
      <c r="E195" s="8"/>
    </row>
    <row r="196" spans="1:5" ht="12.75" customHeight="1" x14ac:dyDescent="0.2">
      <c r="A196" s="6" t="s">
        <v>61</v>
      </c>
      <c r="B196" s="6" t="s">
        <v>136</v>
      </c>
      <c r="C196" s="7">
        <v>112704</v>
      </c>
      <c r="D196" s="9" t="s">
        <v>16</v>
      </c>
      <c r="E196" s="8"/>
    </row>
    <row r="197" spans="1:5" ht="12.75" customHeight="1" x14ac:dyDescent="0.2">
      <c r="A197" s="6" t="s">
        <v>62</v>
      </c>
      <c r="B197" s="6" t="s">
        <v>136</v>
      </c>
      <c r="C197" s="7">
        <v>112705</v>
      </c>
      <c r="D197" s="9" t="s">
        <v>16</v>
      </c>
      <c r="E197" s="8"/>
    </row>
    <row r="198" spans="1:5" ht="12.75" customHeight="1" x14ac:dyDescent="0.2">
      <c r="A198" s="6" t="s">
        <v>102</v>
      </c>
      <c r="B198" s="6" t="s">
        <v>32</v>
      </c>
      <c r="C198" s="7">
        <v>112718</v>
      </c>
      <c r="D198" s="9" t="s">
        <v>16</v>
      </c>
      <c r="E198" s="8"/>
    </row>
    <row r="199" spans="1:5" ht="12.75" customHeight="1" x14ac:dyDescent="0.2">
      <c r="A199" s="6" t="s">
        <v>98</v>
      </c>
      <c r="B199" s="6" t="s">
        <v>136</v>
      </c>
      <c r="C199" s="7">
        <v>112720</v>
      </c>
      <c r="D199" s="9" t="s">
        <v>16</v>
      </c>
      <c r="E199" s="8"/>
    </row>
    <row r="200" spans="1:5" ht="12.75" customHeight="1" x14ac:dyDescent="0.2">
      <c r="A200" s="6" t="s">
        <v>23</v>
      </c>
      <c r="B200" s="6" t="s">
        <v>18</v>
      </c>
      <c r="C200" s="7">
        <v>112826</v>
      </c>
      <c r="D200" s="9" t="s">
        <v>16</v>
      </c>
      <c r="E200" s="8"/>
    </row>
    <row r="201" spans="1:5" ht="12.75" customHeight="1" x14ac:dyDescent="0.2">
      <c r="A201" s="6" t="s">
        <v>137</v>
      </c>
      <c r="B201" s="6" t="s">
        <v>6</v>
      </c>
      <c r="C201" s="7">
        <v>113453</v>
      </c>
      <c r="D201" s="9" t="s">
        <v>16</v>
      </c>
      <c r="E201" s="8"/>
    </row>
    <row r="202" spans="1:5" ht="12.75" customHeight="1" x14ac:dyDescent="0.2">
      <c r="A202" s="6" t="s">
        <v>104</v>
      </c>
      <c r="B202" s="6" t="s">
        <v>15</v>
      </c>
      <c r="C202" s="7">
        <v>114364</v>
      </c>
      <c r="D202" s="9" t="s">
        <v>16</v>
      </c>
      <c r="E202" s="8"/>
    </row>
    <row r="203" spans="1:5" ht="12.75" customHeight="1" x14ac:dyDescent="0.2">
      <c r="A203" s="6" t="s">
        <v>34</v>
      </c>
      <c r="B203" s="6" t="s">
        <v>6</v>
      </c>
      <c r="C203" s="7">
        <v>114531</v>
      </c>
      <c r="D203" s="9" t="s">
        <v>16</v>
      </c>
      <c r="E203" s="8"/>
    </row>
    <row r="204" spans="1:5" ht="12.75" customHeight="1" x14ac:dyDescent="0.2">
      <c r="A204" s="6" t="s">
        <v>138</v>
      </c>
      <c r="B204" s="6" t="s">
        <v>32</v>
      </c>
      <c r="C204" s="7">
        <v>114732</v>
      </c>
      <c r="D204" s="9" t="s">
        <v>16</v>
      </c>
      <c r="E204" s="8"/>
    </row>
    <row r="205" spans="1:5" ht="12.75" customHeight="1" x14ac:dyDescent="0.2">
      <c r="A205" s="6" t="s">
        <v>66</v>
      </c>
      <c r="B205" s="6" t="s">
        <v>32</v>
      </c>
      <c r="C205" s="7">
        <v>114742</v>
      </c>
      <c r="D205" s="9" t="s">
        <v>16</v>
      </c>
      <c r="E205" s="8"/>
    </row>
    <row r="206" spans="1:5" ht="12.75" customHeight="1" x14ac:dyDescent="0.2">
      <c r="A206" s="6" t="s">
        <v>139</v>
      </c>
      <c r="B206" s="6" t="s">
        <v>15</v>
      </c>
      <c r="C206" s="7">
        <v>115803</v>
      </c>
      <c r="D206" s="9" t="s">
        <v>16</v>
      </c>
      <c r="E206" s="8"/>
    </row>
    <row r="207" spans="1:5" ht="12.75" customHeight="1" x14ac:dyDescent="0.2">
      <c r="A207" s="6" t="s">
        <v>139</v>
      </c>
      <c r="B207" s="6" t="s">
        <v>32</v>
      </c>
      <c r="C207" s="7">
        <v>115806</v>
      </c>
      <c r="D207" s="9" t="s">
        <v>16</v>
      </c>
      <c r="E207" s="8"/>
    </row>
    <row r="208" spans="1:5" ht="12.75" customHeight="1" x14ac:dyDescent="0.2">
      <c r="A208" s="6" t="s">
        <v>82</v>
      </c>
      <c r="B208" s="6" t="s">
        <v>32</v>
      </c>
      <c r="C208" s="7">
        <v>119494</v>
      </c>
      <c r="D208" s="9" t="s">
        <v>16</v>
      </c>
      <c r="E208" s="8"/>
    </row>
    <row r="209" spans="1:5" ht="12.75" customHeight="1" x14ac:dyDescent="0.2">
      <c r="A209" s="6" t="s">
        <v>140</v>
      </c>
      <c r="B209" s="6" t="s">
        <v>15</v>
      </c>
      <c r="C209" s="7">
        <v>119663</v>
      </c>
      <c r="D209" s="9" t="s">
        <v>16</v>
      </c>
      <c r="E209" s="8"/>
    </row>
    <row r="210" spans="1:5" ht="12.75" customHeight="1" x14ac:dyDescent="0.2">
      <c r="A210" s="6" t="s">
        <v>135</v>
      </c>
      <c r="B210" s="6" t="s">
        <v>32</v>
      </c>
      <c r="C210" s="7">
        <v>120602</v>
      </c>
      <c r="D210" s="9" t="s">
        <v>16</v>
      </c>
      <c r="E210" s="8"/>
    </row>
    <row r="211" spans="1:5" ht="12.75" customHeight="1" x14ac:dyDescent="0.2">
      <c r="A211" s="6" t="s">
        <v>141</v>
      </c>
      <c r="B211" s="6" t="s">
        <v>15</v>
      </c>
      <c r="C211" s="7">
        <v>120612</v>
      </c>
      <c r="D211" s="9" t="s">
        <v>16</v>
      </c>
      <c r="E211" s="8"/>
    </row>
    <row r="212" spans="1:5" ht="12.75" customHeight="1" x14ac:dyDescent="0.2">
      <c r="A212" s="6" t="s">
        <v>120</v>
      </c>
      <c r="B212" s="6" t="s">
        <v>15</v>
      </c>
      <c r="C212" s="7">
        <v>120615</v>
      </c>
      <c r="D212" s="9" t="s">
        <v>16</v>
      </c>
      <c r="E212" s="8"/>
    </row>
    <row r="213" spans="1:5" ht="12.75" customHeight="1" x14ac:dyDescent="0.2">
      <c r="A213" s="6" t="s">
        <v>118</v>
      </c>
      <c r="B213" s="6" t="s">
        <v>15</v>
      </c>
      <c r="C213" s="7">
        <v>120616</v>
      </c>
      <c r="D213" s="9" t="s">
        <v>16</v>
      </c>
      <c r="E213" s="8"/>
    </row>
    <row r="214" spans="1:5" ht="12.75" customHeight="1" x14ac:dyDescent="0.2">
      <c r="A214" s="6" t="s">
        <v>142</v>
      </c>
      <c r="B214" s="6" t="s">
        <v>15</v>
      </c>
      <c r="C214" s="7">
        <v>120658</v>
      </c>
      <c r="D214" s="9" t="s">
        <v>16</v>
      </c>
      <c r="E214" s="8"/>
    </row>
    <row r="215" spans="1:5" ht="12.75" customHeight="1" x14ac:dyDescent="0.2">
      <c r="A215" s="6" t="s">
        <v>142</v>
      </c>
      <c r="B215" s="6" t="s">
        <v>32</v>
      </c>
      <c r="C215" s="7">
        <v>120659</v>
      </c>
      <c r="D215" s="9" t="s">
        <v>16</v>
      </c>
      <c r="E215" s="8"/>
    </row>
    <row r="216" spans="1:5" ht="12.75" customHeight="1" x14ac:dyDescent="0.2">
      <c r="A216" s="6" t="s">
        <v>143</v>
      </c>
      <c r="B216" s="6" t="s">
        <v>15</v>
      </c>
      <c r="C216" s="7">
        <v>120661</v>
      </c>
      <c r="D216" s="9" t="s">
        <v>16</v>
      </c>
      <c r="E216" s="8"/>
    </row>
    <row r="217" spans="1:5" ht="12.75" customHeight="1" x14ac:dyDescent="0.2">
      <c r="A217" s="6" t="s">
        <v>144</v>
      </c>
      <c r="B217" s="6" t="s">
        <v>15</v>
      </c>
      <c r="C217" s="7">
        <v>120790</v>
      </c>
      <c r="D217" s="9" t="s">
        <v>16</v>
      </c>
      <c r="E217" s="8"/>
    </row>
    <row r="218" spans="1:5" ht="12.75" customHeight="1" x14ac:dyDescent="0.2">
      <c r="A218" s="6" t="s">
        <v>133</v>
      </c>
      <c r="B218" s="6" t="s">
        <v>15</v>
      </c>
      <c r="C218" s="7">
        <v>121890</v>
      </c>
      <c r="D218" s="9" t="s">
        <v>16</v>
      </c>
      <c r="E218" s="8"/>
    </row>
    <row r="219" spans="1:5" ht="12.75" customHeight="1" x14ac:dyDescent="0.2">
      <c r="A219" s="6" t="s">
        <v>5</v>
      </c>
      <c r="B219" s="6" t="s">
        <v>15</v>
      </c>
      <c r="C219" s="7">
        <v>123828</v>
      </c>
      <c r="D219" s="9" t="s">
        <v>7</v>
      </c>
      <c r="E219" s="8"/>
    </row>
    <row r="220" spans="1:5" ht="12.75" customHeight="1" x14ac:dyDescent="0.2">
      <c r="A220" s="6" t="s">
        <v>13</v>
      </c>
      <c r="B220" s="6" t="s">
        <v>15</v>
      </c>
      <c r="C220" s="7">
        <v>123959</v>
      </c>
      <c r="D220" s="9" t="s">
        <v>7</v>
      </c>
      <c r="E220" s="8"/>
    </row>
    <row r="221" spans="1:5" ht="12.75" customHeight="1" x14ac:dyDescent="0.2">
      <c r="A221" s="6" t="s">
        <v>145</v>
      </c>
      <c r="B221" s="6" t="s">
        <v>15</v>
      </c>
      <c r="C221" s="7">
        <v>124540</v>
      </c>
      <c r="D221" s="9" t="s">
        <v>16</v>
      </c>
      <c r="E221" s="8"/>
    </row>
    <row r="222" spans="1:5" ht="12.75" customHeight="1" x14ac:dyDescent="0.2">
      <c r="A222" s="6" t="s">
        <v>146</v>
      </c>
      <c r="B222" s="6" t="s">
        <v>15</v>
      </c>
      <c r="C222" s="7">
        <v>124542</v>
      </c>
      <c r="D222" s="9" t="s">
        <v>16</v>
      </c>
      <c r="E222" s="8"/>
    </row>
    <row r="223" spans="1:5" ht="12.75" customHeight="1" x14ac:dyDescent="0.2">
      <c r="A223" s="6" t="s">
        <v>9</v>
      </c>
      <c r="B223" s="6" t="s">
        <v>15</v>
      </c>
      <c r="C223" s="7">
        <v>124786</v>
      </c>
      <c r="D223" s="9" t="s">
        <v>7</v>
      </c>
      <c r="E223" s="8"/>
    </row>
    <row r="224" spans="1:5" ht="12.75" customHeight="1" x14ac:dyDescent="0.2">
      <c r="A224" s="6" t="s">
        <v>145</v>
      </c>
      <c r="B224" s="6" t="s">
        <v>32</v>
      </c>
      <c r="C224" s="7">
        <v>125883</v>
      </c>
      <c r="D224" s="9" t="s">
        <v>16</v>
      </c>
      <c r="E224" s="8"/>
    </row>
    <row r="225" spans="1:5" ht="12.75" customHeight="1" x14ac:dyDescent="0.2">
      <c r="A225" s="6" t="s">
        <v>146</v>
      </c>
      <c r="B225" s="6" t="s">
        <v>32</v>
      </c>
      <c r="C225" s="7">
        <v>125884</v>
      </c>
      <c r="D225" s="9" t="s">
        <v>16</v>
      </c>
      <c r="E225" s="8"/>
    </row>
    <row r="226" spans="1:5" ht="12.75" customHeight="1" x14ac:dyDescent="0.2">
      <c r="A226" s="6" t="s">
        <v>147</v>
      </c>
      <c r="B226" s="6" t="s">
        <v>15</v>
      </c>
      <c r="C226" s="7">
        <v>126428</v>
      </c>
      <c r="D226" s="9" t="s">
        <v>16</v>
      </c>
      <c r="E226" s="8"/>
    </row>
    <row r="227" spans="1:5" ht="12.75" customHeight="1" x14ac:dyDescent="0.2">
      <c r="A227" s="6" t="s">
        <v>147</v>
      </c>
      <c r="B227" s="6" t="s">
        <v>32</v>
      </c>
      <c r="C227" s="7">
        <v>126429</v>
      </c>
      <c r="D227" s="9" t="s">
        <v>16</v>
      </c>
      <c r="E227" s="8"/>
    </row>
    <row r="228" spans="1:5" ht="12.75" customHeight="1" x14ac:dyDescent="0.2">
      <c r="A228" s="6" t="s">
        <v>124</v>
      </c>
      <c r="B228" s="6" t="s">
        <v>15</v>
      </c>
      <c r="C228" s="7">
        <v>126851</v>
      </c>
      <c r="D228" s="9" t="s">
        <v>16</v>
      </c>
      <c r="E228" s="8"/>
    </row>
    <row r="229" spans="1:5" ht="12.75" customHeight="1" x14ac:dyDescent="0.2">
      <c r="A229" s="6" t="s">
        <v>148</v>
      </c>
      <c r="B229" s="6" t="s">
        <v>15</v>
      </c>
      <c r="C229" s="7">
        <v>127480</v>
      </c>
      <c r="D229" s="9" t="s">
        <v>16</v>
      </c>
      <c r="E229" s="8"/>
    </row>
    <row r="230" spans="1:5" ht="12.75" customHeight="1" x14ac:dyDescent="0.2">
      <c r="A230" s="6" t="s">
        <v>12</v>
      </c>
      <c r="B230" s="6" t="s">
        <v>32</v>
      </c>
      <c r="C230" s="7">
        <v>127702</v>
      </c>
      <c r="D230" s="9" t="s">
        <v>7</v>
      </c>
      <c r="E230" s="8"/>
    </row>
    <row r="231" spans="1:5" ht="12.75" customHeight="1" x14ac:dyDescent="0.2">
      <c r="A231" s="6" t="s">
        <v>149</v>
      </c>
      <c r="B231" s="6" t="s">
        <v>32</v>
      </c>
      <c r="C231" s="7">
        <v>127775</v>
      </c>
      <c r="D231" s="9" t="s">
        <v>7</v>
      </c>
      <c r="E231" s="8"/>
    </row>
    <row r="232" spans="1:5" ht="12.75" customHeight="1" x14ac:dyDescent="0.2">
      <c r="A232" s="6" t="s">
        <v>150</v>
      </c>
      <c r="B232" s="6" t="s">
        <v>32</v>
      </c>
      <c r="C232" s="7">
        <v>127853</v>
      </c>
      <c r="D232" s="9" t="s">
        <v>7</v>
      </c>
      <c r="E232" s="8"/>
    </row>
    <row r="233" spans="1:5" ht="12.75" customHeight="1" x14ac:dyDescent="0.2">
      <c r="A233" s="6" t="s">
        <v>8</v>
      </c>
      <c r="B233" s="6" t="s">
        <v>32</v>
      </c>
      <c r="C233" s="7">
        <v>127854</v>
      </c>
      <c r="D233" s="9" t="s">
        <v>7</v>
      </c>
      <c r="E233" s="8"/>
    </row>
    <row r="234" spans="1:5" ht="12.75" customHeight="1" x14ac:dyDescent="0.2">
      <c r="A234" s="6" t="s">
        <v>151</v>
      </c>
      <c r="B234" s="6" t="s">
        <v>32</v>
      </c>
      <c r="C234" s="7">
        <v>127860</v>
      </c>
      <c r="D234" s="9" t="s">
        <v>7</v>
      </c>
      <c r="E234" s="8"/>
    </row>
    <row r="235" spans="1:5" ht="12.75" customHeight="1" x14ac:dyDescent="0.2">
      <c r="A235" s="6" t="s">
        <v>152</v>
      </c>
      <c r="B235" s="6" t="s">
        <v>6</v>
      </c>
      <c r="C235" s="7">
        <v>127911</v>
      </c>
      <c r="D235" s="9" t="s">
        <v>16</v>
      </c>
      <c r="E235" s="8"/>
    </row>
    <row r="236" spans="1:5" ht="12.75" customHeight="1" x14ac:dyDescent="0.2">
      <c r="A236" s="6" t="s">
        <v>153</v>
      </c>
      <c r="B236" s="6" t="s">
        <v>15</v>
      </c>
      <c r="C236" s="7">
        <v>128321</v>
      </c>
      <c r="D236" s="9" t="s">
        <v>16</v>
      </c>
      <c r="E236" s="8"/>
    </row>
    <row r="237" spans="1:5" ht="12.75" customHeight="1" x14ac:dyDescent="0.2">
      <c r="A237" s="6" t="s">
        <v>153</v>
      </c>
      <c r="B237" s="6" t="s">
        <v>32</v>
      </c>
      <c r="C237" s="7">
        <v>128788</v>
      </c>
      <c r="D237" s="9" t="s">
        <v>16</v>
      </c>
      <c r="E237" s="8"/>
    </row>
    <row r="238" spans="1:5" ht="12.75" customHeight="1" x14ac:dyDescent="0.2">
      <c r="A238" s="6" t="s">
        <v>153</v>
      </c>
      <c r="B238" s="6" t="s">
        <v>6</v>
      </c>
      <c r="C238" s="7">
        <v>129076</v>
      </c>
      <c r="D238" s="9" t="s">
        <v>16</v>
      </c>
      <c r="E238" s="8"/>
    </row>
    <row r="239" spans="1:5" ht="12.75" customHeight="1" x14ac:dyDescent="0.2">
      <c r="A239" s="6" t="s">
        <v>24</v>
      </c>
      <c r="B239" s="6" t="s">
        <v>22</v>
      </c>
      <c r="C239" s="7">
        <v>130013</v>
      </c>
      <c r="D239" s="9" t="s">
        <v>16</v>
      </c>
      <c r="E239" s="8"/>
    </row>
    <row r="240" spans="1:5" ht="12.75" customHeight="1" x14ac:dyDescent="0.2">
      <c r="A240" s="6" t="s">
        <v>5</v>
      </c>
      <c r="B240" s="6" t="s">
        <v>32</v>
      </c>
      <c r="C240" s="7">
        <v>130088</v>
      </c>
      <c r="D240" s="9" t="s">
        <v>7</v>
      </c>
      <c r="E240" s="8"/>
    </row>
    <row r="241" spans="1:5" ht="12.75" customHeight="1" x14ac:dyDescent="0.2">
      <c r="A241" s="6" t="s">
        <v>13</v>
      </c>
      <c r="B241" s="6" t="s">
        <v>32</v>
      </c>
      <c r="C241" s="7">
        <v>130089</v>
      </c>
      <c r="D241" s="9" t="s">
        <v>7</v>
      </c>
      <c r="E241" s="8"/>
    </row>
    <row r="242" spans="1:5" ht="12.75" customHeight="1" x14ac:dyDescent="0.2">
      <c r="A242" s="6" t="s">
        <v>73</v>
      </c>
      <c r="B242" s="6" t="s">
        <v>6</v>
      </c>
      <c r="C242" s="7">
        <v>132352</v>
      </c>
      <c r="D242" s="9" t="s">
        <v>16</v>
      </c>
      <c r="E242" s="8"/>
    </row>
    <row r="243" spans="1:5" ht="12.75" customHeight="1" x14ac:dyDescent="0.2">
      <c r="A243" s="6" t="s">
        <v>70</v>
      </c>
      <c r="B243" s="6" t="s">
        <v>6</v>
      </c>
      <c r="C243" s="7">
        <v>132353</v>
      </c>
      <c r="D243" s="9" t="s">
        <v>16</v>
      </c>
      <c r="E243" s="8"/>
    </row>
    <row r="244" spans="1:5" ht="12.75" customHeight="1" x14ac:dyDescent="0.2">
      <c r="A244" s="6" t="s">
        <v>70</v>
      </c>
      <c r="B244" s="6" t="s">
        <v>32</v>
      </c>
      <c r="C244" s="7">
        <v>132354</v>
      </c>
      <c r="D244" s="9" t="s">
        <v>16</v>
      </c>
      <c r="E244" s="8"/>
    </row>
    <row r="245" spans="1:5" ht="12.75" customHeight="1" x14ac:dyDescent="0.2">
      <c r="A245" s="6" t="s">
        <v>25</v>
      </c>
      <c r="B245" s="6" t="s">
        <v>22</v>
      </c>
      <c r="C245" s="7">
        <v>132406</v>
      </c>
      <c r="D245" s="9" t="s">
        <v>16</v>
      </c>
      <c r="E245" s="8"/>
    </row>
    <row r="246" spans="1:5" ht="12.75" customHeight="1" x14ac:dyDescent="0.2">
      <c r="A246" s="6" t="s">
        <v>9</v>
      </c>
      <c r="B246" s="6" t="s">
        <v>32</v>
      </c>
      <c r="C246" s="7">
        <v>132617</v>
      </c>
      <c r="D246" s="9" t="s">
        <v>7</v>
      </c>
      <c r="E246" s="8"/>
    </row>
    <row r="247" spans="1:5" ht="12.75" customHeight="1" x14ac:dyDescent="0.2">
      <c r="A247" s="6" t="s">
        <v>154</v>
      </c>
      <c r="B247" s="6" t="s">
        <v>32</v>
      </c>
      <c r="C247" s="7">
        <v>133343</v>
      </c>
      <c r="D247" s="9" t="s">
        <v>7</v>
      </c>
      <c r="E247" s="8"/>
    </row>
    <row r="248" spans="1:5" ht="12.75" customHeight="1" x14ac:dyDescent="0.2">
      <c r="A248" s="6" t="s">
        <v>155</v>
      </c>
      <c r="B248" s="6" t="s">
        <v>15</v>
      </c>
      <c r="C248" s="7">
        <v>133623</v>
      </c>
      <c r="D248" s="9" t="s">
        <v>16</v>
      </c>
      <c r="E248" s="8"/>
    </row>
    <row r="249" spans="1:5" ht="12.75" customHeight="1" x14ac:dyDescent="0.2">
      <c r="A249" s="6" t="s">
        <v>89</v>
      </c>
      <c r="B249" s="6" t="s">
        <v>32</v>
      </c>
      <c r="C249" s="7">
        <v>133903</v>
      </c>
      <c r="D249" s="9" t="s">
        <v>16</v>
      </c>
      <c r="E249" s="8"/>
    </row>
    <row r="250" spans="1:5" ht="12.75" customHeight="1" x14ac:dyDescent="0.2">
      <c r="A250" s="6" t="s">
        <v>156</v>
      </c>
      <c r="B250" s="6" t="s">
        <v>157</v>
      </c>
      <c r="C250" s="7">
        <v>134020</v>
      </c>
      <c r="D250" s="9" t="s">
        <v>16</v>
      </c>
      <c r="E250" s="8"/>
    </row>
    <row r="251" spans="1:5" ht="12.75" customHeight="1" x14ac:dyDescent="0.2">
      <c r="A251" s="6" t="s">
        <v>156</v>
      </c>
      <c r="B251" s="6" t="s">
        <v>158</v>
      </c>
      <c r="C251" s="7">
        <v>134023</v>
      </c>
      <c r="D251" s="9" t="s">
        <v>16</v>
      </c>
      <c r="E251" s="8"/>
    </row>
    <row r="252" spans="1:5" ht="12.75" customHeight="1" x14ac:dyDescent="0.2">
      <c r="A252" s="6" t="s">
        <v>159</v>
      </c>
      <c r="B252" s="6" t="s">
        <v>158</v>
      </c>
      <c r="C252" s="7">
        <v>134024</v>
      </c>
      <c r="D252" s="9" t="s">
        <v>16</v>
      </c>
      <c r="E252" s="8"/>
    </row>
    <row r="253" spans="1:5" ht="12.75" customHeight="1" x14ac:dyDescent="0.2">
      <c r="A253" s="6" t="s">
        <v>160</v>
      </c>
      <c r="B253" s="6" t="s">
        <v>15</v>
      </c>
      <c r="C253" s="7">
        <v>134130</v>
      </c>
      <c r="D253" s="9" t="s">
        <v>16</v>
      </c>
      <c r="E253" s="8"/>
    </row>
    <row r="254" spans="1:5" ht="12.75" customHeight="1" x14ac:dyDescent="0.2">
      <c r="A254" s="6" t="s">
        <v>137</v>
      </c>
      <c r="B254" s="6" t="s">
        <v>136</v>
      </c>
      <c r="C254" s="7">
        <v>134333</v>
      </c>
      <c r="D254" s="9" t="s">
        <v>16</v>
      </c>
      <c r="E254" s="8"/>
    </row>
    <row r="255" spans="1:5" ht="12.75" customHeight="1" x14ac:dyDescent="0.2">
      <c r="A255" s="6" t="s">
        <v>161</v>
      </c>
      <c r="B255" s="6" t="s">
        <v>18</v>
      </c>
      <c r="C255" s="7">
        <v>140000</v>
      </c>
      <c r="D255" s="9" t="s">
        <v>7</v>
      </c>
      <c r="E255" s="8"/>
    </row>
    <row r="256" spans="1:5" ht="12.75" customHeight="1" x14ac:dyDescent="0.2">
      <c r="A256" s="6" t="s">
        <v>161</v>
      </c>
      <c r="B256" s="6" t="s">
        <v>19</v>
      </c>
      <c r="C256" s="7">
        <v>140003</v>
      </c>
      <c r="D256" s="9" t="s">
        <v>7</v>
      </c>
      <c r="E256" s="8"/>
    </row>
    <row r="257" spans="1:5" ht="12.75" customHeight="1" x14ac:dyDescent="0.2">
      <c r="A257" s="6" t="s">
        <v>161</v>
      </c>
      <c r="B257" s="6" t="s">
        <v>11</v>
      </c>
      <c r="C257" s="7">
        <v>140007</v>
      </c>
      <c r="D257" s="9" t="s">
        <v>7</v>
      </c>
      <c r="E257" s="8"/>
    </row>
    <row r="258" spans="1:5" ht="12.75" customHeight="1" x14ac:dyDescent="0.2">
      <c r="A258" s="6" t="s">
        <v>162</v>
      </c>
      <c r="B258" s="6" t="s">
        <v>19</v>
      </c>
      <c r="C258" s="7">
        <v>140014</v>
      </c>
      <c r="D258" s="9" t="s">
        <v>7</v>
      </c>
      <c r="E258" s="8"/>
    </row>
    <row r="259" spans="1:5" ht="12.75" customHeight="1" x14ac:dyDescent="0.2">
      <c r="A259" s="6" t="s">
        <v>20</v>
      </c>
      <c r="B259" s="6" t="s">
        <v>19</v>
      </c>
      <c r="C259" s="7">
        <v>140053</v>
      </c>
      <c r="D259" s="9" t="s">
        <v>16</v>
      </c>
      <c r="E259" s="8"/>
    </row>
    <row r="260" spans="1:5" ht="12.75" customHeight="1" x14ac:dyDescent="0.2">
      <c r="A260" s="6" t="s">
        <v>163</v>
      </c>
      <c r="B260" s="6" t="s">
        <v>164</v>
      </c>
      <c r="C260" s="7">
        <v>140056</v>
      </c>
      <c r="D260" s="9" t="s">
        <v>16</v>
      </c>
      <c r="E260" s="8"/>
    </row>
    <row r="261" spans="1:5" ht="12.75" customHeight="1" x14ac:dyDescent="0.2">
      <c r="A261" s="6" t="s">
        <v>165</v>
      </c>
      <c r="B261" s="6" t="s">
        <v>18</v>
      </c>
      <c r="C261" s="7">
        <v>140060</v>
      </c>
      <c r="D261" s="9" t="s">
        <v>16</v>
      </c>
      <c r="E261" s="8"/>
    </row>
    <row r="262" spans="1:5" ht="12.75" customHeight="1" x14ac:dyDescent="0.2">
      <c r="A262" s="6" t="s">
        <v>165</v>
      </c>
      <c r="B262" s="6" t="s">
        <v>19</v>
      </c>
      <c r="C262" s="7">
        <v>140061</v>
      </c>
      <c r="D262" s="9" t="s">
        <v>16</v>
      </c>
      <c r="E262" s="8"/>
    </row>
    <row r="263" spans="1:5" ht="12.75" customHeight="1" x14ac:dyDescent="0.2">
      <c r="A263" s="6" t="s">
        <v>166</v>
      </c>
      <c r="B263" s="6" t="s">
        <v>167</v>
      </c>
      <c r="C263" s="7">
        <v>140064</v>
      </c>
      <c r="D263" s="9" t="s">
        <v>16</v>
      </c>
      <c r="E263" s="8"/>
    </row>
    <row r="264" spans="1:5" ht="12.75" customHeight="1" x14ac:dyDescent="0.2">
      <c r="A264" s="6" t="s">
        <v>21</v>
      </c>
      <c r="B264" s="6" t="s">
        <v>167</v>
      </c>
      <c r="C264" s="7">
        <v>140069</v>
      </c>
      <c r="D264" s="9" t="s">
        <v>16</v>
      </c>
      <c r="E264" s="8"/>
    </row>
    <row r="265" spans="1:5" ht="12.75" customHeight="1" x14ac:dyDescent="0.2">
      <c r="A265" s="6" t="s">
        <v>25</v>
      </c>
      <c r="B265" s="6" t="s">
        <v>167</v>
      </c>
      <c r="C265" s="7">
        <v>140070</v>
      </c>
      <c r="D265" s="9" t="s">
        <v>16</v>
      </c>
      <c r="E265" s="8"/>
    </row>
    <row r="266" spans="1:5" ht="12.75" customHeight="1" x14ac:dyDescent="0.2">
      <c r="A266" s="6" t="s">
        <v>17</v>
      </c>
      <c r="B266" s="6" t="s">
        <v>167</v>
      </c>
      <c r="C266" s="7">
        <v>140071</v>
      </c>
      <c r="D266" s="9" t="s">
        <v>16</v>
      </c>
      <c r="E266" s="8"/>
    </row>
    <row r="267" spans="1:5" ht="12.75" customHeight="1" x14ac:dyDescent="0.2">
      <c r="A267" s="6" t="s">
        <v>165</v>
      </c>
      <c r="B267" s="6" t="s">
        <v>167</v>
      </c>
      <c r="C267" s="7">
        <v>140072</v>
      </c>
      <c r="D267" s="9" t="s">
        <v>16</v>
      </c>
      <c r="E267" s="8"/>
    </row>
    <row r="268" spans="1:5" ht="12.75" customHeight="1" x14ac:dyDescent="0.2">
      <c r="A268" s="6" t="s">
        <v>78</v>
      </c>
      <c r="B268" s="6" t="s">
        <v>167</v>
      </c>
      <c r="C268" s="7">
        <v>140073</v>
      </c>
      <c r="D268" s="9" t="s">
        <v>16</v>
      </c>
      <c r="E268" s="8"/>
    </row>
    <row r="269" spans="1:5" ht="12.75" customHeight="1" x14ac:dyDescent="0.2">
      <c r="A269" s="6" t="s">
        <v>20</v>
      </c>
      <c r="B269" s="6" t="s">
        <v>167</v>
      </c>
      <c r="C269" s="7">
        <v>140074</v>
      </c>
      <c r="D269" s="9" t="s">
        <v>16</v>
      </c>
      <c r="E269" s="8"/>
    </row>
    <row r="270" spans="1:5" ht="12.75" customHeight="1" x14ac:dyDescent="0.2">
      <c r="A270" s="6" t="s">
        <v>23</v>
      </c>
      <c r="B270" s="6" t="s">
        <v>167</v>
      </c>
      <c r="C270" s="7">
        <v>140075</v>
      </c>
      <c r="D270" s="9" t="s">
        <v>16</v>
      </c>
      <c r="E270" s="8"/>
    </row>
    <row r="271" spans="1:5" ht="12.75" customHeight="1" x14ac:dyDescent="0.2">
      <c r="A271" s="6" t="s">
        <v>24</v>
      </c>
      <c r="B271" s="6" t="s">
        <v>167</v>
      </c>
      <c r="C271" s="7">
        <v>140076</v>
      </c>
      <c r="D271" s="9" t="s">
        <v>16</v>
      </c>
      <c r="E271" s="8"/>
    </row>
    <row r="272" spans="1:5" ht="12.75" customHeight="1" x14ac:dyDescent="0.2">
      <c r="A272" s="6" t="s">
        <v>168</v>
      </c>
      <c r="B272" s="6" t="s">
        <v>18</v>
      </c>
      <c r="C272" s="7">
        <v>140082</v>
      </c>
      <c r="D272" s="9" t="s">
        <v>16</v>
      </c>
      <c r="E272" s="8"/>
    </row>
    <row r="273" spans="1:5" ht="12.75" customHeight="1" x14ac:dyDescent="0.2">
      <c r="A273" s="6" t="s">
        <v>168</v>
      </c>
      <c r="B273" s="6" t="s">
        <v>19</v>
      </c>
      <c r="C273" s="7">
        <v>140083</v>
      </c>
      <c r="D273" s="9" t="s">
        <v>16</v>
      </c>
      <c r="E273" s="8"/>
    </row>
    <row r="274" spans="1:5" ht="12.75" customHeight="1" x14ac:dyDescent="0.2">
      <c r="A274" s="6" t="s">
        <v>166</v>
      </c>
      <c r="B274" s="6" t="s">
        <v>19</v>
      </c>
      <c r="C274" s="7">
        <v>140087</v>
      </c>
      <c r="D274" s="9" t="s">
        <v>16</v>
      </c>
      <c r="E274" s="8"/>
    </row>
    <row r="275" spans="1:5" ht="12.75" customHeight="1" x14ac:dyDescent="0.2">
      <c r="A275" s="6" t="s">
        <v>169</v>
      </c>
      <c r="B275" s="6" t="s">
        <v>170</v>
      </c>
      <c r="C275" s="7">
        <v>140089</v>
      </c>
      <c r="D275" s="9" t="s">
        <v>16</v>
      </c>
      <c r="E275" s="8"/>
    </row>
    <row r="276" spans="1:5" ht="12.75" customHeight="1" x14ac:dyDescent="0.2">
      <c r="A276" s="6" t="s">
        <v>78</v>
      </c>
      <c r="B276" s="6" t="s">
        <v>18</v>
      </c>
      <c r="C276" s="7">
        <v>140096</v>
      </c>
      <c r="D276" s="9" t="s">
        <v>16</v>
      </c>
      <c r="E276" s="8"/>
    </row>
    <row r="277" spans="1:5" ht="12.75" customHeight="1" x14ac:dyDescent="0.2">
      <c r="A277" s="6" t="s">
        <v>25</v>
      </c>
      <c r="B277" s="6" t="s">
        <v>18</v>
      </c>
      <c r="C277" s="7">
        <v>140106</v>
      </c>
      <c r="D277" s="9" t="s">
        <v>16</v>
      </c>
      <c r="E277" s="8"/>
    </row>
    <row r="278" spans="1:5" ht="12.75" customHeight="1" x14ac:dyDescent="0.2">
      <c r="A278" s="6" t="s">
        <v>162</v>
      </c>
      <c r="B278" s="6" t="s">
        <v>18</v>
      </c>
      <c r="C278" s="7">
        <v>140168</v>
      </c>
      <c r="D278" s="9" t="s">
        <v>7</v>
      </c>
      <c r="E278" s="8"/>
    </row>
    <row r="279" spans="1:5" ht="12.75" customHeight="1" x14ac:dyDescent="0.2">
      <c r="A279" s="6" t="s">
        <v>171</v>
      </c>
      <c r="B279" s="6" t="s">
        <v>19</v>
      </c>
      <c r="C279" s="7">
        <v>140189</v>
      </c>
      <c r="D279" s="9" t="s">
        <v>16</v>
      </c>
      <c r="E279" s="8"/>
    </row>
    <row r="280" spans="1:5" ht="12.75" customHeight="1" x14ac:dyDescent="0.2">
      <c r="A280" s="6" t="s">
        <v>171</v>
      </c>
      <c r="B280" s="6" t="s">
        <v>167</v>
      </c>
      <c r="C280" s="7">
        <v>140190</v>
      </c>
      <c r="D280" s="9" t="s">
        <v>16</v>
      </c>
      <c r="E280" s="8"/>
    </row>
    <row r="281" spans="1:5" ht="12.75" customHeight="1" x14ac:dyDescent="0.2">
      <c r="A281" s="6" t="s">
        <v>172</v>
      </c>
      <c r="B281" s="6" t="s">
        <v>18</v>
      </c>
      <c r="C281" s="7">
        <v>140191</v>
      </c>
      <c r="D281" s="9" t="s">
        <v>16</v>
      </c>
      <c r="E281" s="8"/>
    </row>
    <row r="282" spans="1:5" ht="12.75" customHeight="1" x14ac:dyDescent="0.2">
      <c r="A282" s="6" t="s">
        <v>173</v>
      </c>
      <c r="B282" s="6" t="s">
        <v>167</v>
      </c>
      <c r="C282" s="7">
        <v>140193</v>
      </c>
      <c r="D282" s="9" t="s">
        <v>16</v>
      </c>
      <c r="E282" s="8"/>
    </row>
    <row r="283" spans="1:5" ht="12.75" customHeight="1" x14ac:dyDescent="0.2">
      <c r="A283" s="6" t="s">
        <v>172</v>
      </c>
      <c r="B283" s="6" t="s">
        <v>19</v>
      </c>
      <c r="C283" s="7">
        <v>140201</v>
      </c>
      <c r="D283" s="9" t="s">
        <v>16</v>
      </c>
      <c r="E283" s="8"/>
    </row>
    <row r="284" spans="1:5" ht="12.75" customHeight="1" x14ac:dyDescent="0.2">
      <c r="A284" s="6" t="s">
        <v>174</v>
      </c>
      <c r="B284" s="6" t="s">
        <v>18</v>
      </c>
      <c r="C284" s="7">
        <v>140202</v>
      </c>
      <c r="D284" s="9" t="s">
        <v>16</v>
      </c>
      <c r="E284" s="8"/>
    </row>
    <row r="285" spans="1:5" ht="12.75" customHeight="1" x14ac:dyDescent="0.2">
      <c r="A285" s="6" t="s">
        <v>174</v>
      </c>
      <c r="B285" s="6" t="s">
        <v>167</v>
      </c>
      <c r="C285" s="7">
        <v>140203</v>
      </c>
      <c r="D285" s="9" t="s">
        <v>16</v>
      </c>
      <c r="E285" s="8"/>
    </row>
    <row r="286" spans="1:5" ht="12.75" customHeight="1" x14ac:dyDescent="0.2">
      <c r="A286" s="6" t="s">
        <v>174</v>
      </c>
      <c r="B286" s="6" t="s">
        <v>19</v>
      </c>
      <c r="C286" s="7">
        <v>140205</v>
      </c>
      <c r="D286" s="9" t="s">
        <v>16</v>
      </c>
      <c r="E286" s="8"/>
    </row>
    <row r="287" spans="1:5" ht="12.75" customHeight="1" x14ac:dyDescent="0.2">
      <c r="A287" s="6" t="s">
        <v>131</v>
      </c>
      <c r="B287" s="6" t="s">
        <v>175</v>
      </c>
      <c r="C287" s="7">
        <v>140212</v>
      </c>
      <c r="D287" s="9" t="s">
        <v>16</v>
      </c>
      <c r="E287" s="8"/>
    </row>
    <row r="288" spans="1:5" ht="12.75" customHeight="1" x14ac:dyDescent="0.2">
      <c r="A288" s="6" t="s">
        <v>127</v>
      </c>
      <c r="B288" s="6" t="s">
        <v>176</v>
      </c>
      <c r="C288" s="7">
        <v>140213</v>
      </c>
      <c r="D288" s="9" t="s">
        <v>16</v>
      </c>
      <c r="E288" s="8"/>
    </row>
    <row r="289" spans="1:5" ht="12.75" customHeight="1" x14ac:dyDescent="0.2">
      <c r="A289" s="6" t="s">
        <v>177</v>
      </c>
      <c r="B289" s="6" t="s">
        <v>15</v>
      </c>
      <c r="C289" s="7">
        <v>140215</v>
      </c>
      <c r="D289" s="9" t="s">
        <v>16</v>
      </c>
      <c r="E289" s="8"/>
    </row>
    <row r="290" spans="1:5" ht="12.75" customHeight="1" x14ac:dyDescent="0.2">
      <c r="A290" s="6" t="s">
        <v>130</v>
      </c>
      <c r="B290" s="6" t="s">
        <v>176</v>
      </c>
      <c r="C290" s="7">
        <v>140221</v>
      </c>
      <c r="D290" s="9" t="s">
        <v>16</v>
      </c>
      <c r="E290" s="8"/>
    </row>
    <row r="291" spans="1:5" ht="12.75" customHeight="1" x14ac:dyDescent="0.2">
      <c r="A291" s="6" t="s">
        <v>178</v>
      </c>
      <c r="B291" s="6" t="s">
        <v>170</v>
      </c>
      <c r="C291" s="7">
        <v>140223</v>
      </c>
      <c r="D291" s="9" t="s">
        <v>16</v>
      </c>
      <c r="E291" s="8"/>
    </row>
    <row r="292" spans="1:5" ht="12.75" customHeight="1" x14ac:dyDescent="0.2">
      <c r="A292" s="6" t="s">
        <v>171</v>
      </c>
      <c r="B292" s="6" t="s">
        <v>18</v>
      </c>
      <c r="C292" s="7">
        <v>146190</v>
      </c>
      <c r="D292" s="9" t="s">
        <v>16</v>
      </c>
      <c r="E292" s="8"/>
    </row>
    <row r="293" spans="1:5" ht="12.75" customHeight="1" x14ac:dyDescent="0.2">
      <c r="A293" s="6" t="s">
        <v>179</v>
      </c>
      <c r="B293" s="6" t="s">
        <v>15</v>
      </c>
      <c r="C293" s="7">
        <v>146193</v>
      </c>
      <c r="D293" s="9" t="s">
        <v>16</v>
      </c>
      <c r="E293" s="8"/>
    </row>
    <row r="294" spans="1:5" ht="12.75" customHeight="1" x14ac:dyDescent="0.2">
      <c r="A294" s="6" t="s">
        <v>127</v>
      </c>
      <c r="B294" s="6" t="s">
        <v>175</v>
      </c>
      <c r="C294" s="7">
        <v>146226</v>
      </c>
      <c r="D294" s="9" t="s">
        <v>16</v>
      </c>
      <c r="E294" s="8"/>
    </row>
    <row r="295" spans="1:5" ht="12.75" customHeight="1" x14ac:dyDescent="0.2">
      <c r="A295" s="6" t="s">
        <v>129</v>
      </c>
      <c r="B295" s="6" t="s">
        <v>176</v>
      </c>
      <c r="C295" s="7">
        <v>146227</v>
      </c>
      <c r="D295" s="9" t="s">
        <v>16</v>
      </c>
      <c r="E295" s="8"/>
    </row>
    <row r="296" spans="1:5" ht="12.75" customHeight="1" x14ac:dyDescent="0.2">
      <c r="A296" s="6" t="s">
        <v>180</v>
      </c>
      <c r="B296" s="6" t="s">
        <v>32</v>
      </c>
      <c r="C296" s="7">
        <v>147623</v>
      </c>
      <c r="D296" s="9" t="s">
        <v>7</v>
      </c>
      <c r="E296" s="8"/>
    </row>
    <row r="297" spans="1:5" ht="12.75" customHeight="1" x14ac:dyDescent="0.2">
      <c r="A297" s="6" t="s">
        <v>180</v>
      </c>
      <c r="B297" s="6" t="s">
        <v>6</v>
      </c>
      <c r="C297" s="7">
        <v>147624</v>
      </c>
      <c r="D297" s="9" t="s">
        <v>7</v>
      </c>
      <c r="E297" s="8"/>
    </row>
    <row r="298" spans="1:5" ht="12.75" customHeight="1" x14ac:dyDescent="0.2">
      <c r="A298" s="6" t="s">
        <v>181</v>
      </c>
      <c r="B298" s="6" t="s">
        <v>6</v>
      </c>
      <c r="C298" s="7">
        <v>147625</v>
      </c>
      <c r="D298" s="9" t="s">
        <v>16</v>
      </c>
      <c r="E298" s="8"/>
    </row>
    <row r="299" spans="1:5" ht="12.75" customHeight="1" x14ac:dyDescent="0.2">
      <c r="A299" s="6" t="s">
        <v>181</v>
      </c>
      <c r="B299" s="6" t="s">
        <v>32</v>
      </c>
      <c r="C299" s="7">
        <v>147626</v>
      </c>
      <c r="D299" s="9" t="s">
        <v>16</v>
      </c>
      <c r="E299" s="8"/>
    </row>
    <row r="300" spans="1:5" ht="12.75" customHeight="1" x14ac:dyDescent="0.2">
      <c r="A300" s="6" t="s">
        <v>181</v>
      </c>
      <c r="B300" s="6" t="s">
        <v>15</v>
      </c>
      <c r="C300" s="7">
        <v>147627</v>
      </c>
      <c r="D300" s="9" t="s">
        <v>16</v>
      </c>
      <c r="E300" s="8"/>
    </row>
    <row r="301" spans="1:5" ht="12.75" customHeight="1" x14ac:dyDescent="0.2">
      <c r="A301" s="6" t="s">
        <v>182</v>
      </c>
      <c r="B301" s="6" t="s">
        <v>18</v>
      </c>
      <c r="C301" s="7">
        <v>147892</v>
      </c>
      <c r="D301" s="9" t="s">
        <v>16</v>
      </c>
      <c r="E301" s="8"/>
    </row>
    <row r="302" spans="1:5" ht="12.75" customHeight="1" x14ac:dyDescent="0.2">
      <c r="A302" s="6" t="s">
        <v>182</v>
      </c>
      <c r="B302" s="6" t="s">
        <v>19</v>
      </c>
      <c r="C302" s="7">
        <v>147893</v>
      </c>
      <c r="D302" s="9" t="s">
        <v>16</v>
      </c>
      <c r="E302" s="8"/>
    </row>
    <row r="303" spans="1:5" ht="12.75" customHeight="1" x14ac:dyDescent="0.2">
      <c r="A303" s="6" t="s">
        <v>182</v>
      </c>
      <c r="B303" s="6" t="s">
        <v>167</v>
      </c>
      <c r="C303" s="7">
        <v>147894</v>
      </c>
      <c r="D303" s="9" t="s">
        <v>16</v>
      </c>
      <c r="E303" s="8"/>
    </row>
    <row r="304" spans="1:5" ht="12.75" customHeight="1" x14ac:dyDescent="0.2">
      <c r="A304" s="6" t="s">
        <v>183</v>
      </c>
      <c r="B304" s="6" t="s">
        <v>18</v>
      </c>
      <c r="C304" s="7">
        <v>147898</v>
      </c>
      <c r="D304" s="9" t="s">
        <v>16</v>
      </c>
      <c r="E304" s="8"/>
    </row>
    <row r="305" spans="1:5" ht="12.75" customHeight="1" x14ac:dyDescent="0.2">
      <c r="A305" s="6" t="s">
        <v>183</v>
      </c>
      <c r="B305" s="6" t="s">
        <v>19</v>
      </c>
      <c r="C305" s="7">
        <v>147899</v>
      </c>
      <c r="D305" s="9" t="s">
        <v>16</v>
      </c>
      <c r="E305" s="8"/>
    </row>
    <row r="306" spans="1:5" ht="12.75" customHeight="1" x14ac:dyDescent="0.2">
      <c r="A306" s="6" t="s">
        <v>183</v>
      </c>
      <c r="B306" s="6" t="s">
        <v>167</v>
      </c>
      <c r="C306" s="7">
        <v>147900</v>
      </c>
      <c r="D306" s="9" t="s">
        <v>16</v>
      </c>
      <c r="E306" s="8"/>
    </row>
    <row r="307" spans="1:5" ht="12.75" customHeight="1" x14ac:dyDescent="0.2">
      <c r="A307" s="6" t="s">
        <v>184</v>
      </c>
      <c r="B307" s="6" t="s">
        <v>19</v>
      </c>
      <c r="C307" s="7">
        <v>147903</v>
      </c>
      <c r="D307" s="9" t="s">
        <v>16</v>
      </c>
      <c r="E307" s="8"/>
    </row>
    <row r="308" spans="1:5" ht="12.75" customHeight="1" x14ac:dyDescent="0.2">
      <c r="A308" s="6" t="s">
        <v>185</v>
      </c>
      <c r="B308" s="6" t="s">
        <v>11</v>
      </c>
      <c r="C308" s="7">
        <v>147907</v>
      </c>
      <c r="D308" s="9" t="s">
        <v>7</v>
      </c>
      <c r="E308" s="8"/>
    </row>
    <row r="309" spans="1:5" ht="12.75" customHeight="1" x14ac:dyDescent="0.2">
      <c r="A309" s="6" t="s">
        <v>186</v>
      </c>
      <c r="B309" s="6" t="s">
        <v>19</v>
      </c>
      <c r="C309" s="7">
        <v>147952</v>
      </c>
      <c r="D309" s="9" t="s">
        <v>16</v>
      </c>
      <c r="E309" s="8"/>
    </row>
    <row r="310" spans="1:5" ht="12.75" customHeight="1" x14ac:dyDescent="0.2">
      <c r="A310" s="6" t="s">
        <v>186</v>
      </c>
      <c r="B310" s="6" t="s">
        <v>167</v>
      </c>
      <c r="C310" s="7">
        <v>147953</v>
      </c>
      <c r="D310" s="9" t="s">
        <v>16</v>
      </c>
      <c r="E310" s="8"/>
    </row>
    <row r="311" spans="1:5" ht="12.75" customHeight="1" x14ac:dyDescent="0.2">
      <c r="A311" s="6" t="s">
        <v>187</v>
      </c>
      <c r="B311" s="6" t="s">
        <v>15</v>
      </c>
      <c r="C311" s="7">
        <v>148005</v>
      </c>
      <c r="D311" s="9" t="s">
        <v>16</v>
      </c>
      <c r="E311" s="8"/>
    </row>
    <row r="312" spans="1:5" ht="12.75" customHeight="1" x14ac:dyDescent="0.2">
      <c r="A312" s="6" t="s">
        <v>188</v>
      </c>
      <c r="B312" s="6" t="s">
        <v>15</v>
      </c>
      <c r="C312" s="7">
        <v>148014</v>
      </c>
      <c r="D312" s="9" t="s">
        <v>16</v>
      </c>
      <c r="E312" s="8"/>
    </row>
    <row r="313" spans="1:5" ht="12.75" customHeight="1" x14ac:dyDescent="0.2">
      <c r="A313" s="6" t="s">
        <v>188</v>
      </c>
      <c r="B313" s="6" t="s">
        <v>32</v>
      </c>
      <c r="C313" s="7">
        <v>148015</v>
      </c>
      <c r="D313" s="9" t="s">
        <v>16</v>
      </c>
      <c r="E313" s="8"/>
    </row>
    <row r="314" spans="1:5" ht="12.75" customHeight="1" x14ac:dyDescent="0.2">
      <c r="A314" s="6" t="s">
        <v>189</v>
      </c>
      <c r="B314" s="6" t="s">
        <v>15</v>
      </c>
      <c r="C314" s="7">
        <v>148017</v>
      </c>
      <c r="D314" s="9" t="s">
        <v>16</v>
      </c>
      <c r="E314" s="8"/>
    </row>
    <row r="315" spans="1:5" ht="12.75" customHeight="1" x14ac:dyDescent="0.2">
      <c r="A315" s="6" t="s">
        <v>190</v>
      </c>
      <c r="B315" s="6" t="s">
        <v>15</v>
      </c>
      <c r="C315" s="7">
        <v>148018</v>
      </c>
      <c r="D315" s="9" t="s">
        <v>16</v>
      </c>
      <c r="E315" s="8"/>
    </row>
    <row r="316" spans="1:5" ht="12.75" customHeight="1" x14ac:dyDescent="0.2">
      <c r="A316" s="6" t="s">
        <v>191</v>
      </c>
      <c r="B316" s="6" t="s">
        <v>15</v>
      </c>
      <c r="C316" s="7">
        <v>148019</v>
      </c>
      <c r="D316" s="9" t="s">
        <v>16</v>
      </c>
      <c r="E316" s="8"/>
    </row>
    <row r="317" spans="1:5" ht="12.75" customHeight="1" x14ac:dyDescent="0.2">
      <c r="A317" s="6" t="s">
        <v>192</v>
      </c>
      <c r="B317" s="6" t="s">
        <v>15</v>
      </c>
      <c r="C317" s="7">
        <v>148020</v>
      </c>
      <c r="D317" s="9" t="s">
        <v>16</v>
      </c>
      <c r="E317" s="8"/>
    </row>
    <row r="318" spans="1:5" ht="12.75" customHeight="1" x14ac:dyDescent="0.2">
      <c r="A318" s="6" t="s">
        <v>193</v>
      </c>
      <c r="B318" s="6" t="s">
        <v>15</v>
      </c>
      <c r="C318" s="7">
        <v>148022</v>
      </c>
      <c r="D318" s="9" t="s">
        <v>16</v>
      </c>
      <c r="E318" s="8"/>
    </row>
    <row r="319" spans="1:5" ht="12.75" customHeight="1" x14ac:dyDescent="0.2">
      <c r="A319" s="6" t="s">
        <v>193</v>
      </c>
      <c r="B319" s="6" t="s">
        <v>32</v>
      </c>
      <c r="C319" s="7">
        <v>148023</v>
      </c>
      <c r="D319" s="9" t="s">
        <v>16</v>
      </c>
      <c r="E319" s="8"/>
    </row>
    <row r="320" spans="1:5" ht="12.75" customHeight="1" x14ac:dyDescent="0.2">
      <c r="A320" s="6" t="s">
        <v>194</v>
      </c>
      <c r="B320" s="6" t="s">
        <v>15</v>
      </c>
      <c r="C320" s="7">
        <v>148070</v>
      </c>
      <c r="D320" s="9" t="s">
        <v>16</v>
      </c>
      <c r="E320" s="8"/>
    </row>
    <row r="321" spans="1:5" ht="12.75" customHeight="1" x14ac:dyDescent="0.2">
      <c r="A321" s="6" t="s">
        <v>195</v>
      </c>
      <c r="B321" s="6" t="s">
        <v>15</v>
      </c>
      <c r="C321" s="7">
        <v>148073</v>
      </c>
      <c r="D321" s="9" t="s">
        <v>16</v>
      </c>
      <c r="E321" s="8"/>
    </row>
    <row r="322" spans="1:5" ht="12.75" customHeight="1" x14ac:dyDescent="0.2">
      <c r="A322" s="6" t="s">
        <v>196</v>
      </c>
      <c r="B322" s="6" t="s">
        <v>19</v>
      </c>
      <c r="C322" s="7">
        <v>148310</v>
      </c>
      <c r="D322" s="9" t="s">
        <v>16</v>
      </c>
      <c r="E322" s="8"/>
    </row>
    <row r="323" spans="1:5" ht="12.75" customHeight="1" x14ac:dyDescent="0.2">
      <c r="A323" s="6" t="s">
        <v>190</v>
      </c>
      <c r="B323" s="6" t="s">
        <v>176</v>
      </c>
      <c r="C323" s="7">
        <v>148598</v>
      </c>
      <c r="D323" s="9" t="s">
        <v>16</v>
      </c>
      <c r="E323" s="8"/>
    </row>
    <row r="324" spans="1:5" ht="12.75" customHeight="1" x14ac:dyDescent="0.2">
      <c r="A324" s="6" t="s">
        <v>17</v>
      </c>
      <c r="B324" s="6" t="s">
        <v>22</v>
      </c>
      <c r="C324" s="7">
        <v>148631</v>
      </c>
      <c r="D324" s="9" t="s">
        <v>16</v>
      </c>
      <c r="E324" s="8"/>
    </row>
    <row r="325" spans="1:5" ht="12.75" customHeight="1" x14ac:dyDescent="0.2">
      <c r="A325" s="6" t="s">
        <v>197</v>
      </c>
      <c r="B325" s="6" t="s">
        <v>32</v>
      </c>
      <c r="C325" s="7">
        <v>148711</v>
      </c>
      <c r="D325" s="9" t="s">
        <v>16</v>
      </c>
      <c r="E325" s="8"/>
    </row>
    <row r="326" spans="1:5" ht="12.75" customHeight="1" x14ac:dyDescent="0.2">
      <c r="A326" s="6" t="s">
        <v>188</v>
      </c>
      <c r="B326" s="6" t="s">
        <v>136</v>
      </c>
      <c r="C326" s="7">
        <v>148771</v>
      </c>
      <c r="D326" s="9" t="s">
        <v>16</v>
      </c>
      <c r="E326" s="8"/>
    </row>
    <row r="327" spans="1:5" ht="12.75" customHeight="1" x14ac:dyDescent="0.2">
      <c r="A327" s="6" t="s">
        <v>198</v>
      </c>
      <c r="B327" s="6" t="s">
        <v>136</v>
      </c>
      <c r="C327" s="7">
        <v>149359</v>
      </c>
      <c r="D327" s="9" t="s">
        <v>16</v>
      </c>
      <c r="E327" s="8"/>
    </row>
    <row r="328" spans="1:5" ht="12.75" customHeight="1" x14ac:dyDescent="0.2">
      <c r="A328" s="6" t="s">
        <v>198</v>
      </c>
      <c r="B328" s="6" t="s">
        <v>15</v>
      </c>
      <c r="C328" s="7">
        <v>150050</v>
      </c>
      <c r="D328" s="9" t="s">
        <v>16</v>
      </c>
      <c r="E328" s="8"/>
    </row>
    <row r="329" spans="1:5" ht="12.75" customHeight="1" x14ac:dyDescent="0.2">
      <c r="A329" s="6" t="s">
        <v>199</v>
      </c>
      <c r="B329" s="6" t="s">
        <v>15</v>
      </c>
      <c r="C329" s="7">
        <v>150841</v>
      </c>
      <c r="D329" s="9" t="s">
        <v>16</v>
      </c>
      <c r="E329" s="8"/>
    </row>
    <row r="330" spans="1:5" ht="12.75" customHeight="1" x14ac:dyDescent="0.2">
      <c r="A330" s="6" t="s">
        <v>200</v>
      </c>
      <c r="B330" s="6" t="s">
        <v>32</v>
      </c>
      <c r="C330" s="7">
        <v>150888</v>
      </c>
      <c r="D330" s="9" t="s">
        <v>16</v>
      </c>
      <c r="E330" s="8"/>
    </row>
    <row r="331" spans="1:5" ht="12.75" customHeight="1" x14ac:dyDescent="0.2">
      <c r="A331" s="6" t="s">
        <v>201</v>
      </c>
      <c r="B331" s="6" t="s">
        <v>32</v>
      </c>
      <c r="C331" s="7">
        <v>150889</v>
      </c>
      <c r="D331" s="9" t="s">
        <v>16</v>
      </c>
      <c r="E331" s="8"/>
    </row>
    <row r="332" spans="1:5" ht="12.75" customHeight="1" x14ac:dyDescent="0.2">
      <c r="A332" s="6" t="s">
        <v>200</v>
      </c>
      <c r="B332" s="6" t="s">
        <v>15</v>
      </c>
      <c r="C332" s="7">
        <v>150895</v>
      </c>
      <c r="D332" s="9" t="s">
        <v>16</v>
      </c>
      <c r="E332" s="8"/>
    </row>
    <row r="333" spans="1:5" ht="12.75" customHeight="1" x14ac:dyDescent="0.2">
      <c r="A333" s="6" t="s">
        <v>201</v>
      </c>
      <c r="B333" s="6" t="s">
        <v>15</v>
      </c>
      <c r="C333" s="7">
        <v>150896</v>
      </c>
      <c r="D333" s="9" t="s">
        <v>16</v>
      </c>
      <c r="E333" s="8"/>
    </row>
    <row r="334" spans="1:5" ht="12.75" customHeight="1" x14ac:dyDescent="0.2">
      <c r="A334" s="6" t="s">
        <v>202</v>
      </c>
      <c r="B334" s="6" t="s">
        <v>15</v>
      </c>
      <c r="C334" s="7">
        <v>151170</v>
      </c>
      <c r="D334" s="9" t="s">
        <v>16</v>
      </c>
      <c r="E334" s="8"/>
    </row>
    <row r="335" spans="1:5" ht="12.75" customHeight="1" x14ac:dyDescent="0.2">
      <c r="A335" s="6" t="s">
        <v>203</v>
      </c>
      <c r="B335" s="6" t="s">
        <v>15</v>
      </c>
      <c r="C335" s="7">
        <v>151260</v>
      </c>
      <c r="D335" s="9" t="s">
        <v>16</v>
      </c>
      <c r="E335" s="8"/>
    </row>
    <row r="336" spans="1:5" ht="12.75" customHeight="1" x14ac:dyDescent="0.2">
      <c r="A336" s="6" t="s">
        <v>204</v>
      </c>
      <c r="B336" s="6" t="s">
        <v>15</v>
      </c>
      <c r="C336" s="7">
        <v>151263</v>
      </c>
      <c r="D336" s="9" t="s">
        <v>16</v>
      </c>
      <c r="E336" s="8"/>
    </row>
    <row r="337" spans="1:5" ht="12.75" customHeight="1" x14ac:dyDescent="0.2">
      <c r="A337" s="6" t="s">
        <v>205</v>
      </c>
      <c r="B337" s="6" t="s">
        <v>15</v>
      </c>
      <c r="C337" s="7">
        <v>151520</v>
      </c>
      <c r="D337" s="9" t="s">
        <v>16</v>
      </c>
      <c r="E337" s="8"/>
    </row>
    <row r="338" spans="1:5" ht="12.75" customHeight="1" x14ac:dyDescent="0.2">
      <c r="A338" s="6" t="s">
        <v>205</v>
      </c>
      <c r="B338" s="6" t="s">
        <v>6</v>
      </c>
      <c r="C338" s="7">
        <v>151521</v>
      </c>
      <c r="D338" s="9" t="s">
        <v>16</v>
      </c>
      <c r="E338" s="8"/>
    </row>
    <row r="339" spans="1:5" ht="12.75" customHeight="1" x14ac:dyDescent="0.2">
      <c r="A339" s="6" t="s">
        <v>206</v>
      </c>
      <c r="B339" s="6" t="s">
        <v>18</v>
      </c>
      <c r="C339" s="7">
        <v>152100</v>
      </c>
      <c r="D339" s="9" t="s">
        <v>16</v>
      </c>
      <c r="E339" s="8"/>
    </row>
    <row r="340" spans="1:5" ht="12.75" customHeight="1" x14ac:dyDescent="0.2">
      <c r="A340" s="6" t="s">
        <v>206</v>
      </c>
      <c r="B340" s="6" t="s">
        <v>19</v>
      </c>
      <c r="C340" s="7">
        <v>152101</v>
      </c>
      <c r="D340" s="9" t="s">
        <v>16</v>
      </c>
      <c r="E340" s="8"/>
    </row>
    <row r="341" spans="1:5" ht="12.75" customHeight="1" x14ac:dyDescent="0.2">
      <c r="A341" s="6" t="s">
        <v>206</v>
      </c>
      <c r="B341" s="6" t="s">
        <v>167</v>
      </c>
      <c r="C341" s="7">
        <v>152102</v>
      </c>
      <c r="D341" s="9" t="s">
        <v>16</v>
      </c>
      <c r="E341" s="8"/>
    </row>
    <row r="342" spans="1:5" ht="12.75" customHeight="1" x14ac:dyDescent="0.2">
      <c r="A342" s="6" t="s">
        <v>207</v>
      </c>
      <c r="B342" s="6" t="s">
        <v>6</v>
      </c>
      <c r="C342" s="7">
        <v>154211</v>
      </c>
      <c r="D342" s="9" t="s">
        <v>16</v>
      </c>
      <c r="E342" s="8"/>
    </row>
    <row r="343" spans="1:5" ht="12.75" customHeight="1" x14ac:dyDescent="0.2">
      <c r="A343" s="6" t="s">
        <v>207</v>
      </c>
      <c r="B343" s="6" t="s">
        <v>15</v>
      </c>
      <c r="C343" s="7">
        <v>154212</v>
      </c>
      <c r="D343" s="9" t="s">
        <v>16</v>
      </c>
      <c r="E343" s="8"/>
    </row>
    <row r="344" spans="1:5" ht="12.75" customHeight="1" x14ac:dyDescent="0.2">
      <c r="A344" s="6" t="s">
        <v>207</v>
      </c>
      <c r="B344" s="6" t="s">
        <v>32</v>
      </c>
      <c r="C344" s="7">
        <v>154213</v>
      </c>
      <c r="D344" s="9" t="s">
        <v>16</v>
      </c>
      <c r="E344" s="8"/>
    </row>
    <row r="345" spans="1:5" ht="12.75" customHeight="1" x14ac:dyDescent="0.2">
      <c r="A345" s="6" t="s">
        <v>208</v>
      </c>
      <c r="B345" s="6" t="s">
        <v>15</v>
      </c>
      <c r="C345" s="7">
        <v>154240</v>
      </c>
      <c r="D345" s="9" t="s">
        <v>16</v>
      </c>
      <c r="E345" s="8"/>
    </row>
    <row r="346" spans="1:5" ht="12.75" customHeight="1" x14ac:dyDescent="0.2">
      <c r="A346" s="6" t="s">
        <v>208</v>
      </c>
      <c r="B346" s="6" t="s">
        <v>32</v>
      </c>
      <c r="C346" s="7">
        <v>154242</v>
      </c>
      <c r="D346" s="9" t="s">
        <v>16</v>
      </c>
      <c r="E346" s="8"/>
    </row>
    <row r="347" spans="1:5" ht="12.75" customHeight="1" x14ac:dyDescent="0.2">
      <c r="A347" s="6" t="s">
        <v>208</v>
      </c>
      <c r="B347" s="6" t="s">
        <v>6</v>
      </c>
      <c r="C347" s="7">
        <v>154243</v>
      </c>
      <c r="D347" s="9" t="s">
        <v>16</v>
      </c>
      <c r="E347" s="8"/>
    </row>
    <row r="348" spans="1:5" ht="12.75" customHeight="1" x14ac:dyDescent="0.2">
      <c r="A348" s="6" t="s">
        <v>209</v>
      </c>
      <c r="B348" s="6" t="s">
        <v>32</v>
      </c>
      <c r="C348" s="7">
        <v>154939</v>
      </c>
      <c r="D348" s="9" t="s">
        <v>16</v>
      </c>
      <c r="E348" s="8"/>
    </row>
    <row r="349" spans="1:5" ht="12.75" customHeight="1" x14ac:dyDescent="0.2">
      <c r="A349" s="6" t="s">
        <v>209</v>
      </c>
      <c r="B349" s="6" t="s">
        <v>15</v>
      </c>
      <c r="C349" s="7">
        <v>154940</v>
      </c>
      <c r="D349" s="9" t="s">
        <v>16</v>
      </c>
      <c r="E349" s="8"/>
    </row>
    <row r="350" spans="1:5" ht="12.75" customHeight="1" x14ac:dyDescent="0.2">
      <c r="A350" s="6" t="s">
        <v>210</v>
      </c>
      <c r="B350" s="6" t="s">
        <v>15</v>
      </c>
      <c r="C350" s="7">
        <v>154941</v>
      </c>
      <c r="D350" s="9" t="s">
        <v>16</v>
      </c>
      <c r="E350" s="8"/>
    </row>
    <row r="351" spans="1:5" ht="12.75" customHeight="1" x14ac:dyDescent="0.2">
      <c r="A351" s="6" t="s">
        <v>210</v>
      </c>
      <c r="B351" s="6" t="s">
        <v>6</v>
      </c>
      <c r="C351" s="7">
        <v>154942</v>
      </c>
      <c r="D351" s="9" t="s">
        <v>16</v>
      </c>
      <c r="E351" s="8"/>
    </row>
    <row r="352" spans="1:5" ht="12.75" customHeight="1" x14ac:dyDescent="0.2">
      <c r="A352" s="6" t="s">
        <v>210</v>
      </c>
      <c r="B352" s="6" t="s">
        <v>32</v>
      </c>
      <c r="C352" s="7">
        <v>154943</v>
      </c>
      <c r="D352" s="9" t="s">
        <v>16</v>
      </c>
      <c r="E352" s="8"/>
    </row>
    <row r="353" spans="1:5" ht="12.75" customHeight="1" x14ac:dyDescent="0.2">
      <c r="A353" s="6" t="s">
        <v>211</v>
      </c>
      <c r="B353" s="6" t="s">
        <v>18</v>
      </c>
      <c r="C353" s="7">
        <v>155147</v>
      </c>
      <c r="D353" s="9" t="s">
        <v>16</v>
      </c>
      <c r="E353" s="8"/>
    </row>
    <row r="354" spans="1:5" ht="12.75" customHeight="1" x14ac:dyDescent="0.2">
      <c r="A354" s="6" t="s">
        <v>211</v>
      </c>
      <c r="B354" s="6" t="s">
        <v>19</v>
      </c>
      <c r="C354" s="7">
        <v>155148</v>
      </c>
      <c r="D354" s="9" t="s">
        <v>16</v>
      </c>
      <c r="E354" s="8"/>
    </row>
    <row r="355" spans="1:5" ht="12.75" customHeight="1" x14ac:dyDescent="0.2">
      <c r="A355" s="6" t="s">
        <v>204</v>
      </c>
      <c r="B355" s="6" t="s">
        <v>6</v>
      </c>
      <c r="C355" s="7">
        <v>155368</v>
      </c>
      <c r="D355" s="9" t="s">
        <v>16</v>
      </c>
      <c r="E355" s="8"/>
    </row>
    <row r="356" spans="1:5" ht="12.75" customHeight="1" x14ac:dyDescent="0.2">
      <c r="A356" s="6" t="s">
        <v>199</v>
      </c>
      <c r="B356" s="6" t="s">
        <v>136</v>
      </c>
      <c r="C356" s="7">
        <v>156061</v>
      </c>
      <c r="D356" s="9" t="s">
        <v>16</v>
      </c>
      <c r="E356" s="8"/>
    </row>
    <row r="357" spans="1:5" ht="12.75" customHeight="1" x14ac:dyDescent="0.2">
      <c r="A357" s="6" t="s">
        <v>212</v>
      </c>
      <c r="B357" s="6" t="s">
        <v>15</v>
      </c>
      <c r="C357" s="7">
        <v>156106</v>
      </c>
      <c r="D357" s="9" t="s">
        <v>16</v>
      </c>
      <c r="E357" s="8"/>
    </row>
    <row r="358" spans="1:5" ht="12.75" customHeight="1" x14ac:dyDescent="0.2">
      <c r="A358" s="6" t="s">
        <v>119</v>
      </c>
      <c r="B358" s="6" t="s">
        <v>15</v>
      </c>
      <c r="C358" s="7">
        <v>156216</v>
      </c>
      <c r="D358" s="9" t="s">
        <v>16</v>
      </c>
      <c r="E358" s="8"/>
    </row>
    <row r="359" spans="1:5" ht="12.75" customHeight="1" x14ac:dyDescent="0.2">
      <c r="A359" s="6" t="s">
        <v>213</v>
      </c>
      <c r="B359" s="6" t="s">
        <v>136</v>
      </c>
      <c r="C359" s="7">
        <v>156302</v>
      </c>
      <c r="D359" s="9" t="s">
        <v>16</v>
      </c>
      <c r="E359" s="8"/>
    </row>
    <row r="360" spans="1:5" ht="12.75" customHeight="1" x14ac:dyDescent="0.2">
      <c r="A360" s="6" t="s">
        <v>214</v>
      </c>
      <c r="B360" s="6" t="s">
        <v>32</v>
      </c>
      <c r="C360" s="7">
        <v>156313</v>
      </c>
      <c r="D360" s="9" t="s">
        <v>16</v>
      </c>
      <c r="E360" s="8"/>
    </row>
    <row r="361" spans="1:5" ht="12.75" customHeight="1" x14ac:dyDescent="0.2">
      <c r="A361" s="6" t="s">
        <v>214</v>
      </c>
      <c r="B361" s="6" t="s">
        <v>15</v>
      </c>
      <c r="C361" s="7">
        <v>156340</v>
      </c>
      <c r="D361" s="9" t="s">
        <v>16</v>
      </c>
      <c r="E361" s="8"/>
    </row>
    <row r="362" spans="1:5" ht="12.75" customHeight="1" x14ac:dyDescent="0.2">
      <c r="A362" s="6" t="s">
        <v>215</v>
      </c>
      <c r="B362" s="6" t="s">
        <v>136</v>
      </c>
      <c r="C362" s="7">
        <v>156354</v>
      </c>
      <c r="D362" s="9" t="s">
        <v>16</v>
      </c>
      <c r="E362" s="8"/>
    </row>
    <row r="363" spans="1:5" ht="12.75" customHeight="1" x14ac:dyDescent="0.2">
      <c r="A363" s="6" t="s">
        <v>216</v>
      </c>
      <c r="B363" s="6" t="s">
        <v>6</v>
      </c>
      <c r="C363" s="7">
        <v>156691</v>
      </c>
      <c r="D363" s="9" t="s">
        <v>16</v>
      </c>
      <c r="E363" s="8"/>
    </row>
    <row r="364" spans="1:5" ht="12.75" customHeight="1" x14ac:dyDescent="0.2">
      <c r="A364" s="6" t="s">
        <v>216</v>
      </c>
      <c r="B364" s="6" t="s">
        <v>15</v>
      </c>
      <c r="C364" s="7">
        <v>156692</v>
      </c>
      <c r="D364" s="9" t="s">
        <v>16</v>
      </c>
      <c r="E364" s="8"/>
    </row>
    <row r="365" spans="1:5" ht="12.75" customHeight="1" x14ac:dyDescent="0.2">
      <c r="A365" s="6" t="s">
        <v>217</v>
      </c>
      <c r="B365" s="6" t="s">
        <v>15</v>
      </c>
      <c r="C365" s="7">
        <v>156713</v>
      </c>
      <c r="D365" s="9" t="s">
        <v>16</v>
      </c>
      <c r="E365" s="8"/>
    </row>
    <row r="366" spans="1:5" ht="12.75" customHeight="1" x14ac:dyDescent="0.2">
      <c r="A366" s="6" t="s">
        <v>217</v>
      </c>
      <c r="B366" s="6" t="s">
        <v>6</v>
      </c>
      <c r="C366" s="7">
        <v>156715</v>
      </c>
      <c r="D366" s="9" t="s">
        <v>16</v>
      </c>
      <c r="E366" s="8"/>
    </row>
    <row r="367" spans="1:5" ht="12.75" customHeight="1" x14ac:dyDescent="0.2">
      <c r="A367" s="6" t="s">
        <v>73</v>
      </c>
      <c r="B367" s="6" t="s">
        <v>136</v>
      </c>
      <c r="C367" s="7">
        <v>156820</v>
      </c>
      <c r="D367" s="9" t="s">
        <v>16</v>
      </c>
      <c r="E367" s="8"/>
    </row>
    <row r="368" spans="1:5" ht="12.75" customHeight="1" x14ac:dyDescent="0.2">
      <c r="A368" s="6" t="s">
        <v>199</v>
      </c>
      <c r="B368" s="6" t="s">
        <v>6</v>
      </c>
      <c r="C368" s="7">
        <v>156851</v>
      </c>
      <c r="D368" s="9" t="s">
        <v>16</v>
      </c>
      <c r="E368" s="8"/>
    </row>
    <row r="369" spans="1:5" ht="12.75" customHeight="1" x14ac:dyDescent="0.2">
      <c r="A369" s="6" t="s">
        <v>12</v>
      </c>
      <c r="B369" s="6" t="s">
        <v>15</v>
      </c>
      <c r="C369" s="7">
        <v>156933</v>
      </c>
      <c r="D369" s="9" t="s">
        <v>7</v>
      </c>
      <c r="E369" s="8"/>
    </row>
    <row r="370" spans="1:5" ht="12.75" customHeight="1" x14ac:dyDescent="0.2">
      <c r="A370" s="6" t="s">
        <v>218</v>
      </c>
      <c r="B370" s="6" t="s">
        <v>15</v>
      </c>
      <c r="C370" s="7">
        <v>156934</v>
      </c>
      <c r="D370" s="9" t="s">
        <v>7</v>
      </c>
      <c r="E370" s="8"/>
    </row>
    <row r="371" spans="1:5" ht="12.75" customHeight="1" x14ac:dyDescent="0.2">
      <c r="A371" s="6" t="s">
        <v>150</v>
      </c>
      <c r="B371" s="6" t="s">
        <v>15</v>
      </c>
      <c r="C371" s="7">
        <v>156974</v>
      </c>
      <c r="D371" s="9" t="s">
        <v>7</v>
      </c>
      <c r="E371" s="8"/>
    </row>
    <row r="372" spans="1:5" ht="12.75" customHeight="1" x14ac:dyDescent="0.2">
      <c r="A372" s="6" t="s">
        <v>154</v>
      </c>
      <c r="B372" s="6" t="s">
        <v>15</v>
      </c>
      <c r="C372" s="7">
        <v>157002</v>
      </c>
      <c r="D372" s="9" t="s">
        <v>7</v>
      </c>
      <c r="E372" s="8"/>
    </row>
    <row r="373" spans="1:5" ht="12.75" customHeight="1" x14ac:dyDescent="0.2">
      <c r="A373" s="6" t="s">
        <v>180</v>
      </c>
      <c r="B373" s="6" t="s">
        <v>15</v>
      </c>
      <c r="C373" s="7">
        <v>157042</v>
      </c>
      <c r="D373" s="9" t="s">
        <v>7</v>
      </c>
      <c r="E373" s="8"/>
    </row>
    <row r="374" spans="1:5" ht="12.75" customHeight="1" x14ac:dyDescent="0.2">
      <c r="A374" s="6" t="s">
        <v>8</v>
      </c>
      <c r="B374" s="6" t="s">
        <v>15</v>
      </c>
      <c r="C374" s="7">
        <v>157080</v>
      </c>
      <c r="D374" s="9" t="s">
        <v>7</v>
      </c>
      <c r="E374" s="8"/>
    </row>
    <row r="375" spans="1:5" ht="12.75" customHeight="1" x14ac:dyDescent="0.2">
      <c r="A375" s="6" t="s">
        <v>219</v>
      </c>
      <c r="B375" s="6" t="s">
        <v>32</v>
      </c>
      <c r="C375" s="7">
        <v>157376</v>
      </c>
      <c r="D375" s="9" t="s">
        <v>16</v>
      </c>
      <c r="E375" s="8"/>
    </row>
    <row r="376" spans="1:5" ht="12.75" customHeight="1" x14ac:dyDescent="0.2">
      <c r="A376" s="6" t="s">
        <v>216</v>
      </c>
      <c r="B376" s="6" t="s">
        <v>32</v>
      </c>
      <c r="C376" s="7">
        <v>157377</v>
      </c>
      <c r="D376" s="9" t="s">
        <v>16</v>
      </c>
      <c r="E376" s="8"/>
    </row>
    <row r="377" spans="1:5" ht="12.75" customHeight="1" x14ac:dyDescent="0.2">
      <c r="A377" s="6" t="s">
        <v>220</v>
      </c>
      <c r="B377" s="6" t="s">
        <v>15</v>
      </c>
      <c r="C377" s="7">
        <v>157422</v>
      </c>
      <c r="D377" s="9" t="s">
        <v>16</v>
      </c>
      <c r="E377" s="8"/>
    </row>
    <row r="378" spans="1:5" ht="12.75" customHeight="1" x14ac:dyDescent="0.2">
      <c r="A378" s="6" t="s">
        <v>220</v>
      </c>
      <c r="B378" s="6" t="s">
        <v>32</v>
      </c>
      <c r="C378" s="7">
        <v>157423</v>
      </c>
      <c r="D378" s="9" t="s">
        <v>16</v>
      </c>
      <c r="E378" s="8"/>
    </row>
    <row r="379" spans="1:5" ht="12.75" customHeight="1" x14ac:dyDescent="0.2">
      <c r="A379" s="6" t="s">
        <v>213</v>
      </c>
      <c r="B379" s="6" t="s">
        <v>15</v>
      </c>
      <c r="C379" s="7">
        <v>157460</v>
      </c>
      <c r="D379" s="9" t="s">
        <v>16</v>
      </c>
      <c r="E379" s="8"/>
    </row>
    <row r="380" spans="1:5" ht="12.75" customHeight="1" x14ac:dyDescent="0.2">
      <c r="A380" s="6" t="s">
        <v>184</v>
      </c>
      <c r="B380" s="6" t="s">
        <v>18</v>
      </c>
      <c r="C380" s="7">
        <v>157463</v>
      </c>
      <c r="D380" s="9" t="s">
        <v>16</v>
      </c>
      <c r="E380" s="8"/>
    </row>
    <row r="381" spans="1:5" ht="12.75" customHeight="1" x14ac:dyDescent="0.2">
      <c r="A381" s="6" t="s">
        <v>221</v>
      </c>
      <c r="B381" s="6" t="s">
        <v>136</v>
      </c>
      <c r="C381" s="7">
        <v>157465</v>
      </c>
      <c r="D381" s="9" t="s">
        <v>16</v>
      </c>
      <c r="E381" s="8"/>
    </row>
    <row r="382" spans="1:5" ht="12.75" customHeight="1" x14ac:dyDescent="0.2">
      <c r="A382" s="6" t="s">
        <v>222</v>
      </c>
      <c r="B382" s="6" t="s">
        <v>15</v>
      </c>
      <c r="C382" s="7">
        <v>157478</v>
      </c>
      <c r="D382" s="9" t="s">
        <v>16</v>
      </c>
      <c r="E382" s="8"/>
    </row>
    <row r="383" spans="1:5" ht="12.75" customHeight="1" x14ac:dyDescent="0.2">
      <c r="A383" s="6" t="s">
        <v>222</v>
      </c>
      <c r="B383" s="6" t="s">
        <v>32</v>
      </c>
      <c r="C383" s="7">
        <v>157479</v>
      </c>
      <c r="D383" s="9" t="s">
        <v>16</v>
      </c>
      <c r="E383" s="8"/>
    </row>
    <row r="384" spans="1:5" ht="12.75" customHeight="1" x14ac:dyDescent="0.2">
      <c r="A384" s="6" t="s">
        <v>193</v>
      </c>
      <c r="B384" s="6" t="s">
        <v>6</v>
      </c>
      <c r="C384" s="7">
        <v>157520</v>
      </c>
      <c r="D384" s="9" t="s">
        <v>16</v>
      </c>
      <c r="E384" s="8"/>
    </row>
    <row r="385" spans="1:5" ht="12.75" customHeight="1" x14ac:dyDescent="0.2">
      <c r="A385" s="6" t="s">
        <v>223</v>
      </c>
      <c r="B385" s="6" t="s">
        <v>15</v>
      </c>
      <c r="C385" s="7">
        <v>157530</v>
      </c>
      <c r="D385" s="9" t="s">
        <v>16</v>
      </c>
      <c r="E385" s="8"/>
    </row>
    <row r="386" spans="1:5" ht="12.75" customHeight="1" x14ac:dyDescent="0.2">
      <c r="A386" s="6" t="s">
        <v>223</v>
      </c>
      <c r="B386" s="6" t="s">
        <v>32</v>
      </c>
      <c r="C386" s="7">
        <v>157531</v>
      </c>
      <c r="D386" s="9" t="s">
        <v>16</v>
      </c>
      <c r="E386" s="8"/>
    </row>
    <row r="387" spans="1:5" ht="12.75" customHeight="1" x14ac:dyDescent="0.2">
      <c r="A387" s="6" t="s">
        <v>203</v>
      </c>
      <c r="B387" s="6" t="s">
        <v>136</v>
      </c>
      <c r="C387" s="7">
        <v>157590</v>
      </c>
      <c r="D387" s="9" t="s">
        <v>16</v>
      </c>
      <c r="E387" s="8"/>
    </row>
    <row r="388" spans="1:5" ht="12.75" customHeight="1" x14ac:dyDescent="0.2">
      <c r="A388" s="6" t="s">
        <v>224</v>
      </c>
      <c r="B388" s="6" t="s">
        <v>167</v>
      </c>
      <c r="C388" s="7">
        <v>157603</v>
      </c>
      <c r="D388" s="9" t="s">
        <v>16</v>
      </c>
      <c r="E388" s="8"/>
    </row>
    <row r="389" spans="1:5" ht="12.75" customHeight="1" x14ac:dyDescent="0.2">
      <c r="A389" s="6" t="s">
        <v>225</v>
      </c>
      <c r="B389" s="6" t="s">
        <v>226</v>
      </c>
      <c r="C389" s="7">
        <v>157634</v>
      </c>
      <c r="D389" s="9" t="s">
        <v>16</v>
      </c>
      <c r="E389" s="8"/>
    </row>
    <row r="390" spans="1:5" ht="12.75" customHeight="1" x14ac:dyDescent="0.2">
      <c r="A390" s="6" t="s">
        <v>227</v>
      </c>
      <c r="B390" s="6" t="s">
        <v>15</v>
      </c>
      <c r="C390" s="7">
        <v>157813</v>
      </c>
      <c r="D390" s="9" t="s">
        <v>16</v>
      </c>
      <c r="E390" s="8"/>
    </row>
    <row r="391" spans="1:5" ht="12.75" customHeight="1" x14ac:dyDescent="0.2">
      <c r="A391" s="6" t="s">
        <v>228</v>
      </c>
      <c r="B391" s="6" t="s">
        <v>15</v>
      </c>
      <c r="C391" s="7">
        <v>158487</v>
      </c>
      <c r="D391" s="9" t="s">
        <v>7</v>
      </c>
      <c r="E391" s="8"/>
    </row>
    <row r="392" spans="1:5" ht="12.75" customHeight="1" x14ac:dyDescent="0.2">
      <c r="A392" s="6" t="s">
        <v>229</v>
      </c>
      <c r="B392" s="6" t="s">
        <v>15</v>
      </c>
      <c r="C392" s="7">
        <v>158852</v>
      </c>
      <c r="D392" s="9" t="s">
        <v>16</v>
      </c>
      <c r="E392" s="8"/>
    </row>
    <row r="393" spans="1:5" ht="12.75" customHeight="1" x14ac:dyDescent="0.2">
      <c r="A393" s="6" t="s">
        <v>230</v>
      </c>
      <c r="B393" s="6" t="s">
        <v>15</v>
      </c>
      <c r="C393" s="7">
        <v>158853</v>
      </c>
      <c r="D393" s="9" t="s">
        <v>16</v>
      </c>
      <c r="E393" s="8"/>
    </row>
    <row r="394" spans="1:5" ht="12.75" customHeight="1" x14ac:dyDescent="0.2">
      <c r="A394" s="6" t="s">
        <v>231</v>
      </c>
      <c r="B394" s="6" t="s">
        <v>15</v>
      </c>
      <c r="C394" s="7">
        <v>158854</v>
      </c>
      <c r="D394" s="9" t="s">
        <v>16</v>
      </c>
      <c r="E394" s="8"/>
    </row>
    <row r="395" spans="1:5" ht="12.75" customHeight="1" x14ac:dyDescent="0.2">
      <c r="A395" s="6" t="s">
        <v>230</v>
      </c>
      <c r="B395" s="6" t="s">
        <v>32</v>
      </c>
      <c r="C395" s="7">
        <v>158856</v>
      </c>
      <c r="D395" s="9" t="s">
        <v>16</v>
      </c>
      <c r="E395" s="8"/>
    </row>
    <row r="396" spans="1:5" ht="12.75" customHeight="1" x14ac:dyDescent="0.2">
      <c r="A396" s="6" t="s">
        <v>231</v>
      </c>
      <c r="B396" s="6" t="s">
        <v>32</v>
      </c>
      <c r="C396" s="7">
        <v>158857</v>
      </c>
      <c r="D396" s="9" t="s">
        <v>16</v>
      </c>
      <c r="E396" s="8"/>
    </row>
    <row r="397" spans="1:5" ht="12.75" customHeight="1" x14ac:dyDescent="0.2">
      <c r="A397" s="6" t="s">
        <v>188</v>
      </c>
      <c r="B397" s="6" t="s">
        <v>6</v>
      </c>
      <c r="C397" s="7">
        <v>159114</v>
      </c>
      <c r="D397" s="9" t="s">
        <v>16</v>
      </c>
      <c r="E397" s="8"/>
    </row>
    <row r="398" spans="1:5" ht="12.75" customHeight="1" x14ac:dyDescent="0.2">
      <c r="A398" s="6" t="s">
        <v>232</v>
      </c>
      <c r="B398" s="6" t="s">
        <v>15</v>
      </c>
      <c r="C398" s="7">
        <v>159212</v>
      </c>
      <c r="D398" s="9" t="s">
        <v>16</v>
      </c>
      <c r="E398" s="8"/>
    </row>
    <row r="399" spans="1:5" ht="12.75" customHeight="1" x14ac:dyDescent="0.2">
      <c r="A399" s="6" t="s">
        <v>232</v>
      </c>
      <c r="B399" s="6" t="s">
        <v>136</v>
      </c>
      <c r="C399" s="7">
        <v>159213</v>
      </c>
      <c r="D399" s="9" t="s">
        <v>16</v>
      </c>
      <c r="E399" s="8"/>
    </row>
    <row r="400" spans="1:5" ht="12.75" customHeight="1" x14ac:dyDescent="0.2">
      <c r="A400" s="6" t="s">
        <v>233</v>
      </c>
      <c r="B400" s="6" t="s">
        <v>15</v>
      </c>
      <c r="C400" s="7">
        <v>160289</v>
      </c>
      <c r="D400" s="9" t="s">
        <v>16</v>
      </c>
      <c r="E400" s="8"/>
    </row>
    <row r="401" spans="1:5" ht="12.75" customHeight="1" x14ac:dyDescent="0.2">
      <c r="A401" s="6" t="s">
        <v>234</v>
      </c>
      <c r="B401" s="6" t="s">
        <v>15</v>
      </c>
      <c r="C401" s="7">
        <v>160664</v>
      </c>
      <c r="D401" s="9" t="s">
        <v>16</v>
      </c>
      <c r="E401" s="8"/>
    </row>
    <row r="402" spans="1:5" ht="12.75" customHeight="1" x14ac:dyDescent="0.2">
      <c r="A402" s="6" t="s">
        <v>234</v>
      </c>
      <c r="B402" s="6" t="s">
        <v>32</v>
      </c>
      <c r="C402" s="7">
        <v>160665</v>
      </c>
      <c r="D402" s="9" t="s">
        <v>16</v>
      </c>
      <c r="E402" s="8"/>
    </row>
    <row r="403" spans="1:5" ht="12.75" customHeight="1" x14ac:dyDescent="0.2">
      <c r="A403" s="6" t="s">
        <v>235</v>
      </c>
      <c r="B403" s="6" t="s">
        <v>15</v>
      </c>
      <c r="C403" s="7">
        <v>160694</v>
      </c>
      <c r="D403" s="9" t="s">
        <v>16</v>
      </c>
      <c r="E403" s="8"/>
    </row>
    <row r="404" spans="1:5" ht="12.75" customHeight="1" x14ac:dyDescent="0.2">
      <c r="A404" s="6" t="s">
        <v>21</v>
      </c>
      <c r="B404" s="6" t="s">
        <v>236</v>
      </c>
      <c r="C404" s="7">
        <v>160743</v>
      </c>
      <c r="D404" s="9" t="s">
        <v>16</v>
      </c>
      <c r="E404" s="8"/>
    </row>
    <row r="405" spans="1:5" ht="12.75" customHeight="1" x14ac:dyDescent="0.2">
      <c r="A405" s="6" t="s">
        <v>24</v>
      </c>
      <c r="B405" s="6" t="s">
        <v>236</v>
      </c>
      <c r="C405" s="7">
        <v>160746</v>
      </c>
      <c r="D405" s="9" t="s">
        <v>16</v>
      </c>
      <c r="E405" s="8"/>
    </row>
    <row r="406" spans="1:5" ht="12.75" customHeight="1" x14ac:dyDescent="0.2">
      <c r="A406" s="6" t="s">
        <v>199</v>
      </c>
      <c r="B406" s="6" t="s">
        <v>32</v>
      </c>
      <c r="C406" s="7">
        <v>160777</v>
      </c>
      <c r="D406" s="9" t="s">
        <v>16</v>
      </c>
      <c r="E406" s="8"/>
    </row>
    <row r="407" spans="1:5" ht="12.75" customHeight="1" x14ac:dyDescent="0.2">
      <c r="A407" s="6" t="s">
        <v>237</v>
      </c>
      <c r="B407" s="6" t="s">
        <v>15</v>
      </c>
      <c r="C407" s="7">
        <v>160783</v>
      </c>
      <c r="D407" s="9" t="s">
        <v>16</v>
      </c>
      <c r="E407" s="8"/>
    </row>
    <row r="408" spans="1:5" ht="12.75" customHeight="1" x14ac:dyDescent="0.2">
      <c r="A408" s="6" t="s">
        <v>237</v>
      </c>
      <c r="B408" s="6" t="s">
        <v>32</v>
      </c>
      <c r="C408" s="7">
        <v>160784</v>
      </c>
      <c r="D408" s="9" t="s">
        <v>16</v>
      </c>
      <c r="E408" s="8"/>
    </row>
    <row r="409" spans="1:5" ht="12.75" customHeight="1" x14ac:dyDescent="0.2">
      <c r="A409" s="6" t="s">
        <v>168</v>
      </c>
      <c r="B409" s="6" t="s">
        <v>11</v>
      </c>
      <c r="C409" s="7">
        <v>160801</v>
      </c>
      <c r="D409" s="9" t="s">
        <v>16</v>
      </c>
      <c r="E409" s="8"/>
    </row>
    <row r="410" spans="1:5" ht="12.75" customHeight="1" x14ac:dyDescent="0.2">
      <c r="A410" s="6" t="s">
        <v>24</v>
      </c>
      <c r="B410" s="6" t="s">
        <v>11</v>
      </c>
      <c r="C410" s="7">
        <v>160803</v>
      </c>
      <c r="D410" s="9" t="s">
        <v>16</v>
      </c>
      <c r="E410" s="8"/>
    </row>
    <row r="411" spans="1:5" ht="12.75" customHeight="1" x14ac:dyDescent="0.2">
      <c r="A411" s="6" t="s">
        <v>21</v>
      </c>
      <c r="B411" s="6" t="s">
        <v>11</v>
      </c>
      <c r="C411" s="7">
        <v>160804</v>
      </c>
      <c r="D411" s="9" t="s">
        <v>16</v>
      </c>
      <c r="E411" s="8"/>
    </row>
    <row r="412" spans="1:5" ht="12.75" customHeight="1" x14ac:dyDescent="0.2">
      <c r="A412" s="6" t="s">
        <v>17</v>
      </c>
      <c r="B412" s="6" t="s">
        <v>11</v>
      </c>
      <c r="C412" s="7">
        <v>160816</v>
      </c>
      <c r="D412" s="9" t="s">
        <v>16</v>
      </c>
      <c r="E412" s="8"/>
    </row>
    <row r="413" spans="1:5" ht="12.75" customHeight="1" x14ac:dyDescent="0.2">
      <c r="A413" s="6" t="s">
        <v>23</v>
      </c>
      <c r="B413" s="6" t="s">
        <v>11</v>
      </c>
      <c r="C413" s="7">
        <v>160820</v>
      </c>
      <c r="D413" s="9" t="s">
        <v>16</v>
      </c>
      <c r="E413" s="8"/>
    </row>
    <row r="414" spans="1:5" ht="12.75" customHeight="1" x14ac:dyDescent="0.2">
      <c r="A414" s="6" t="s">
        <v>172</v>
      </c>
      <c r="B414" s="6" t="s">
        <v>11</v>
      </c>
      <c r="C414" s="7">
        <v>160821</v>
      </c>
      <c r="D414" s="9" t="s">
        <v>16</v>
      </c>
      <c r="E414" s="8"/>
    </row>
    <row r="415" spans="1:5" ht="12.75" customHeight="1" x14ac:dyDescent="0.2">
      <c r="A415" s="6" t="s">
        <v>174</v>
      </c>
      <c r="B415" s="6" t="s">
        <v>11</v>
      </c>
      <c r="C415" s="7">
        <v>160825</v>
      </c>
      <c r="D415" s="9" t="s">
        <v>16</v>
      </c>
      <c r="E415" s="8"/>
    </row>
    <row r="416" spans="1:5" ht="12.75" customHeight="1" x14ac:dyDescent="0.2">
      <c r="A416" s="6" t="s">
        <v>20</v>
      </c>
      <c r="B416" s="6" t="s">
        <v>11</v>
      </c>
      <c r="C416" s="7">
        <v>160828</v>
      </c>
      <c r="D416" s="9" t="s">
        <v>16</v>
      </c>
      <c r="E416" s="8"/>
    </row>
    <row r="417" spans="1:5" ht="12.75" customHeight="1" x14ac:dyDescent="0.2">
      <c r="A417" s="6" t="s">
        <v>171</v>
      </c>
      <c r="B417" s="6" t="s">
        <v>11</v>
      </c>
      <c r="C417" s="7">
        <v>160830</v>
      </c>
      <c r="D417" s="9" t="s">
        <v>16</v>
      </c>
      <c r="E417" s="8"/>
    </row>
    <row r="418" spans="1:5" ht="12.75" customHeight="1" x14ac:dyDescent="0.2">
      <c r="A418" s="6" t="s">
        <v>182</v>
      </c>
      <c r="B418" s="6" t="s">
        <v>11</v>
      </c>
      <c r="C418" s="7">
        <v>160832</v>
      </c>
      <c r="D418" s="9" t="s">
        <v>16</v>
      </c>
      <c r="E418" s="8"/>
    </row>
    <row r="419" spans="1:5" ht="12.75" customHeight="1" x14ac:dyDescent="0.2">
      <c r="A419" s="6" t="s">
        <v>183</v>
      </c>
      <c r="B419" s="6" t="s">
        <v>11</v>
      </c>
      <c r="C419" s="7">
        <v>160833</v>
      </c>
      <c r="D419" s="9" t="s">
        <v>16</v>
      </c>
      <c r="E419" s="8"/>
    </row>
    <row r="420" spans="1:5" ht="12.75" customHeight="1" x14ac:dyDescent="0.2">
      <c r="A420" s="6" t="s">
        <v>196</v>
      </c>
      <c r="B420" s="6" t="s">
        <v>11</v>
      </c>
      <c r="C420" s="7">
        <v>160834</v>
      </c>
      <c r="D420" s="9" t="s">
        <v>16</v>
      </c>
      <c r="E420" s="8"/>
    </row>
    <row r="421" spans="1:5" ht="12.75" customHeight="1" x14ac:dyDescent="0.2">
      <c r="A421" s="6" t="s">
        <v>238</v>
      </c>
      <c r="B421" s="6" t="s">
        <v>239</v>
      </c>
      <c r="C421" s="7">
        <v>161172</v>
      </c>
      <c r="D421" s="9" t="s">
        <v>16</v>
      </c>
      <c r="E421" s="8"/>
    </row>
    <row r="422" spans="1:5" ht="12.75" customHeight="1" x14ac:dyDescent="0.2">
      <c r="A422" s="6" t="s">
        <v>240</v>
      </c>
      <c r="B422" s="6" t="s">
        <v>19</v>
      </c>
      <c r="C422" s="7">
        <v>161328</v>
      </c>
      <c r="D422" s="9" t="s">
        <v>16</v>
      </c>
      <c r="E422" s="8"/>
    </row>
    <row r="423" spans="1:5" ht="12.75" customHeight="1" x14ac:dyDescent="0.2">
      <c r="A423" s="6" t="s">
        <v>240</v>
      </c>
      <c r="B423" s="6" t="s">
        <v>239</v>
      </c>
      <c r="C423" s="7">
        <v>161390</v>
      </c>
      <c r="D423" s="9" t="s">
        <v>16</v>
      </c>
      <c r="E423" s="8"/>
    </row>
    <row r="424" spans="1:5" ht="12.75" customHeight="1" x14ac:dyDescent="0.2">
      <c r="A424" s="6" t="s">
        <v>238</v>
      </c>
      <c r="B424" s="6" t="s">
        <v>19</v>
      </c>
      <c r="C424" s="7">
        <v>161405</v>
      </c>
      <c r="D424" s="9" t="s">
        <v>16</v>
      </c>
      <c r="E424" s="8"/>
    </row>
    <row r="425" spans="1:5" ht="12.75" customHeight="1" x14ac:dyDescent="0.2">
      <c r="A425" s="6" t="s">
        <v>241</v>
      </c>
      <c r="B425" s="6" t="s">
        <v>32</v>
      </c>
      <c r="C425" s="7">
        <v>161407</v>
      </c>
      <c r="D425" s="9" t="s">
        <v>16</v>
      </c>
      <c r="E425" s="8"/>
    </row>
    <row r="426" spans="1:5" ht="12.75" customHeight="1" x14ac:dyDescent="0.2">
      <c r="A426" s="6" t="s">
        <v>241</v>
      </c>
      <c r="B426" s="6" t="s">
        <v>15</v>
      </c>
      <c r="C426" s="7">
        <v>161408</v>
      </c>
      <c r="D426" s="9" t="s">
        <v>16</v>
      </c>
      <c r="E426" s="8"/>
    </row>
    <row r="427" spans="1:5" ht="12.75" customHeight="1" x14ac:dyDescent="0.2">
      <c r="A427" s="6" t="s">
        <v>242</v>
      </c>
      <c r="B427" s="6" t="s">
        <v>32</v>
      </c>
      <c r="C427" s="7">
        <v>161610</v>
      </c>
      <c r="D427" s="9" t="s">
        <v>16</v>
      </c>
      <c r="E427" s="8"/>
    </row>
    <row r="428" spans="1:5" ht="12.75" customHeight="1" x14ac:dyDescent="0.2">
      <c r="A428" s="6" t="s">
        <v>227</v>
      </c>
      <c r="B428" s="6" t="s">
        <v>32</v>
      </c>
      <c r="C428" s="7">
        <v>161653</v>
      </c>
      <c r="D428" s="9" t="s">
        <v>16</v>
      </c>
      <c r="E428" s="8"/>
    </row>
    <row r="429" spans="1:5" ht="12.75" customHeight="1" x14ac:dyDescent="0.2">
      <c r="A429" s="6" t="s">
        <v>243</v>
      </c>
      <c r="B429" s="6" t="s">
        <v>15</v>
      </c>
      <c r="C429" s="7">
        <v>162117</v>
      </c>
      <c r="D429" s="9" t="s">
        <v>16</v>
      </c>
      <c r="E429" s="8"/>
    </row>
    <row r="430" spans="1:5" ht="12.75" customHeight="1" x14ac:dyDescent="0.2">
      <c r="A430" s="6" t="s">
        <v>243</v>
      </c>
      <c r="B430" s="6" t="s">
        <v>32</v>
      </c>
      <c r="C430" s="7">
        <v>162118</v>
      </c>
      <c r="D430" s="9" t="s">
        <v>16</v>
      </c>
      <c r="E430" s="8"/>
    </row>
    <row r="431" spans="1:5" ht="12.75" customHeight="1" x14ac:dyDescent="0.2">
      <c r="A431" s="6" t="s">
        <v>244</v>
      </c>
      <c r="B431" s="6" t="s">
        <v>15</v>
      </c>
      <c r="C431" s="7">
        <v>162119</v>
      </c>
      <c r="D431" s="9" t="s">
        <v>16</v>
      </c>
      <c r="E431" s="8"/>
    </row>
    <row r="432" spans="1:5" ht="12.75" customHeight="1" x14ac:dyDescent="0.2">
      <c r="A432" s="6" t="s">
        <v>244</v>
      </c>
      <c r="B432" s="6" t="s">
        <v>32</v>
      </c>
      <c r="C432" s="7">
        <v>162120</v>
      </c>
      <c r="D432" s="9" t="s">
        <v>16</v>
      </c>
      <c r="E432" s="8"/>
    </row>
    <row r="433" spans="1:5" ht="12.75" customHeight="1" x14ac:dyDescent="0.2">
      <c r="A433" s="6" t="s">
        <v>245</v>
      </c>
      <c r="B433" s="6" t="s">
        <v>15</v>
      </c>
      <c r="C433" s="7">
        <v>162121</v>
      </c>
      <c r="D433" s="9" t="s">
        <v>16</v>
      </c>
      <c r="E433" s="8"/>
    </row>
    <row r="434" spans="1:5" ht="12.75" customHeight="1" x14ac:dyDescent="0.2">
      <c r="A434" s="6" t="s">
        <v>245</v>
      </c>
      <c r="B434" s="6" t="s">
        <v>32</v>
      </c>
      <c r="C434" s="7">
        <v>162122</v>
      </c>
      <c r="D434" s="9" t="s">
        <v>16</v>
      </c>
      <c r="E434" s="8"/>
    </row>
    <row r="435" spans="1:5" ht="12.75" customHeight="1" x14ac:dyDescent="0.2">
      <c r="A435" s="6" t="s">
        <v>246</v>
      </c>
      <c r="B435" s="6" t="s">
        <v>15</v>
      </c>
      <c r="C435" s="7">
        <v>162124</v>
      </c>
      <c r="D435" s="9" t="s">
        <v>16</v>
      </c>
      <c r="E435" s="8"/>
    </row>
    <row r="436" spans="1:5" ht="12.75" customHeight="1" x14ac:dyDescent="0.2">
      <c r="A436" s="6" t="s">
        <v>246</v>
      </c>
      <c r="B436" s="6" t="s">
        <v>32</v>
      </c>
      <c r="C436" s="7">
        <v>162125</v>
      </c>
      <c r="D436" s="9" t="s">
        <v>16</v>
      </c>
      <c r="E436" s="8"/>
    </row>
    <row r="437" spans="1:5" ht="12.75" customHeight="1" x14ac:dyDescent="0.2">
      <c r="A437" s="6" t="s">
        <v>247</v>
      </c>
      <c r="B437" s="6" t="s">
        <v>15</v>
      </c>
      <c r="C437" s="7">
        <v>162126</v>
      </c>
      <c r="D437" s="9" t="s">
        <v>16</v>
      </c>
      <c r="E437" s="8"/>
    </row>
    <row r="438" spans="1:5" ht="12.75" customHeight="1" x14ac:dyDescent="0.2">
      <c r="A438" s="6" t="s">
        <v>247</v>
      </c>
      <c r="B438" s="6" t="s">
        <v>32</v>
      </c>
      <c r="C438" s="7">
        <v>162127</v>
      </c>
      <c r="D438" s="9" t="s">
        <v>16</v>
      </c>
      <c r="E438" s="8"/>
    </row>
    <row r="439" spans="1:5" ht="12.75" customHeight="1" x14ac:dyDescent="0.2">
      <c r="A439" s="6" t="s">
        <v>248</v>
      </c>
      <c r="B439" s="6" t="s">
        <v>32</v>
      </c>
      <c r="C439" s="7">
        <v>163278</v>
      </c>
      <c r="D439" s="9" t="s">
        <v>16</v>
      </c>
      <c r="E439" s="8"/>
    </row>
    <row r="440" spans="1:5" ht="12.75" customHeight="1" x14ac:dyDescent="0.2">
      <c r="A440" s="6" t="s">
        <v>249</v>
      </c>
      <c r="B440" s="6" t="s">
        <v>32</v>
      </c>
      <c r="C440" s="7">
        <v>163821</v>
      </c>
      <c r="D440" s="9" t="s">
        <v>16</v>
      </c>
      <c r="E440" s="8"/>
    </row>
    <row r="441" spans="1:5" ht="12.75" customHeight="1" x14ac:dyDescent="0.2">
      <c r="A441" s="6" t="s">
        <v>249</v>
      </c>
      <c r="B441" s="6" t="s">
        <v>15</v>
      </c>
      <c r="C441" s="7">
        <v>163822</v>
      </c>
      <c r="D441" s="9" t="s">
        <v>16</v>
      </c>
      <c r="E441" s="8"/>
    </row>
    <row r="442" spans="1:5" ht="12.75" customHeight="1" x14ac:dyDescent="0.2">
      <c r="A442" s="6" t="s">
        <v>250</v>
      </c>
      <c r="B442" s="6" t="s">
        <v>15</v>
      </c>
      <c r="C442" s="7">
        <v>164389</v>
      </c>
      <c r="D442" s="9" t="s">
        <v>16</v>
      </c>
      <c r="E442" s="8"/>
    </row>
    <row r="443" spans="1:5" ht="12.75" customHeight="1" x14ac:dyDescent="0.2">
      <c r="A443" s="6" t="s">
        <v>204</v>
      </c>
      <c r="B443" s="6" t="s">
        <v>32</v>
      </c>
      <c r="C443" s="7">
        <v>164501</v>
      </c>
      <c r="D443" s="9" t="s">
        <v>16</v>
      </c>
      <c r="E443" s="8"/>
    </row>
    <row r="444" spans="1:5" ht="12.75" customHeight="1" x14ac:dyDescent="0.2">
      <c r="A444" s="6" t="s">
        <v>134</v>
      </c>
      <c r="B444" s="6" t="s">
        <v>15</v>
      </c>
      <c r="C444" s="7">
        <v>164510</v>
      </c>
      <c r="D444" s="9" t="s">
        <v>16</v>
      </c>
      <c r="E444" s="8"/>
    </row>
    <row r="445" spans="1:5" ht="12.75" customHeight="1" x14ac:dyDescent="0.2">
      <c r="A445" s="6" t="s">
        <v>251</v>
      </c>
      <c r="B445" s="6" t="s">
        <v>15</v>
      </c>
      <c r="C445" s="7">
        <v>164570</v>
      </c>
      <c r="D445" s="9" t="s">
        <v>16</v>
      </c>
      <c r="E445" s="8"/>
    </row>
    <row r="446" spans="1:5" ht="12.75" customHeight="1" x14ac:dyDescent="0.2">
      <c r="A446" s="6" t="s">
        <v>251</v>
      </c>
      <c r="B446" s="6" t="s">
        <v>32</v>
      </c>
      <c r="C446" s="7">
        <v>164571</v>
      </c>
      <c r="D446" s="9" t="s">
        <v>16</v>
      </c>
      <c r="E446" s="8"/>
    </row>
    <row r="447" spans="1:5" ht="12.75" customHeight="1" x14ac:dyDescent="0.2">
      <c r="A447" s="6" t="s">
        <v>252</v>
      </c>
      <c r="B447" s="6" t="s">
        <v>226</v>
      </c>
      <c r="C447" s="7">
        <v>164578</v>
      </c>
      <c r="D447" s="9" t="s">
        <v>16</v>
      </c>
      <c r="E447" s="8"/>
    </row>
    <row r="448" spans="1:5" ht="12.75" customHeight="1" x14ac:dyDescent="0.2">
      <c r="A448" s="6" t="s">
        <v>253</v>
      </c>
      <c r="B448" s="6" t="s">
        <v>15</v>
      </c>
      <c r="C448" s="7">
        <v>164607</v>
      </c>
      <c r="D448" s="9" t="s">
        <v>16</v>
      </c>
      <c r="E448" s="8"/>
    </row>
    <row r="449" spans="1:5" ht="12.75" customHeight="1" x14ac:dyDescent="0.2">
      <c r="A449" s="6" t="s">
        <v>253</v>
      </c>
      <c r="B449" s="6" t="s">
        <v>32</v>
      </c>
      <c r="C449" s="7">
        <v>164608</v>
      </c>
      <c r="D449" s="9" t="s">
        <v>16</v>
      </c>
      <c r="E449" s="8"/>
    </row>
    <row r="450" spans="1:5" ht="12.75" customHeight="1" x14ac:dyDescent="0.2">
      <c r="A450" s="6" t="s">
        <v>250</v>
      </c>
      <c r="B450" s="6" t="s">
        <v>32</v>
      </c>
      <c r="C450" s="7">
        <v>164790</v>
      </c>
      <c r="D450" s="9" t="s">
        <v>16</v>
      </c>
      <c r="E450" s="8"/>
    </row>
    <row r="451" spans="1:5" ht="12.75" customHeight="1" x14ac:dyDescent="0.2">
      <c r="A451" s="6" t="s">
        <v>254</v>
      </c>
      <c r="B451" s="6" t="s">
        <v>6</v>
      </c>
      <c r="C451" s="7">
        <v>164792</v>
      </c>
      <c r="D451" s="9" t="s">
        <v>16</v>
      </c>
      <c r="E451" s="8"/>
    </row>
    <row r="452" spans="1:5" ht="12.75" customHeight="1" x14ac:dyDescent="0.2">
      <c r="A452" s="6" t="s">
        <v>208</v>
      </c>
      <c r="B452" s="6" t="s">
        <v>136</v>
      </c>
      <c r="C452" s="7">
        <v>164819</v>
      </c>
      <c r="D452" s="9" t="s">
        <v>16</v>
      </c>
      <c r="E452" s="8"/>
    </row>
    <row r="453" spans="1:5" ht="12.75" customHeight="1" x14ac:dyDescent="0.2">
      <c r="A453" s="6" t="s">
        <v>255</v>
      </c>
      <c r="B453" s="6" t="s">
        <v>15</v>
      </c>
      <c r="C453" s="7">
        <v>164840</v>
      </c>
      <c r="D453" s="9" t="s">
        <v>16</v>
      </c>
      <c r="E453" s="8"/>
    </row>
    <row r="454" spans="1:5" ht="12.75" customHeight="1" x14ac:dyDescent="0.2">
      <c r="A454" s="6" t="s">
        <v>255</v>
      </c>
      <c r="B454" s="6" t="s">
        <v>6</v>
      </c>
      <c r="C454" s="7">
        <v>164841</v>
      </c>
      <c r="D454" s="9" t="s">
        <v>16</v>
      </c>
      <c r="E454" s="8"/>
    </row>
    <row r="455" spans="1:5" ht="12.75" customHeight="1" x14ac:dyDescent="0.2">
      <c r="A455" s="6" t="s">
        <v>255</v>
      </c>
      <c r="B455" s="6" t="s">
        <v>32</v>
      </c>
      <c r="C455" s="7">
        <v>164842</v>
      </c>
      <c r="D455" s="9" t="s">
        <v>16</v>
      </c>
      <c r="E455" s="8"/>
    </row>
    <row r="456" spans="1:5" ht="12.75" customHeight="1" x14ac:dyDescent="0.2">
      <c r="A456" s="6" t="s">
        <v>252</v>
      </c>
      <c r="B456" s="6" t="s">
        <v>256</v>
      </c>
      <c r="C456" s="7">
        <v>165886</v>
      </c>
      <c r="D456" s="9" t="s">
        <v>16</v>
      </c>
      <c r="E456" s="8"/>
    </row>
    <row r="457" spans="1:5" ht="12.75" customHeight="1" x14ac:dyDescent="0.2">
      <c r="A457" s="6" t="s">
        <v>257</v>
      </c>
      <c r="B457" s="6" t="s">
        <v>32</v>
      </c>
      <c r="C457" s="7">
        <v>166130</v>
      </c>
      <c r="D457" s="9" t="s">
        <v>16</v>
      </c>
      <c r="E457" s="8"/>
    </row>
    <row r="458" spans="1:5" ht="12.75" customHeight="1" x14ac:dyDescent="0.2">
      <c r="A458" s="6" t="s">
        <v>257</v>
      </c>
      <c r="B458" s="6" t="s">
        <v>15</v>
      </c>
      <c r="C458" s="7">
        <v>166131</v>
      </c>
      <c r="D458" s="9" t="s">
        <v>16</v>
      </c>
      <c r="E458" s="8"/>
    </row>
    <row r="459" spans="1:5" ht="12.75" customHeight="1" x14ac:dyDescent="0.2">
      <c r="A459" s="6" t="s">
        <v>212</v>
      </c>
      <c r="B459" s="6" t="s">
        <v>32</v>
      </c>
      <c r="C459" s="7">
        <v>166181</v>
      </c>
      <c r="D459" s="9" t="s">
        <v>16</v>
      </c>
      <c r="E459" s="8"/>
    </row>
    <row r="460" spans="1:5" ht="12.75" customHeight="1" x14ac:dyDescent="0.2">
      <c r="A460" s="6" t="s">
        <v>258</v>
      </c>
      <c r="B460" s="6" t="s">
        <v>167</v>
      </c>
      <c r="C460" s="7">
        <v>167268</v>
      </c>
      <c r="D460" s="9" t="s">
        <v>16</v>
      </c>
      <c r="E460" s="8"/>
    </row>
    <row r="461" spans="1:5" ht="12.75" customHeight="1" x14ac:dyDescent="0.2">
      <c r="A461" s="6" t="s">
        <v>259</v>
      </c>
      <c r="B461" s="6" t="s">
        <v>15</v>
      </c>
      <c r="C461" s="7">
        <v>167295</v>
      </c>
      <c r="D461" s="9" t="s">
        <v>16</v>
      </c>
      <c r="E461" s="8"/>
    </row>
    <row r="462" spans="1:5" ht="12.75" customHeight="1" x14ac:dyDescent="0.2">
      <c r="A462" s="6" t="s">
        <v>259</v>
      </c>
      <c r="B462" s="6" t="s">
        <v>6</v>
      </c>
      <c r="C462" s="7">
        <v>167311</v>
      </c>
      <c r="D462" s="9" t="s">
        <v>16</v>
      </c>
      <c r="E462" s="8"/>
    </row>
    <row r="463" spans="1:5" ht="12.75" customHeight="1" x14ac:dyDescent="0.2">
      <c r="A463" s="6" t="s">
        <v>260</v>
      </c>
      <c r="B463" s="6" t="s">
        <v>15</v>
      </c>
      <c r="C463" s="7">
        <v>167654</v>
      </c>
      <c r="D463" s="9" t="s">
        <v>7</v>
      </c>
      <c r="E463" s="8"/>
    </row>
    <row r="464" spans="1:5" ht="12.75" customHeight="1" x14ac:dyDescent="0.2">
      <c r="A464" s="6" t="s">
        <v>261</v>
      </c>
      <c r="B464" s="6" t="s">
        <v>6</v>
      </c>
      <c r="C464" s="7">
        <v>168307</v>
      </c>
      <c r="D464" s="9" t="s">
        <v>16</v>
      </c>
      <c r="E464" s="8"/>
    </row>
    <row r="465" spans="1:5" ht="12.75" customHeight="1" x14ac:dyDescent="0.2">
      <c r="A465" s="6" t="s">
        <v>262</v>
      </c>
      <c r="B465" s="6" t="s">
        <v>15</v>
      </c>
      <c r="C465" s="7">
        <v>168517</v>
      </c>
      <c r="D465" s="9" t="s">
        <v>16</v>
      </c>
      <c r="E465" s="8"/>
    </row>
    <row r="466" spans="1:5" ht="12.75" customHeight="1" x14ac:dyDescent="0.2">
      <c r="A466" s="6" t="s">
        <v>263</v>
      </c>
      <c r="B466" s="6" t="s">
        <v>15</v>
      </c>
      <c r="C466" s="7">
        <v>168522</v>
      </c>
      <c r="D466" s="9" t="s">
        <v>16</v>
      </c>
      <c r="E466" s="8"/>
    </row>
    <row r="467" spans="1:5" ht="12.75" customHeight="1" x14ac:dyDescent="0.2">
      <c r="A467" s="6" t="s">
        <v>264</v>
      </c>
      <c r="B467" s="6" t="s">
        <v>136</v>
      </c>
      <c r="C467" s="7">
        <v>168817</v>
      </c>
      <c r="D467" s="9" t="s">
        <v>16</v>
      </c>
      <c r="E467" s="8"/>
    </row>
    <row r="468" spans="1:5" ht="12.75" customHeight="1" x14ac:dyDescent="0.2">
      <c r="A468" s="6" t="s">
        <v>264</v>
      </c>
      <c r="B468" s="6" t="s">
        <v>15</v>
      </c>
      <c r="C468" s="7">
        <v>168818</v>
      </c>
      <c r="D468" s="9" t="s">
        <v>16</v>
      </c>
      <c r="E468" s="8"/>
    </row>
    <row r="469" spans="1:5" ht="12.75" customHeight="1" x14ac:dyDescent="0.2">
      <c r="A469" s="6" t="s">
        <v>264</v>
      </c>
      <c r="B469" s="6" t="s">
        <v>32</v>
      </c>
      <c r="C469" s="7">
        <v>168819</v>
      </c>
      <c r="D469" s="9" t="s">
        <v>16</v>
      </c>
      <c r="E469" s="8"/>
    </row>
    <row r="470" spans="1:5" ht="12.75" customHeight="1" x14ac:dyDescent="0.2">
      <c r="A470" s="6" t="s">
        <v>217</v>
      </c>
      <c r="B470" s="6" t="s">
        <v>32</v>
      </c>
      <c r="C470" s="7">
        <v>169898</v>
      </c>
      <c r="D470" s="9" t="s">
        <v>16</v>
      </c>
      <c r="E470" s="8"/>
    </row>
    <row r="471" spans="1:5" ht="12.75" customHeight="1" x14ac:dyDescent="0.2">
      <c r="A471" s="6" t="s">
        <v>265</v>
      </c>
      <c r="B471" s="6" t="s">
        <v>15</v>
      </c>
      <c r="C471" s="7">
        <v>170294</v>
      </c>
      <c r="D471" s="9" t="s">
        <v>16</v>
      </c>
      <c r="E471" s="8"/>
    </row>
    <row r="472" spans="1:5" ht="12.75" customHeight="1" x14ac:dyDescent="0.2">
      <c r="A472" s="6" t="s">
        <v>265</v>
      </c>
      <c r="B472" s="6" t="s">
        <v>32</v>
      </c>
      <c r="C472" s="7">
        <v>170296</v>
      </c>
      <c r="D472" s="9" t="s">
        <v>16</v>
      </c>
      <c r="E472" s="8"/>
    </row>
    <row r="473" spans="1:5" ht="12.75" customHeight="1" x14ac:dyDescent="0.2">
      <c r="A473" s="6" t="s">
        <v>266</v>
      </c>
      <c r="B473" s="6" t="s">
        <v>15</v>
      </c>
      <c r="C473" s="7">
        <v>170304</v>
      </c>
      <c r="D473" s="9" t="s">
        <v>16</v>
      </c>
      <c r="E473" s="8"/>
    </row>
    <row r="474" spans="1:5" ht="12.75" customHeight="1" x14ac:dyDescent="0.2">
      <c r="A474" s="6" t="s">
        <v>267</v>
      </c>
      <c r="B474" s="6" t="s">
        <v>226</v>
      </c>
      <c r="C474" s="7">
        <v>170667</v>
      </c>
      <c r="D474" s="9" t="s">
        <v>16</v>
      </c>
      <c r="E474" s="8"/>
    </row>
    <row r="475" spans="1:5" ht="12.75" customHeight="1" x14ac:dyDescent="0.2">
      <c r="A475" s="6" t="s">
        <v>267</v>
      </c>
      <c r="B475" s="6" t="s">
        <v>256</v>
      </c>
      <c r="C475" s="7">
        <v>170669</v>
      </c>
      <c r="D475" s="9" t="s">
        <v>16</v>
      </c>
      <c r="E475" s="8"/>
    </row>
    <row r="476" spans="1:5" ht="12.75" customHeight="1" x14ac:dyDescent="0.2">
      <c r="A476" s="6" t="s">
        <v>268</v>
      </c>
      <c r="B476" s="6" t="s">
        <v>15</v>
      </c>
      <c r="C476" s="7">
        <v>170748</v>
      </c>
      <c r="D476" s="9" t="s">
        <v>16</v>
      </c>
      <c r="E476" s="8"/>
    </row>
    <row r="477" spans="1:5" ht="12.75" customHeight="1" x14ac:dyDescent="0.2">
      <c r="A477" s="6" t="s">
        <v>269</v>
      </c>
      <c r="B477" s="6" t="s">
        <v>15</v>
      </c>
      <c r="C477" s="7">
        <v>170800</v>
      </c>
      <c r="D477" s="9" t="s">
        <v>16</v>
      </c>
      <c r="E477" s="8"/>
    </row>
    <row r="478" spans="1:5" ht="12.75" customHeight="1" x14ac:dyDescent="0.2">
      <c r="A478" s="6" t="s">
        <v>270</v>
      </c>
      <c r="B478" s="6" t="s">
        <v>32</v>
      </c>
      <c r="C478" s="7">
        <v>171270</v>
      </c>
      <c r="D478" s="9" t="s">
        <v>16</v>
      </c>
      <c r="E478" s="8"/>
    </row>
    <row r="479" spans="1:5" ht="12.75" customHeight="1" x14ac:dyDescent="0.2">
      <c r="A479" s="6" t="s">
        <v>271</v>
      </c>
      <c r="B479" s="6" t="s">
        <v>15</v>
      </c>
      <c r="C479" s="7">
        <v>171474</v>
      </c>
      <c r="D479" s="9" t="s">
        <v>16</v>
      </c>
      <c r="E479" s="8"/>
    </row>
    <row r="480" spans="1:5" ht="12.75" customHeight="1" x14ac:dyDescent="0.2">
      <c r="A480" s="6" t="s">
        <v>271</v>
      </c>
      <c r="B480" s="6" t="s">
        <v>32</v>
      </c>
      <c r="C480" s="7">
        <v>171475</v>
      </c>
      <c r="D480" s="9" t="s">
        <v>16</v>
      </c>
      <c r="E480" s="8"/>
    </row>
    <row r="481" spans="1:5" ht="12.75" customHeight="1" x14ac:dyDescent="0.2">
      <c r="A481" s="6" t="s">
        <v>272</v>
      </c>
      <c r="B481" s="6" t="s">
        <v>273</v>
      </c>
      <c r="C481" s="7">
        <v>172772</v>
      </c>
      <c r="D481" s="9" t="s">
        <v>16</v>
      </c>
      <c r="E481" s="8"/>
    </row>
    <row r="482" spans="1:5" ht="12.75" customHeight="1" x14ac:dyDescent="0.2">
      <c r="A482" s="6" t="s">
        <v>267</v>
      </c>
      <c r="B482" s="6" t="s">
        <v>239</v>
      </c>
      <c r="C482" s="7">
        <v>172826</v>
      </c>
      <c r="D482" s="9" t="s">
        <v>16</v>
      </c>
      <c r="E482" s="8"/>
    </row>
    <row r="483" spans="1:5" ht="12.75" customHeight="1" x14ac:dyDescent="0.2">
      <c r="A483" s="6" t="s">
        <v>211</v>
      </c>
      <c r="B483" s="6" t="s">
        <v>167</v>
      </c>
      <c r="C483" s="7">
        <v>174028</v>
      </c>
      <c r="D483" s="9" t="s">
        <v>16</v>
      </c>
      <c r="E483" s="8"/>
    </row>
    <row r="484" spans="1:5" ht="12.75" customHeight="1" x14ac:dyDescent="0.2">
      <c r="A484" s="6" t="s">
        <v>70</v>
      </c>
      <c r="B484" s="6" t="s">
        <v>136</v>
      </c>
      <c r="C484" s="7">
        <v>174239</v>
      </c>
      <c r="D484" s="9" t="s">
        <v>16</v>
      </c>
      <c r="E484" s="8"/>
    </row>
    <row r="485" spans="1:5" ht="12.75" customHeight="1" x14ac:dyDescent="0.2">
      <c r="A485" s="6" t="s">
        <v>274</v>
      </c>
      <c r="B485" s="6" t="s">
        <v>15</v>
      </c>
      <c r="C485" s="7">
        <v>174337</v>
      </c>
      <c r="D485" s="9" t="s">
        <v>16</v>
      </c>
      <c r="E485" s="8"/>
    </row>
    <row r="486" spans="1:5" ht="12.75" customHeight="1" x14ac:dyDescent="0.2">
      <c r="A486" s="6" t="s">
        <v>275</v>
      </c>
      <c r="B486" s="6" t="s">
        <v>15</v>
      </c>
      <c r="C486" s="7">
        <v>174341</v>
      </c>
      <c r="D486" s="9" t="s">
        <v>16</v>
      </c>
      <c r="E486" s="8"/>
    </row>
    <row r="487" spans="1:5" ht="12.75" customHeight="1" x14ac:dyDescent="0.2">
      <c r="A487" s="6" t="s">
        <v>274</v>
      </c>
      <c r="B487" s="6" t="s">
        <v>32</v>
      </c>
      <c r="C487" s="7">
        <v>174371</v>
      </c>
      <c r="D487" s="9" t="s">
        <v>16</v>
      </c>
      <c r="E487" s="8"/>
    </row>
    <row r="488" spans="1:5" ht="12.75" customHeight="1" x14ac:dyDescent="0.2">
      <c r="A488" s="6" t="s">
        <v>276</v>
      </c>
      <c r="B488" s="6" t="s">
        <v>32</v>
      </c>
      <c r="C488" s="7">
        <v>174389</v>
      </c>
      <c r="D488" s="9" t="s">
        <v>16</v>
      </c>
      <c r="E488" s="8"/>
    </row>
    <row r="489" spans="1:5" ht="12.75" customHeight="1" x14ac:dyDescent="0.2">
      <c r="A489" s="6" t="s">
        <v>277</v>
      </c>
      <c r="B489" s="6" t="s">
        <v>278</v>
      </c>
      <c r="C489" s="7">
        <v>174547</v>
      </c>
      <c r="D489" s="9" t="s">
        <v>16</v>
      </c>
      <c r="E489" s="8"/>
    </row>
    <row r="490" spans="1:5" ht="12.75" customHeight="1" x14ac:dyDescent="0.2">
      <c r="A490" s="6" t="s">
        <v>279</v>
      </c>
      <c r="B490" s="6" t="s">
        <v>15</v>
      </c>
      <c r="C490" s="7">
        <v>175404</v>
      </c>
      <c r="D490" s="9" t="s">
        <v>16</v>
      </c>
      <c r="E490" s="8"/>
    </row>
    <row r="491" spans="1:5" ht="12.75" customHeight="1" x14ac:dyDescent="0.2">
      <c r="A491" s="6" t="s">
        <v>279</v>
      </c>
      <c r="B491" s="6" t="s">
        <v>32</v>
      </c>
      <c r="C491" s="7">
        <v>175405</v>
      </c>
      <c r="D491" s="9" t="s">
        <v>16</v>
      </c>
      <c r="E491" s="8"/>
    </row>
    <row r="492" spans="1:5" ht="12.75" customHeight="1" x14ac:dyDescent="0.2">
      <c r="A492" s="6" t="s">
        <v>275</v>
      </c>
      <c r="B492" s="6" t="s">
        <v>32</v>
      </c>
      <c r="C492" s="7">
        <v>175755</v>
      </c>
      <c r="D492" s="9" t="s">
        <v>16</v>
      </c>
      <c r="E492" s="8"/>
    </row>
    <row r="493" spans="1:5" ht="12.75" customHeight="1" x14ac:dyDescent="0.2">
      <c r="A493" s="6" t="s">
        <v>280</v>
      </c>
      <c r="B493" s="6" t="s">
        <v>15</v>
      </c>
      <c r="C493" s="7">
        <v>176012</v>
      </c>
      <c r="D493" s="9" t="s">
        <v>16</v>
      </c>
      <c r="E493" s="8"/>
    </row>
    <row r="494" spans="1:5" ht="12.75" customHeight="1" x14ac:dyDescent="0.2">
      <c r="A494" s="6" t="s">
        <v>281</v>
      </c>
      <c r="B494" s="6" t="s">
        <v>18</v>
      </c>
      <c r="C494" s="7">
        <v>176269</v>
      </c>
      <c r="D494" s="9" t="s">
        <v>16</v>
      </c>
      <c r="E494" s="8"/>
    </row>
    <row r="495" spans="1:5" ht="12.75" customHeight="1" x14ac:dyDescent="0.2">
      <c r="A495" s="6" t="s">
        <v>242</v>
      </c>
      <c r="B495" s="6" t="s">
        <v>15</v>
      </c>
      <c r="C495" s="7">
        <v>176747</v>
      </c>
      <c r="D495" s="9" t="s">
        <v>16</v>
      </c>
      <c r="E495" s="8"/>
    </row>
    <row r="496" spans="1:5" ht="12.75" customHeight="1" x14ac:dyDescent="0.2">
      <c r="A496" s="6" t="s">
        <v>281</v>
      </c>
      <c r="B496" s="6" t="s">
        <v>167</v>
      </c>
      <c r="C496" s="7">
        <v>177040</v>
      </c>
      <c r="D496" s="9" t="s">
        <v>16</v>
      </c>
      <c r="E496" s="8"/>
    </row>
    <row r="497" spans="1:5" ht="12.75" customHeight="1" x14ac:dyDescent="0.2">
      <c r="A497" s="6" t="s">
        <v>282</v>
      </c>
      <c r="B497" s="6" t="s">
        <v>283</v>
      </c>
      <c r="C497" s="7">
        <v>178225</v>
      </c>
      <c r="D497" s="9" t="s">
        <v>16</v>
      </c>
      <c r="E497" s="8"/>
    </row>
    <row r="498" spans="1:5" ht="12.75" customHeight="1" x14ac:dyDescent="0.2">
      <c r="A498" s="6" t="s">
        <v>184</v>
      </c>
      <c r="B498" s="6" t="s">
        <v>11</v>
      </c>
      <c r="C498" s="7">
        <v>178530</v>
      </c>
      <c r="D498" s="9" t="s">
        <v>16</v>
      </c>
      <c r="E498" s="8"/>
    </row>
    <row r="499" spans="1:5" ht="12.75" customHeight="1" x14ac:dyDescent="0.2">
      <c r="A499" s="6" t="s">
        <v>281</v>
      </c>
      <c r="B499" s="6" t="s">
        <v>19</v>
      </c>
      <c r="C499" s="7">
        <v>179302</v>
      </c>
      <c r="D499" s="9" t="s">
        <v>16</v>
      </c>
      <c r="E499" s="8"/>
    </row>
    <row r="500" spans="1:5" ht="12.75" customHeight="1" x14ac:dyDescent="0.2">
      <c r="A500" s="6" t="s">
        <v>281</v>
      </c>
      <c r="B500" s="6" t="s">
        <v>284</v>
      </c>
      <c r="C500" s="7">
        <v>179304</v>
      </c>
      <c r="D500" s="9" t="s">
        <v>16</v>
      </c>
      <c r="E500" s="8"/>
    </row>
    <row r="501" spans="1:5" ht="12.75" customHeight="1" x14ac:dyDescent="0.2">
      <c r="A501" s="6" t="s">
        <v>285</v>
      </c>
      <c r="B501" s="6" t="s">
        <v>15</v>
      </c>
      <c r="C501" s="7">
        <v>180858</v>
      </c>
      <c r="D501" s="9" t="s">
        <v>16</v>
      </c>
      <c r="E501" s="8"/>
    </row>
    <row r="502" spans="1:5" ht="12.75" customHeight="1" x14ac:dyDescent="0.2">
      <c r="A502" s="6" t="s">
        <v>285</v>
      </c>
      <c r="B502" s="6" t="s">
        <v>6</v>
      </c>
      <c r="C502" s="7">
        <v>180859</v>
      </c>
      <c r="D502" s="9" t="s">
        <v>16</v>
      </c>
      <c r="E502" s="8"/>
    </row>
    <row r="503" spans="1:5" ht="12.75" customHeight="1" x14ac:dyDescent="0.2">
      <c r="A503" s="6" t="s">
        <v>286</v>
      </c>
      <c r="B503" s="6" t="s">
        <v>32</v>
      </c>
      <c r="C503" s="7">
        <v>180949</v>
      </c>
      <c r="D503" s="9" t="s">
        <v>16</v>
      </c>
      <c r="E503" s="8"/>
    </row>
    <row r="504" spans="1:5" ht="12.75" customHeight="1" x14ac:dyDescent="0.2">
      <c r="A504" s="6" t="s">
        <v>287</v>
      </c>
      <c r="B504" s="6" t="s">
        <v>15</v>
      </c>
      <c r="C504" s="7">
        <v>180968</v>
      </c>
      <c r="D504" s="9" t="s">
        <v>16</v>
      </c>
      <c r="E504" s="8"/>
    </row>
    <row r="505" spans="1:5" ht="12.75" customHeight="1" x14ac:dyDescent="0.2">
      <c r="A505" s="6" t="s">
        <v>285</v>
      </c>
      <c r="B505" s="6" t="s">
        <v>32</v>
      </c>
      <c r="C505" s="7">
        <v>181710</v>
      </c>
      <c r="D505" s="9" t="s">
        <v>16</v>
      </c>
      <c r="E505" s="8"/>
    </row>
    <row r="506" spans="1:5" ht="12.75" customHeight="1" x14ac:dyDescent="0.2">
      <c r="A506" s="6" t="s">
        <v>286</v>
      </c>
      <c r="B506" s="6" t="s">
        <v>15</v>
      </c>
      <c r="C506" s="7">
        <v>181740</v>
      </c>
      <c r="D506" s="9" t="s">
        <v>16</v>
      </c>
      <c r="E506" s="8"/>
    </row>
    <row r="507" spans="1:5" ht="12.75" customHeight="1" x14ac:dyDescent="0.2">
      <c r="A507" s="6" t="s">
        <v>288</v>
      </c>
      <c r="B507" s="6" t="s">
        <v>15</v>
      </c>
      <c r="C507" s="7">
        <v>182021</v>
      </c>
      <c r="D507" s="9" t="s">
        <v>16</v>
      </c>
      <c r="E507" s="8"/>
    </row>
    <row r="508" spans="1:5" ht="12.75" customHeight="1" x14ac:dyDescent="0.2">
      <c r="A508" s="6" t="s">
        <v>288</v>
      </c>
      <c r="B508" s="6" t="s">
        <v>32</v>
      </c>
      <c r="C508" s="7">
        <v>182022</v>
      </c>
      <c r="D508" s="9" t="s">
        <v>16</v>
      </c>
      <c r="E508" s="8"/>
    </row>
    <row r="509" spans="1:5" ht="12.75" customHeight="1" x14ac:dyDescent="0.2">
      <c r="A509" s="6" t="s">
        <v>289</v>
      </c>
      <c r="B509" s="6" t="s">
        <v>18</v>
      </c>
      <c r="C509" s="7">
        <v>182158</v>
      </c>
      <c r="D509" s="9" t="s">
        <v>16</v>
      </c>
      <c r="E509" s="8"/>
    </row>
    <row r="510" spans="1:5" ht="12.75" customHeight="1" x14ac:dyDescent="0.2">
      <c r="A510" s="6" t="s">
        <v>289</v>
      </c>
      <c r="B510" s="6" t="s">
        <v>167</v>
      </c>
      <c r="C510" s="7">
        <v>182159</v>
      </c>
      <c r="D510" s="9" t="s">
        <v>16</v>
      </c>
      <c r="E510" s="8"/>
    </row>
    <row r="511" spans="1:5" ht="12.75" customHeight="1" x14ac:dyDescent="0.2">
      <c r="A511" s="6" t="s">
        <v>290</v>
      </c>
      <c r="B511" s="6" t="s">
        <v>6</v>
      </c>
      <c r="C511" s="7">
        <v>182163</v>
      </c>
      <c r="D511" s="9" t="s">
        <v>16</v>
      </c>
      <c r="E511" s="8"/>
    </row>
    <row r="512" spans="1:5" ht="12.75" customHeight="1" x14ac:dyDescent="0.2">
      <c r="A512" s="6" t="s">
        <v>289</v>
      </c>
      <c r="B512" s="6" t="s">
        <v>284</v>
      </c>
      <c r="C512" s="7">
        <v>182240</v>
      </c>
      <c r="D512" s="9" t="s">
        <v>16</v>
      </c>
      <c r="E512" s="8"/>
    </row>
    <row r="513" spans="1:5" ht="12.75" customHeight="1" x14ac:dyDescent="0.2">
      <c r="A513" s="6" t="s">
        <v>289</v>
      </c>
      <c r="B513" s="6" t="s">
        <v>19</v>
      </c>
      <c r="C513" s="7">
        <v>182241</v>
      </c>
      <c r="D513" s="9" t="s">
        <v>16</v>
      </c>
      <c r="E513" s="8"/>
    </row>
    <row r="514" spans="1:5" ht="12.75" customHeight="1" x14ac:dyDescent="0.2">
      <c r="A514" s="6" t="s">
        <v>277</v>
      </c>
      <c r="B514" s="6" t="s">
        <v>283</v>
      </c>
      <c r="C514" s="7">
        <v>182305</v>
      </c>
      <c r="D514" s="9" t="s">
        <v>16</v>
      </c>
      <c r="E514" s="8"/>
    </row>
    <row r="515" spans="1:5" ht="12.75" customHeight="1" x14ac:dyDescent="0.2">
      <c r="A515" s="6" t="s">
        <v>240</v>
      </c>
      <c r="B515" s="6" t="s">
        <v>226</v>
      </c>
      <c r="C515" s="7">
        <v>182499</v>
      </c>
      <c r="D515" s="9" t="s">
        <v>16</v>
      </c>
      <c r="E515" s="8"/>
    </row>
    <row r="516" spans="1:5" ht="12.75" customHeight="1" x14ac:dyDescent="0.2">
      <c r="A516" s="6" t="s">
        <v>240</v>
      </c>
      <c r="B516" s="6" t="s">
        <v>256</v>
      </c>
      <c r="C516" s="7">
        <v>182690</v>
      </c>
      <c r="D516" s="9" t="s">
        <v>16</v>
      </c>
      <c r="E516" s="8"/>
    </row>
    <row r="517" spans="1:5" ht="12.75" customHeight="1" x14ac:dyDescent="0.2">
      <c r="A517" s="6" t="s">
        <v>203</v>
      </c>
      <c r="B517" s="6" t="s">
        <v>6</v>
      </c>
      <c r="C517" s="7">
        <v>182883</v>
      </c>
      <c r="D517" s="9" t="s">
        <v>16</v>
      </c>
      <c r="E517" s="8"/>
    </row>
    <row r="518" spans="1:5" ht="12.75" customHeight="1" x14ac:dyDescent="0.2">
      <c r="A518" s="6" t="s">
        <v>238</v>
      </c>
      <c r="B518" s="6" t="s">
        <v>226</v>
      </c>
      <c r="C518" s="7">
        <v>182884</v>
      </c>
      <c r="D518" s="9" t="s">
        <v>16</v>
      </c>
      <c r="E518" s="8"/>
    </row>
    <row r="519" spans="1:5" ht="12.75" customHeight="1" x14ac:dyDescent="0.2">
      <c r="A519" s="6" t="s">
        <v>291</v>
      </c>
      <c r="B519" s="6" t="s">
        <v>6</v>
      </c>
      <c r="C519" s="7">
        <v>183087</v>
      </c>
      <c r="D519" s="9" t="s">
        <v>7</v>
      </c>
      <c r="E519" s="8"/>
    </row>
    <row r="520" spans="1:5" ht="12.75" customHeight="1" x14ac:dyDescent="0.2">
      <c r="A520" s="6" t="s">
        <v>292</v>
      </c>
      <c r="B520" s="6" t="s">
        <v>15</v>
      </c>
      <c r="C520" s="7">
        <v>183126</v>
      </c>
      <c r="D520" s="9" t="s">
        <v>7</v>
      </c>
      <c r="E520" s="8"/>
    </row>
    <row r="521" spans="1:5" ht="12.75" customHeight="1" x14ac:dyDescent="0.2">
      <c r="A521" s="6" t="s">
        <v>293</v>
      </c>
      <c r="B521" s="6" t="s">
        <v>6</v>
      </c>
      <c r="C521" s="7">
        <v>183133</v>
      </c>
      <c r="D521" s="9" t="s">
        <v>7</v>
      </c>
      <c r="E521" s="8"/>
    </row>
    <row r="522" spans="1:5" ht="12.75" customHeight="1" x14ac:dyDescent="0.2">
      <c r="A522" s="6" t="s">
        <v>293</v>
      </c>
      <c r="B522" s="6" t="s">
        <v>15</v>
      </c>
      <c r="C522" s="7">
        <v>183134</v>
      </c>
      <c r="D522" s="9" t="s">
        <v>7</v>
      </c>
      <c r="E522" s="8"/>
    </row>
    <row r="523" spans="1:5" ht="12.75" customHeight="1" x14ac:dyDescent="0.2">
      <c r="A523" s="6" t="s">
        <v>294</v>
      </c>
      <c r="B523" s="6" t="s">
        <v>15</v>
      </c>
      <c r="C523" s="7">
        <v>183135</v>
      </c>
      <c r="D523" s="9" t="s">
        <v>16</v>
      </c>
      <c r="E523" s="8"/>
    </row>
    <row r="524" spans="1:5" ht="12.75" customHeight="1" x14ac:dyDescent="0.2">
      <c r="A524" s="6" t="s">
        <v>250</v>
      </c>
      <c r="B524" s="6" t="s">
        <v>6</v>
      </c>
      <c r="C524" s="7">
        <v>183173</v>
      </c>
      <c r="D524" s="9" t="s">
        <v>16</v>
      </c>
      <c r="E524" s="8"/>
    </row>
    <row r="525" spans="1:5" ht="12.75" customHeight="1" x14ac:dyDescent="0.2">
      <c r="A525" s="6" t="s">
        <v>295</v>
      </c>
      <c r="B525" s="6" t="s">
        <v>6</v>
      </c>
      <c r="C525" s="7">
        <v>183266</v>
      </c>
      <c r="D525" s="9" t="s">
        <v>7</v>
      </c>
      <c r="E525" s="8"/>
    </row>
    <row r="526" spans="1:5" ht="12.75" customHeight="1" x14ac:dyDescent="0.2">
      <c r="A526" s="6" t="s">
        <v>295</v>
      </c>
      <c r="B526" s="6" t="s">
        <v>15</v>
      </c>
      <c r="C526" s="7">
        <v>183267</v>
      </c>
      <c r="D526" s="9" t="s">
        <v>7</v>
      </c>
      <c r="E526" s="8"/>
    </row>
    <row r="527" spans="1:5" ht="12.75" customHeight="1" x14ac:dyDescent="0.2">
      <c r="A527" s="6" t="s">
        <v>296</v>
      </c>
      <c r="B527" s="6" t="s">
        <v>15</v>
      </c>
      <c r="C527" s="7">
        <v>183269</v>
      </c>
      <c r="D527" s="9" t="s">
        <v>7</v>
      </c>
      <c r="E527" s="8"/>
    </row>
    <row r="528" spans="1:5" ht="12.75" customHeight="1" x14ac:dyDescent="0.2">
      <c r="A528" s="6" t="s">
        <v>297</v>
      </c>
      <c r="B528" s="6" t="s">
        <v>6</v>
      </c>
      <c r="C528" s="7">
        <v>183294</v>
      </c>
      <c r="D528" s="9" t="s">
        <v>7</v>
      </c>
      <c r="E528" s="8"/>
    </row>
    <row r="529" spans="1:5" ht="12.75" customHeight="1" x14ac:dyDescent="0.2">
      <c r="A529" s="6" t="s">
        <v>297</v>
      </c>
      <c r="B529" s="6" t="s">
        <v>15</v>
      </c>
      <c r="C529" s="7">
        <v>183295</v>
      </c>
      <c r="D529" s="9" t="s">
        <v>7</v>
      </c>
      <c r="E529" s="8"/>
    </row>
    <row r="530" spans="1:5" ht="12.75" customHeight="1" x14ac:dyDescent="0.2">
      <c r="A530" s="6" t="s">
        <v>298</v>
      </c>
      <c r="B530" s="6" t="s">
        <v>6</v>
      </c>
      <c r="C530" s="7">
        <v>183301</v>
      </c>
      <c r="D530" s="9" t="s">
        <v>7</v>
      </c>
      <c r="E530" s="8"/>
    </row>
    <row r="531" spans="1:5" ht="12.75" customHeight="1" x14ac:dyDescent="0.2">
      <c r="A531" s="6" t="s">
        <v>298</v>
      </c>
      <c r="B531" s="6" t="s">
        <v>15</v>
      </c>
      <c r="C531" s="7">
        <v>183302</v>
      </c>
      <c r="D531" s="9" t="s">
        <v>7</v>
      </c>
      <c r="E531" s="8"/>
    </row>
    <row r="532" spans="1:5" ht="12.75" customHeight="1" x14ac:dyDescent="0.2">
      <c r="A532" s="6" t="s">
        <v>299</v>
      </c>
      <c r="B532" s="6" t="s">
        <v>6</v>
      </c>
      <c r="C532" s="7">
        <v>183305</v>
      </c>
      <c r="D532" s="9" t="s">
        <v>7</v>
      </c>
      <c r="E532" s="8"/>
    </row>
    <row r="533" spans="1:5" ht="12.75" customHeight="1" x14ac:dyDescent="0.2">
      <c r="A533" s="6" t="s">
        <v>300</v>
      </c>
      <c r="B533" s="6" t="s">
        <v>6</v>
      </c>
      <c r="C533" s="7">
        <v>183313</v>
      </c>
      <c r="D533" s="9" t="s">
        <v>7</v>
      </c>
      <c r="E533" s="8"/>
    </row>
    <row r="534" spans="1:5" ht="12.75" customHeight="1" x14ac:dyDescent="0.2">
      <c r="A534" s="6" t="s">
        <v>300</v>
      </c>
      <c r="B534" s="6" t="s">
        <v>15</v>
      </c>
      <c r="C534" s="7">
        <v>183314</v>
      </c>
      <c r="D534" s="9" t="s">
        <v>7</v>
      </c>
      <c r="E534" s="8"/>
    </row>
    <row r="535" spans="1:5" ht="12.75" customHeight="1" x14ac:dyDescent="0.2">
      <c r="A535" s="6" t="s">
        <v>301</v>
      </c>
      <c r="B535" s="6" t="s">
        <v>6</v>
      </c>
      <c r="C535" s="7">
        <v>183332</v>
      </c>
      <c r="D535" s="9" t="s">
        <v>7</v>
      </c>
      <c r="E535" s="8"/>
    </row>
    <row r="536" spans="1:5" ht="12.75" customHeight="1" x14ac:dyDescent="0.2">
      <c r="A536" s="6" t="s">
        <v>301</v>
      </c>
      <c r="B536" s="6" t="s">
        <v>15</v>
      </c>
      <c r="C536" s="7">
        <v>183333</v>
      </c>
      <c r="D536" s="9" t="s">
        <v>7</v>
      </c>
      <c r="E536" s="8"/>
    </row>
    <row r="537" spans="1:5" ht="12.75" customHeight="1" x14ac:dyDescent="0.2">
      <c r="A537" s="6" t="s">
        <v>258</v>
      </c>
      <c r="B537" s="6" t="s">
        <v>18</v>
      </c>
      <c r="C537" s="7">
        <v>183447</v>
      </c>
      <c r="D537" s="9" t="s">
        <v>16</v>
      </c>
      <c r="E537" s="8"/>
    </row>
    <row r="538" spans="1:5" ht="12.75" customHeight="1" x14ac:dyDescent="0.2">
      <c r="A538" s="6" t="s">
        <v>258</v>
      </c>
      <c r="B538" s="6" t="s">
        <v>19</v>
      </c>
      <c r="C538" s="7">
        <v>183620</v>
      </c>
      <c r="D538" s="9" t="s">
        <v>16</v>
      </c>
      <c r="E538" s="8"/>
    </row>
    <row r="539" spans="1:5" ht="12.75" customHeight="1" x14ac:dyDescent="0.2">
      <c r="A539" s="6" t="s">
        <v>302</v>
      </c>
      <c r="B539" s="6" t="s">
        <v>15</v>
      </c>
      <c r="C539" s="7">
        <v>183630</v>
      </c>
      <c r="D539" s="9" t="s">
        <v>16</v>
      </c>
      <c r="E539" s="8"/>
    </row>
    <row r="540" spans="1:5" ht="12.75" customHeight="1" x14ac:dyDescent="0.2">
      <c r="A540" s="6" t="s">
        <v>302</v>
      </c>
      <c r="B540" s="6" t="s">
        <v>6</v>
      </c>
      <c r="C540" s="7">
        <v>183631</v>
      </c>
      <c r="D540" s="9" t="s">
        <v>16</v>
      </c>
      <c r="E540" s="8"/>
    </row>
    <row r="541" spans="1:5" ht="12.75" customHeight="1" x14ac:dyDescent="0.2">
      <c r="A541" s="6" t="s">
        <v>302</v>
      </c>
      <c r="B541" s="6" t="s">
        <v>32</v>
      </c>
      <c r="C541" s="7">
        <v>183632</v>
      </c>
      <c r="D541" s="9" t="s">
        <v>16</v>
      </c>
      <c r="E541" s="8"/>
    </row>
    <row r="542" spans="1:5" ht="12.75" customHeight="1" x14ac:dyDescent="0.2">
      <c r="A542" s="6" t="s">
        <v>125</v>
      </c>
      <c r="B542" s="6" t="s">
        <v>15</v>
      </c>
      <c r="C542" s="7">
        <v>183656</v>
      </c>
      <c r="D542" s="9" t="s">
        <v>16</v>
      </c>
      <c r="E542" s="8"/>
    </row>
    <row r="543" spans="1:5" ht="12.75" customHeight="1" x14ac:dyDescent="0.2">
      <c r="A543" s="6" t="s">
        <v>303</v>
      </c>
      <c r="B543" s="6" t="s">
        <v>304</v>
      </c>
      <c r="C543" s="7">
        <v>183658</v>
      </c>
      <c r="D543" s="9" t="s">
        <v>16</v>
      </c>
      <c r="E543" s="8"/>
    </row>
    <row r="544" spans="1:5" ht="12.75" customHeight="1" x14ac:dyDescent="0.2">
      <c r="A544" s="6" t="s">
        <v>258</v>
      </c>
      <c r="B544" s="6" t="s">
        <v>11</v>
      </c>
      <c r="C544" s="7">
        <v>183717</v>
      </c>
      <c r="D544" s="9" t="s">
        <v>16</v>
      </c>
      <c r="E544" s="8"/>
    </row>
    <row r="545" spans="1:5" ht="12.75" customHeight="1" x14ac:dyDescent="0.2">
      <c r="A545" s="6" t="s">
        <v>305</v>
      </c>
      <c r="B545" s="6" t="s">
        <v>306</v>
      </c>
      <c r="C545" s="7">
        <v>186780</v>
      </c>
      <c r="D545" s="9" t="s">
        <v>16</v>
      </c>
      <c r="E545" s="8"/>
    </row>
    <row r="546" spans="1:5" ht="12.75" customHeight="1" x14ac:dyDescent="0.2">
      <c r="A546" s="6" t="s">
        <v>305</v>
      </c>
      <c r="B546" s="6" t="s">
        <v>307</v>
      </c>
      <c r="C546" s="7">
        <v>186781</v>
      </c>
      <c r="D546" s="9" t="s">
        <v>16</v>
      </c>
      <c r="E546" s="8"/>
    </row>
    <row r="547" spans="1:5" ht="12.75" customHeight="1" x14ac:dyDescent="0.2">
      <c r="A547" s="6" t="s">
        <v>308</v>
      </c>
      <c r="B547" s="6" t="s">
        <v>32</v>
      </c>
      <c r="C547" s="7">
        <v>186856</v>
      </c>
      <c r="D547" s="9" t="s">
        <v>16</v>
      </c>
      <c r="E547" s="8"/>
    </row>
    <row r="548" spans="1:5" ht="12.75" customHeight="1" x14ac:dyDescent="0.2">
      <c r="A548" s="6" t="s">
        <v>308</v>
      </c>
      <c r="B548" s="6" t="s">
        <v>15</v>
      </c>
      <c r="C548" s="7">
        <v>186857</v>
      </c>
      <c r="D548" s="9" t="s">
        <v>16</v>
      </c>
      <c r="E548" s="8"/>
    </row>
    <row r="549" spans="1:5" ht="12.75" customHeight="1" x14ac:dyDescent="0.2">
      <c r="A549" s="6" t="s">
        <v>309</v>
      </c>
      <c r="B549" s="6" t="s">
        <v>15</v>
      </c>
      <c r="C549" s="7">
        <v>186930</v>
      </c>
      <c r="D549" s="9" t="s">
        <v>16</v>
      </c>
      <c r="E549" s="8"/>
    </row>
    <row r="550" spans="1:5" ht="12.75" customHeight="1" x14ac:dyDescent="0.2">
      <c r="A550" s="6" t="s">
        <v>261</v>
      </c>
      <c r="B550" s="6" t="s">
        <v>15</v>
      </c>
      <c r="C550" s="7">
        <v>187926</v>
      </c>
      <c r="D550" s="9" t="s">
        <v>16</v>
      </c>
      <c r="E550" s="8"/>
    </row>
    <row r="551" spans="1:5" ht="12.75" customHeight="1" x14ac:dyDescent="0.2">
      <c r="A551" s="6" t="s">
        <v>310</v>
      </c>
      <c r="B551" s="6" t="s">
        <v>306</v>
      </c>
      <c r="C551" s="7">
        <v>187965</v>
      </c>
      <c r="D551" s="9" t="s">
        <v>16</v>
      </c>
      <c r="E551" s="8"/>
    </row>
    <row r="552" spans="1:5" ht="12.75" customHeight="1" x14ac:dyDescent="0.2">
      <c r="A552" s="6" t="s">
        <v>310</v>
      </c>
      <c r="B552" s="6" t="s">
        <v>307</v>
      </c>
      <c r="C552" s="7">
        <v>187966</v>
      </c>
      <c r="D552" s="9" t="s">
        <v>16</v>
      </c>
      <c r="E552" s="8"/>
    </row>
    <row r="553" spans="1:5" ht="12.75" customHeight="1" x14ac:dyDescent="0.2">
      <c r="A553" s="6" t="s">
        <v>310</v>
      </c>
      <c r="B553" s="6" t="s">
        <v>283</v>
      </c>
      <c r="C553" s="7">
        <v>187967</v>
      </c>
      <c r="D553" s="9" t="s">
        <v>16</v>
      </c>
      <c r="E553" s="8"/>
    </row>
    <row r="554" spans="1:5" ht="12.75" customHeight="1" x14ac:dyDescent="0.2">
      <c r="A554" s="6" t="s">
        <v>311</v>
      </c>
      <c r="B554" s="6" t="s">
        <v>312</v>
      </c>
      <c r="C554" s="7">
        <v>188108</v>
      </c>
      <c r="D554" s="9" t="s">
        <v>16</v>
      </c>
      <c r="E554" s="8"/>
    </row>
    <row r="555" spans="1:5" ht="12.75" customHeight="1" x14ac:dyDescent="0.2">
      <c r="A555" s="6" t="s">
        <v>313</v>
      </c>
      <c r="B555" s="6" t="s">
        <v>312</v>
      </c>
      <c r="C555" s="7">
        <v>188162</v>
      </c>
      <c r="D555" s="9" t="s">
        <v>16</v>
      </c>
      <c r="E555" s="8"/>
    </row>
    <row r="556" spans="1:5" ht="12.75" customHeight="1" x14ac:dyDescent="0.2">
      <c r="A556" s="6" t="s">
        <v>314</v>
      </c>
      <c r="B556" s="6" t="s">
        <v>306</v>
      </c>
      <c r="C556" s="7">
        <v>188226</v>
      </c>
      <c r="D556" s="9" t="s">
        <v>16</v>
      </c>
      <c r="E556" s="8"/>
    </row>
    <row r="557" spans="1:5" ht="12.75" customHeight="1" x14ac:dyDescent="0.2">
      <c r="A557" s="6" t="s">
        <v>314</v>
      </c>
      <c r="B557" s="6" t="s">
        <v>307</v>
      </c>
      <c r="C557" s="7">
        <v>188227</v>
      </c>
      <c r="D557" s="9" t="s">
        <v>16</v>
      </c>
      <c r="E557" s="8"/>
    </row>
    <row r="558" spans="1:5" ht="12.75" customHeight="1" x14ac:dyDescent="0.2">
      <c r="A558" s="6" t="s">
        <v>314</v>
      </c>
      <c r="B558" s="6" t="s">
        <v>283</v>
      </c>
      <c r="C558" s="7">
        <v>188228</v>
      </c>
      <c r="D558" s="9" t="s">
        <v>16</v>
      </c>
      <c r="E558" s="8"/>
    </row>
    <row r="559" spans="1:5" ht="12.75" customHeight="1" x14ac:dyDescent="0.2">
      <c r="A559" s="6" t="s">
        <v>315</v>
      </c>
      <c r="B559" s="6" t="s">
        <v>307</v>
      </c>
      <c r="C559" s="7">
        <v>188250</v>
      </c>
      <c r="D559" s="9" t="s">
        <v>16</v>
      </c>
      <c r="E559" s="8"/>
    </row>
    <row r="560" spans="1:5" ht="12.75" customHeight="1" x14ac:dyDescent="0.2">
      <c r="A560" s="6" t="s">
        <v>315</v>
      </c>
      <c r="B560" s="6" t="s">
        <v>283</v>
      </c>
      <c r="C560" s="7">
        <v>188251</v>
      </c>
      <c r="D560" s="9" t="s">
        <v>16</v>
      </c>
      <c r="E560" s="8"/>
    </row>
    <row r="561" spans="1:5" ht="12.75" customHeight="1" x14ac:dyDescent="0.2">
      <c r="A561" s="6" t="s">
        <v>316</v>
      </c>
      <c r="B561" s="6" t="s">
        <v>19</v>
      </c>
      <c r="C561" s="7">
        <v>188253</v>
      </c>
      <c r="D561" s="9" t="s">
        <v>16</v>
      </c>
      <c r="E561" s="8"/>
    </row>
    <row r="562" spans="1:5" ht="12.75" customHeight="1" x14ac:dyDescent="0.2">
      <c r="A562" s="6" t="s">
        <v>316</v>
      </c>
      <c r="B562" s="6" t="s">
        <v>18</v>
      </c>
      <c r="C562" s="7">
        <v>188254</v>
      </c>
      <c r="D562" s="9" t="s">
        <v>16</v>
      </c>
      <c r="E562" s="8"/>
    </row>
    <row r="563" spans="1:5" ht="12.75" customHeight="1" x14ac:dyDescent="0.2">
      <c r="A563" s="6" t="s">
        <v>317</v>
      </c>
      <c r="B563" s="6" t="s">
        <v>15</v>
      </c>
      <c r="C563" s="7">
        <v>188256</v>
      </c>
      <c r="D563" s="9" t="s">
        <v>16</v>
      </c>
      <c r="E563" s="8"/>
    </row>
    <row r="564" spans="1:5" ht="12.75" customHeight="1" x14ac:dyDescent="0.2">
      <c r="A564" s="6" t="s">
        <v>317</v>
      </c>
      <c r="B564" s="6" t="s">
        <v>32</v>
      </c>
      <c r="C564" s="7">
        <v>188257</v>
      </c>
      <c r="D564" s="9" t="s">
        <v>16</v>
      </c>
      <c r="E564" s="8"/>
    </row>
    <row r="565" spans="1:5" ht="12.75" customHeight="1" x14ac:dyDescent="0.2">
      <c r="A565" s="6" t="s">
        <v>316</v>
      </c>
      <c r="B565" s="6" t="s">
        <v>167</v>
      </c>
      <c r="C565" s="7">
        <v>188291</v>
      </c>
      <c r="D565" s="9" t="s">
        <v>16</v>
      </c>
      <c r="E565" s="8"/>
    </row>
    <row r="566" spans="1:5" ht="12.75" customHeight="1" x14ac:dyDescent="0.2">
      <c r="A566" s="6" t="s">
        <v>316</v>
      </c>
      <c r="B566" s="6" t="s">
        <v>11</v>
      </c>
      <c r="C566" s="7">
        <v>188292</v>
      </c>
      <c r="D566" s="9" t="s">
        <v>16</v>
      </c>
      <c r="E566" s="8"/>
    </row>
    <row r="567" spans="1:5" ht="12.75" customHeight="1" x14ac:dyDescent="0.2">
      <c r="A567" s="6" t="s">
        <v>318</v>
      </c>
      <c r="B567" s="6" t="s">
        <v>15</v>
      </c>
      <c r="C567" s="7">
        <v>188328</v>
      </c>
      <c r="D567" s="9" t="s">
        <v>16</v>
      </c>
      <c r="E567" s="8"/>
    </row>
    <row r="568" spans="1:5" ht="12.75" customHeight="1" x14ac:dyDescent="0.2">
      <c r="A568" s="6" t="s">
        <v>305</v>
      </c>
      <c r="B568" s="6" t="s">
        <v>283</v>
      </c>
      <c r="C568" s="7">
        <v>188474</v>
      </c>
      <c r="D568" s="9" t="s">
        <v>16</v>
      </c>
      <c r="E568" s="8"/>
    </row>
    <row r="569" spans="1:5" ht="12.75" customHeight="1" x14ac:dyDescent="0.2">
      <c r="A569" s="6" t="s">
        <v>305</v>
      </c>
      <c r="B569" s="6" t="s">
        <v>319</v>
      </c>
      <c r="C569" s="7">
        <v>188475</v>
      </c>
      <c r="D569" s="9" t="s">
        <v>16</v>
      </c>
      <c r="E569" s="8"/>
    </row>
    <row r="570" spans="1:5" ht="12.75" customHeight="1" x14ac:dyDescent="0.2">
      <c r="A570" s="6" t="s">
        <v>320</v>
      </c>
      <c r="B570" s="6" t="s">
        <v>239</v>
      </c>
      <c r="C570" s="7">
        <v>188476</v>
      </c>
      <c r="D570" s="9" t="s">
        <v>16</v>
      </c>
      <c r="E570" s="8"/>
    </row>
    <row r="571" spans="1:5" ht="12.75" customHeight="1" x14ac:dyDescent="0.2">
      <c r="A571" s="6" t="s">
        <v>321</v>
      </c>
      <c r="B571" s="6" t="s">
        <v>18</v>
      </c>
      <c r="C571" s="7">
        <v>188518</v>
      </c>
      <c r="D571" s="9" t="s">
        <v>16</v>
      </c>
      <c r="E571" s="8"/>
    </row>
    <row r="572" spans="1:5" ht="12.75" customHeight="1" x14ac:dyDescent="0.2">
      <c r="A572" s="6" t="s">
        <v>321</v>
      </c>
      <c r="B572" s="6" t="s">
        <v>19</v>
      </c>
      <c r="C572" s="7">
        <v>188519</v>
      </c>
      <c r="D572" s="9" t="s">
        <v>16</v>
      </c>
      <c r="E572" s="8"/>
    </row>
    <row r="573" spans="1:5" ht="12.75" customHeight="1" x14ac:dyDescent="0.2">
      <c r="A573" s="6" t="s">
        <v>322</v>
      </c>
      <c r="B573" s="6" t="s">
        <v>18</v>
      </c>
      <c r="C573" s="7">
        <v>188580</v>
      </c>
      <c r="D573" s="9" t="s">
        <v>16</v>
      </c>
      <c r="E573" s="8"/>
    </row>
    <row r="574" spans="1:5" ht="12.75" customHeight="1" x14ac:dyDescent="0.2">
      <c r="A574" s="6" t="s">
        <v>322</v>
      </c>
      <c r="B574" s="6" t="s">
        <v>19</v>
      </c>
      <c r="C574" s="7">
        <v>188581</v>
      </c>
      <c r="D574" s="9" t="s">
        <v>16</v>
      </c>
      <c r="E574" s="8"/>
    </row>
    <row r="575" spans="1:5" ht="12.75" customHeight="1" x14ac:dyDescent="0.2">
      <c r="A575" s="6" t="s">
        <v>322</v>
      </c>
      <c r="B575" s="6" t="s">
        <v>167</v>
      </c>
      <c r="C575" s="7">
        <v>188582</v>
      </c>
      <c r="D575" s="9" t="s">
        <v>16</v>
      </c>
      <c r="E575" s="8"/>
    </row>
    <row r="576" spans="1:5" ht="12.75" customHeight="1" x14ac:dyDescent="0.2">
      <c r="A576" s="6" t="s">
        <v>322</v>
      </c>
      <c r="B576" s="6" t="s">
        <v>11</v>
      </c>
      <c r="C576" s="7">
        <v>188583</v>
      </c>
      <c r="D576" s="9" t="s">
        <v>16</v>
      </c>
      <c r="E576" s="8"/>
    </row>
    <row r="577" spans="1:5" ht="12.75" customHeight="1" x14ac:dyDescent="0.2">
      <c r="A577" s="6" t="s">
        <v>321</v>
      </c>
      <c r="B577" s="6" t="s">
        <v>167</v>
      </c>
      <c r="C577" s="7">
        <v>188590</v>
      </c>
      <c r="D577" s="9" t="s">
        <v>16</v>
      </c>
      <c r="E577" s="8"/>
    </row>
    <row r="578" spans="1:5" ht="12.75" customHeight="1" x14ac:dyDescent="0.2">
      <c r="A578" s="6" t="s">
        <v>277</v>
      </c>
      <c r="B578" s="6" t="s">
        <v>307</v>
      </c>
      <c r="C578" s="7">
        <v>188808</v>
      </c>
      <c r="D578" s="9" t="s">
        <v>16</v>
      </c>
      <c r="E578" s="8"/>
    </row>
    <row r="579" spans="1:5" ht="12.75" customHeight="1" x14ac:dyDescent="0.2">
      <c r="A579" s="6" t="s">
        <v>282</v>
      </c>
      <c r="B579" s="6" t="s">
        <v>306</v>
      </c>
      <c r="C579" s="7">
        <v>188809</v>
      </c>
      <c r="D579" s="9" t="s">
        <v>16</v>
      </c>
      <c r="E579" s="8"/>
    </row>
    <row r="580" spans="1:5" ht="12.75" customHeight="1" x14ac:dyDescent="0.2">
      <c r="A580" s="6" t="s">
        <v>323</v>
      </c>
      <c r="B580" s="6" t="s">
        <v>15</v>
      </c>
      <c r="C580" s="7">
        <v>189237</v>
      </c>
      <c r="D580" s="9" t="s">
        <v>16</v>
      </c>
      <c r="E580" s="8"/>
    </row>
    <row r="581" spans="1:5" ht="12.75" customHeight="1" x14ac:dyDescent="0.2">
      <c r="A581" s="6" t="s">
        <v>323</v>
      </c>
      <c r="B581" s="6" t="s">
        <v>6</v>
      </c>
      <c r="C581" s="7">
        <v>189238</v>
      </c>
      <c r="D581" s="9" t="s">
        <v>16</v>
      </c>
      <c r="E581" s="8"/>
    </row>
    <row r="582" spans="1:5" ht="12.75" customHeight="1" x14ac:dyDescent="0.2">
      <c r="A582" s="6" t="s">
        <v>323</v>
      </c>
      <c r="B582" s="6" t="s">
        <v>32</v>
      </c>
      <c r="C582" s="7">
        <v>189239</v>
      </c>
      <c r="D582" s="9" t="s">
        <v>16</v>
      </c>
      <c r="E582" s="8"/>
    </row>
    <row r="583" spans="1:5" ht="12.75" customHeight="1" x14ac:dyDescent="0.2">
      <c r="A583" s="6" t="s">
        <v>324</v>
      </c>
      <c r="B583" s="6" t="s">
        <v>32</v>
      </c>
      <c r="C583" s="7">
        <v>189338</v>
      </c>
      <c r="D583" s="9" t="s">
        <v>16</v>
      </c>
      <c r="E583" s="8"/>
    </row>
    <row r="584" spans="1:5" ht="12.75" customHeight="1" x14ac:dyDescent="0.2">
      <c r="A584" s="6" t="s">
        <v>324</v>
      </c>
      <c r="B584" s="6" t="s">
        <v>15</v>
      </c>
      <c r="C584" s="7">
        <v>189339</v>
      </c>
      <c r="D584" s="9" t="s">
        <v>16</v>
      </c>
      <c r="E584" s="8"/>
    </row>
    <row r="585" spans="1:5" ht="12.75" customHeight="1" x14ac:dyDescent="0.2">
      <c r="A585" s="6" t="s">
        <v>325</v>
      </c>
      <c r="B585" s="6" t="s">
        <v>15</v>
      </c>
      <c r="C585" s="7">
        <v>189490</v>
      </c>
      <c r="D585" s="9" t="s">
        <v>16</v>
      </c>
      <c r="E585" s="8"/>
    </row>
    <row r="586" spans="1:5" ht="12.75" customHeight="1" x14ac:dyDescent="0.2">
      <c r="A586" s="6" t="s">
        <v>326</v>
      </c>
      <c r="B586" s="6" t="s">
        <v>15</v>
      </c>
      <c r="C586" s="7">
        <v>189707</v>
      </c>
      <c r="D586" s="9" t="s">
        <v>16</v>
      </c>
      <c r="E586" s="8"/>
    </row>
    <row r="587" spans="1:5" ht="12.75" customHeight="1" x14ac:dyDescent="0.2">
      <c r="A587" s="6" t="s">
        <v>327</v>
      </c>
      <c r="B587" s="6" t="s">
        <v>32</v>
      </c>
      <c r="C587" s="7">
        <v>190483</v>
      </c>
      <c r="D587" s="9" t="s">
        <v>16</v>
      </c>
      <c r="E587" s="8"/>
    </row>
    <row r="588" spans="1:5" ht="12.75" customHeight="1" x14ac:dyDescent="0.2">
      <c r="A588" s="6" t="s">
        <v>327</v>
      </c>
      <c r="B588" s="6" t="s">
        <v>15</v>
      </c>
      <c r="C588" s="7">
        <v>190484</v>
      </c>
      <c r="D588" s="9" t="s">
        <v>16</v>
      </c>
      <c r="E588" s="8"/>
    </row>
    <row r="589" spans="1:5" ht="12.75" customHeight="1" x14ac:dyDescent="0.2">
      <c r="A589" s="6" t="s">
        <v>328</v>
      </c>
      <c r="B589" s="6" t="s">
        <v>32</v>
      </c>
      <c r="C589" s="7">
        <v>190486</v>
      </c>
      <c r="D589" s="9" t="s">
        <v>16</v>
      </c>
      <c r="E589" s="8"/>
    </row>
    <row r="590" spans="1:5" ht="12.75" customHeight="1" x14ac:dyDescent="0.2">
      <c r="A590" s="6" t="s">
        <v>328</v>
      </c>
      <c r="B590" s="6" t="s">
        <v>15</v>
      </c>
      <c r="C590" s="7">
        <v>190487</v>
      </c>
      <c r="D590" s="9" t="s">
        <v>16</v>
      </c>
      <c r="E590" s="8"/>
    </row>
    <row r="591" spans="1:5" ht="12.75" customHeight="1" x14ac:dyDescent="0.2">
      <c r="A591" s="6" t="s">
        <v>329</v>
      </c>
      <c r="B591" s="6" t="s">
        <v>306</v>
      </c>
      <c r="C591" s="7">
        <v>190490</v>
      </c>
      <c r="D591" s="9" t="s">
        <v>16</v>
      </c>
      <c r="E591" s="8"/>
    </row>
    <row r="592" spans="1:5" ht="12.75" customHeight="1" x14ac:dyDescent="0.2">
      <c r="A592" s="6" t="s">
        <v>329</v>
      </c>
      <c r="B592" s="6" t="s">
        <v>307</v>
      </c>
      <c r="C592" s="7">
        <v>190491</v>
      </c>
      <c r="D592" s="9" t="s">
        <v>16</v>
      </c>
      <c r="E592" s="8"/>
    </row>
    <row r="593" spans="1:5" ht="12.75" customHeight="1" x14ac:dyDescent="0.2">
      <c r="A593" s="6" t="s">
        <v>329</v>
      </c>
      <c r="B593" s="6" t="s">
        <v>283</v>
      </c>
      <c r="C593" s="7">
        <v>190492</v>
      </c>
      <c r="D593" s="9" t="s">
        <v>16</v>
      </c>
      <c r="E593" s="8"/>
    </row>
    <row r="594" spans="1:5" ht="12.75" customHeight="1" x14ac:dyDescent="0.2">
      <c r="A594" s="6" t="s">
        <v>329</v>
      </c>
      <c r="B594" s="6" t="s">
        <v>278</v>
      </c>
      <c r="C594" s="7">
        <v>190493</v>
      </c>
      <c r="D594" s="9" t="s">
        <v>16</v>
      </c>
      <c r="E594" s="8"/>
    </row>
    <row r="595" spans="1:5" ht="12.75" customHeight="1" x14ac:dyDescent="0.2">
      <c r="A595" s="6" t="s">
        <v>330</v>
      </c>
      <c r="B595" s="6" t="s">
        <v>306</v>
      </c>
      <c r="C595" s="7">
        <v>190494</v>
      </c>
      <c r="D595" s="9" t="s">
        <v>16</v>
      </c>
      <c r="E595" s="8"/>
    </row>
    <row r="596" spans="1:5" ht="12.75" customHeight="1" x14ac:dyDescent="0.2">
      <c r="A596" s="6" t="s">
        <v>330</v>
      </c>
      <c r="B596" s="6" t="s">
        <v>307</v>
      </c>
      <c r="C596" s="7">
        <v>190495</v>
      </c>
      <c r="D596" s="9" t="s">
        <v>16</v>
      </c>
      <c r="E596" s="8"/>
    </row>
    <row r="597" spans="1:5" ht="12.75" customHeight="1" x14ac:dyDescent="0.2">
      <c r="A597" s="6" t="s">
        <v>330</v>
      </c>
      <c r="B597" s="6" t="s">
        <v>283</v>
      </c>
      <c r="C597" s="7">
        <v>190496</v>
      </c>
      <c r="D597" s="9" t="s">
        <v>16</v>
      </c>
      <c r="E597" s="8"/>
    </row>
    <row r="598" spans="1:5" ht="12.75" customHeight="1" x14ac:dyDescent="0.2">
      <c r="A598" s="6" t="s">
        <v>330</v>
      </c>
      <c r="B598" s="6" t="s">
        <v>278</v>
      </c>
      <c r="C598" s="7">
        <v>190497</v>
      </c>
      <c r="D598" s="9" t="s">
        <v>16</v>
      </c>
      <c r="E598" s="8"/>
    </row>
    <row r="599" spans="1:5" ht="12.75" customHeight="1" x14ac:dyDescent="0.2">
      <c r="A599" s="6" t="s">
        <v>331</v>
      </c>
      <c r="B599" s="6" t="s">
        <v>32</v>
      </c>
      <c r="C599" s="7">
        <v>190503</v>
      </c>
      <c r="D599" s="9" t="s">
        <v>16</v>
      </c>
      <c r="E599" s="8"/>
    </row>
    <row r="600" spans="1:5" ht="12.75" customHeight="1" x14ac:dyDescent="0.2">
      <c r="A600" s="6" t="s">
        <v>331</v>
      </c>
      <c r="B600" s="6" t="s">
        <v>15</v>
      </c>
      <c r="C600" s="7">
        <v>190504</v>
      </c>
      <c r="D600" s="9" t="s">
        <v>16</v>
      </c>
      <c r="E600" s="8"/>
    </row>
    <row r="601" spans="1:5" ht="12.75" customHeight="1" x14ac:dyDescent="0.2">
      <c r="A601" s="6" t="s">
        <v>332</v>
      </c>
      <c r="B601" s="6" t="s">
        <v>32</v>
      </c>
      <c r="C601" s="7">
        <v>190507</v>
      </c>
      <c r="D601" s="9" t="s">
        <v>16</v>
      </c>
      <c r="E601" s="8"/>
    </row>
    <row r="602" spans="1:5" ht="12.75" customHeight="1" x14ac:dyDescent="0.2">
      <c r="A602" s="6" t="s">
        <v>332</v>
      </c>
      <c r="B602" s="6" t="s">
        <v>15</v>
      </c>
      <c r="C602" s="7">
        <v>190508</v>
      </c>
      <c r="D602" s="9" t="s">
        <v>16</v>
      </c>
      <c r="E602" s="8"/>
    </row>
    <row r="603" spans="1:5" ht="12.75" customHeight="1" x14ac:dyDescent="0.2">
      <c r="A603" s="6" t="s">
        <v>333</v>
      </c>
      <c r="B603" s="6" t="s">
        <v>32</v>
      </c>
      <c r="C603" s="7">
        <v>190540</v>
      </c>
      <c r="D603" s="9" t="s">
        <v>16</v>
      </c>
      <c r="E603" s="8"/>
    </row>
    <row r="604" spans="1:5" ht="12.75" customHeight="1" x14ac:dyDescent="0.2">
      <c r="A604" s="6" t="s">
        <v>333</v>
      </c>
      <c r="B604" s="6" t="s">
        <v>15</v>
      </c>
      <c r="C604" s="7">
        <v>190541</v>
      </c>
      <c r="D604" s="9" t="s">
        <v>16</v>
      </c>
      <c r="E604" s="8"/>
    </row>
    <row r="605" spans="1:5" ht="12.75" customHeight="1" x14ac:dyDescent="0.2">
      <c r="A605" s="6" t="s">
        <v>334</v>
      </c>
      <c r="B605" s="6" t="s">
        <v>32</v>
      </c>
      <c r="C605" s="7">
        <v>190543</v>
      </c>
      <c r="D605" s="9" t="s">
        <v>16</v>
      </c>
      <c r="E605" s="8"/>
    </row>
    <row r="606" spans="1:5" ht="12.75" customHeight="1" x14ac:dyDescent="0.2">
      <c r="A606" s="6" t="s">
        <v>334</v>
      </c>
      <c r="B606" s="6" t="s">
        <v>15</v>
      </c>
      <c r="C606" s="7">
        <v>190544</v>
      </c>
      <c r="D606" s="9" t="s">
        <v>16</v>
      </c>
      <c r="E606" s="8"/>
    </row>
    <row r="607" spans="1:5" ht="12.75" customHeight="1" x14ac:dyDescent="0.2">
      <c r="A607" s="6" t="s">
        <v>335</v>
      </c>
      <c r="B607" s="6" t="s">
        <v>32</v>
      </c>
      <c r="C607" s="7">
        <v>190546</v>
      </c>
      <c r="D607" s="9" t="s">
        <v>16</v>
      </c>
      <c r="E607" s="8"/>
    </row>
    <row r="608" spans="1:5" ht="12.75" customHeight="1" x14ac:dyDescent="0.2">
      <c r="A608" s="6" t="s">
        <v>335</v>
      </c>
      <c r="B608" s="6" t="s">
        <v>15</v>
      </c>
      <c r="C608" s="7">
        <v>190547</v>
      </c>
      <c r="D608" s="9" t="s">
        <v>16</v>
      </c>
      <c r="E608" s="8"/>
    </row>
    <row r="609" spans="1:5" ht="12.75" customHeight="1" x14ac:dyDescent="0.2">
      <c r="A609" s="6" t="s">
        <v>336</v>
      </c>
      <c r="B609" s="6" t="s">
        <v>32</v>
      </c>
      <c r="C609" s="7">
        <v>190550</v>
      </c>
      <c r="D609" s="9" t="s">
        <v>16</v>
      </c>
      <c r="E609" s="8"/>
    </row>
    <row r="610" spans="1:5" ht="12.75" customHeight="1" x14ac:dyDescent="0.2">
      <c r="A610" s="6" t="s">
        <v>336</v>
      </c>
      <c r="B610" s="6" t="s">
        <v>15</v>
      </c>
      <c r="C610" s="7">
        <v>190551</v>
      </c>
      <c r="D610" s="9" t="s">
        <v>16</v>
      </c>
      <c r="E610" s="8"/>
    </row>
    <row r="611" spans="1:5" ht="12.75" customHeight="1" x14ac:dyDescent="0.2">
      <c r="A611" s="6" t="s">
        <v>337</v>
      </c>
      <c r="B611" s="6" t="s">
        <v>32</v>
      </c>
      <c r="C611" s="7">
        <v>190571</v>
      </c>
      <c r="D611" s="9" t="s">
        <v>16</v>
      </c>
      <c r="E611" s="8"/>
    </row>
    <row r="612" spans="1:5" ht="12.75" customHeight="1" x14ac:dyDescent="0.2">
      <c r="A612" s="6" t="s">
        <v>337</v>
      </c>
      <c r="B612" s="6" t="s">
        <v>15</v>
      </c>
      <c r="C612" s="7">
        <v>190573</v>
      </c>
      <c r="D612" s="9" t="s">
        <v>16</v>
      </c>
      <c r="E612" s="8"/>
    </row>
    <row r="613" spans="1:5" ht="12.75" customHeight="1" x14ac:dyDescent="0.2">
      <c r="A613" s="6" t="s">
        <v>338</v>
      </c>
      <c r="B613" s="6" t="s">
        <v>32</v>
      </c>
      <c r="C613" s="7">
        <v>190574</v>
      </c>
      <c r="D613" s="9" t="s">
        <v>16</v>
      </c>
      <c r="E613" s="8"/>
    </row>
    <row r="614" spans="1:5" ht="12.75" customHeight="1" x14ac:dyDescent="0.2">
      <c r="A614" s="6" t="s">
        <v>338</v>
      </c>
      <c r="B614" s="6" t="s">
        <v>15</v>
      </c>
      <c r="C614" s="7">
        <v>190575</v>
      </c>
      <c r="D614" s="9" t="s">
        <v>16</v>
      </c>
      <c r="E614" s="8"/>
    </row>
    <row r="615" spans="1:5" ht="12.75" customHeight="1" x14ac:dyDescent="0.2">
      <c r="A615" s="6" t="s">
        <v>339</v>
      </c>
      <c r="B615" s="6" t="s">
        <v>32</v>
      </c>
      <c r="C615" s="7">
        <v>190578</v>
      </c>
      <c r="D615" s="9" t="s">
        <v>16</v>
      </c>
      <c r="E615" s="8"/>
    </row>
    <row r="616" spans="1:5" ht="12.75" customHeight="1" x14ac:dyDescent="0.2">
      <c r="A616" s="6" t="s">
        <v>339</v>
      </c>
      <c r="B616" s="6" t="s">
        <v>15</v>
      </c>
      <c r="C616" s="7">
        <v>190579</v>
      </c>
      <c r="D616" s="9" t="s">
        <v>16</v>
      </c>
      <c r="E616" s="8"/>
    </row>
    <row r="617" spans="1:5" ht="12.75" customHeight="1" x14ac:dyDescent="0.2">
      <c r="A617" s="6" t="s">
        <v>340</v>
      </c>
      <c r="B617" s="6" t="s">
        <v>32</v>
      </c>
      <c r="C617" s="7">
        <v>190581</v>
      </c>
      <c r="D617" s="9" t="s">
        <v>16</v>
      </c>
      <c r="E617" s="8"/>
    </row>
    <row r="618" spans="1:5" ht="12.75" customHeight="1" x14ac:dyDescent="0.2">
      <c r="A618" s="6" t="s">
        <v>340</v>
      </c>
      <c r="B618" s="6" t="s">
        <v>15</v>
      </c>
      <c r="C618" s="7">
        <v>190582</v>
      </c>
      <c r="D618" s="9" t="s">
        <v>16</v>
      </c>
      <c r="E618" s="8"/>
    </row>
    <row r="619" spans="1:5" ht="12.75" customHeight="1" x14ac:dyDescent="0.2">
      <c r="A619" s="6" t="s">
        <v>341</v>
      </c>
      <c r="B619" s="6" t="s">
        <v>32</v>
      </c>
      <c r="C619" s="7">
        <v>190583</v>
      </c>
      <c r="D619" s="9" t="s">
        <v>16</v>
      </c>
      <c r="E619" s="8"/>
    </row>
    <row r="620" spans="1:5" ht="12.75" customHeight="1" x14ac:dyDescent="0.2">
      <c r="A620" s="6" t="s">
        <v>341</v>
      </c>
      <c r="B620" s="6" t="s">
        <v>15</v>
      </c>
      <c r="C620" s="7">
        <v>190585</v>
      </c>
      <c r="D620" s="9" t="s">
        <v>16</v>
      </c>
      <c r="E620" s="8"/>
    </row>
    <row r="621" spans="1:5" ht="12.75" customHeight="1" x14ac:dyDescent="0.2">
      <c r="A621" s="6" t="s">
        <v>342</v>
      </c>
      <c r="B621" s="6" t="s">
        <v>32</v>
      </c>
      <c r="C621" s="7">
        <v>190587</v>
      </c>
      <c r="D621" s="9" t="s">
        <v>16</v>
      </c>
      <c r="E621" s="8"/>
    </row>
    <row r="622" spans="1:5" ht="12.75" customHeight="1" x14ac:dyDescent="0.2">
      <c r="A622" s="6" t="s">
        <v>343</v>
      </c>
      <c r="B622" s="6" t="s">
        <v>32</v>
      </c>
      <c r="C622" s="7">
        <v>190589</v>
      </c>
      <c r="D622" s="9" t="s">
        <v>16</v>
      </c>
      <c r="E622" s="8"/>
    </row>
    <row r="623" spans="1:5" ht="12.75" customHeight="1" x14ac:dyDescent="0.2">
      <c r="A623" s="6" t="s">
        <v>344</v>
      </c>
      <c r="B623" s="6" t="s">
        <v>32</v>
      </c>
      <c r="C623" s="7">
        <v>190592</v>
      </c>
      <c r="D623" s="9" t="s">
        <v>16</v>
      </c>
      <c r="E623" s="8"/>
    </row>
    <row r="624" spans="1:5" ht="12.75" customHeight="1" x14ac:dyDescent="0.2">
      <c r="A624" s="6" t="s">
        <v>344</v>
      </c>
      <c r="B624" s="6" t="s">
        <v>15</v>
      </c>
      <c r="C624" s="7">
        <v>190593</v>
      </c>
      <c r="D624" s="9" t="s">
        <v>16</v>
      </c>
      <c r="E624" s="8"/>
    </row>
    <row r="625" spans="1:5" ht="12.75" customHeight="1" x14ac:dyDescent="0.2">
      <c r="A625" s="6" t="s">
        <v>345</v>
      </c>
      <c r="B625" s="6" t="s">
        <v>32</v>
      </c>
      <c r="C625" s="7">
        <v>190594</v>
      </c>
      <c r="D625" s="9" t="s">
        <v>16</v>
      </c>
      <c r="E625" s="8"/>
    </row>
    <row r="626" spans="1:5" ht="12.75" customHeight="1" x14ac:dyDescent="0.2">
      <c r="A626" s="6" t="s">
        <v>345</v>
      </c>
      <c r="B626" s="6" t="s">
        <v>15</v>
      </c>
      <c r="C626" s="7">
        <v>190595</v>
      </c>
      <c r="D626" s="9" t="s">
        <v>16</v>
      </c>
      <c r="E626" s="8"/>
    </row>
    <row r="627" spans="1:5" ht="12.75" customHeight="1" x14ac:dyDescent="0.2">
      <c r="A627" s="6" t="s">
        <v>346</v>
      </c>
      <c r="B627" s="6" t="s">
        <v>32</v>
      </c>
      <c r="C627" s="7">
        <v>190639</v>
      </c>
      <c r="D627" s="9" t="s">
        <v>16</v>
      </c>
      <c r="E627" s="8"/>
    </row>
    <row r="628" spans="1:5" ht="12.75" customHeight="1" x14ac:dyDescent="0.2">
      <c r="A628" s="6" t="s">
        <v>346</v>
      </c>
      <c r="B628" s="6" t="s">
        <v>15</v>
      </c>
      <c r="C628" s="7">
        <v>190640</v>
      </c>
      <c r="D628" s="9" t="s">
        <v>16</v>
      </c>
      <c r="E628" s="8"/>
    </row>
    <row r="629" spans="1:5" ht="12.75" customHeight="1" x14ac:dyDescent="0.2">
      <c r="A629" s="6" t="s">
        <v>347</v>
      </c>
      <c r="B629" s="6" t="s">
        <v>18</v>
      </c>
      <c r="C629" s="7">
        <v>190641</v>
      </c>
      <c r="D629" s="9" t="s">
        <v>16</v>
      </c>
      <c r="E629" s="8"/>
    </row>
    <row r="630" spans="1:5" ht="12.75" customHeight="1" x14ac:dyDescent="0.2">
      <c r="A630" s="6" t="s">
        <v>348</v>
      </c>
      <c r="B630" s="6" t="s">
        <v>32</v>
      </c>
      <c r="C630" s="7">
        <v>190654</v>
      </c>
      <c r="D630" s="9" t="s">
        <v>16</v>
      </c>
      <c r="E630" s="8"/>
    </row>
    <row r="631" spans="1:5" ht="12.75" customHeight="1" x14ac:dyDescent="0.2">
      <c r="A631" s="6" t="s">
        <v>348</v>
      </c>
      <c r="B631" s="6" t="s">
        <v>15</v>
      </c>
      <c r="C631" s="7">
        <v>190655</v>
      </c>
      <c r="D631" s="9" t="s">
        <v>16</v>
      </c>
      <c r="E631" s="8"/>
    </row>
    <row r="632" spans="1:5" ht="12.75" customHeight="1" x14ac:dyDescent="0.2">
      <c r="A632" s="6" t="s">
        <v>285</v>
      </c>
      <c r="B632" s="6" t="s">
        <v>136</v>
      </c>
      <c r="C632" s="7">
        <v>193708</v>
      </c>
      <c r="D632" s="9" t="s">
        <v>16</v>
      </c>
      <c r="E632" s="8"/>
    </row>
    <row r="633" spans="1:5" ht="12.75" customHeight="1" x14ac:dyDescent="0.2">
      <c r="A633" s="6" t="s">
        <v>349</v>
      </c>
      <c r="B633" s="6" t="s">
        <v>15</v>
      </c>
      <c r="C633" s="7">
        <v>193718</v>
      </c>
      <c r="D633" s="9" t="s">
        <v>16</v>
      </c>
      <c r="E633" s="8"/>
    </row>
    <row r="634" spans="1:5" ht="12.75" customHeight="1" x14ac:dyDescent="0.2">
      <c r="A634" s="6" t="s">
        <v>350</v>
      </c>
      <c r="B634" s="6" t="s">
        <v>312</v>
      </c>
      <c r="C634" s="7">
        <v>193745</v>
      </c>
      <c r="D634" s="9" t="s">
        <v>16</v>
      </c>
      <c r="E634" s="8"/>
    </row>
    <row r="635" spans="1:5" ht="12.75" customHeight="1" x14ac:dyDescent="0.2">
      <c r="A635" s="6" t="s">
        <v>351</v>
      </c>
      <c r="B635" s="6" t="s">
        <v>32</v>
      </c>
      <c r="C635" s="7">
        <v>194215</v>
      </c>
      <c r="D635" s="9" t="s">
        <v>16</v>
      </c>
      <c r="E635" s="8"/>
    </row>
    <row r="636" spans="1:5" ht="12.75" customHeight="1" x14ac:dyDescent="0.2">
      <c r="A636" s="6" t="s">
        <v>351</v>
      </c>
      <c r="B636" s="6" t="s">
        <v>15</v>
      </c>
      <c r="C636" s="7">
        <v>194216</v>
      </c>
      <c r="D636" s="9" t="s">
        <v>16</v>
      </c>
      <c r="E636" s="8"/>
    </row>
    <row r="637" spans="1:5" ht="12.75" customHeight="1" x14ac:dyDescent="0.2">
      <c r="A637" s="6" t="s">
        <v>232</v>
      </c>
      <c r="B637" s="6" t="s">
        <v>32</v>
      </c>
      <c r="C637" s="7">
        <v>194713</v>
      </c>
      <c r="D637" s="9" t="s">
        <v>16</v>
      </c>
      <c r="E637" s="8"/>
    </row>
    <row r="638" spans="1:5" ht="12.75" customHeight="1" x14ac:dyDescent="0.2">
      <c r="A638" s="6" t="s">
        <v>352</v>
      </c>
      <c r="B638" s="6" t="s">
        <v>353</v>
      </c>
      <c r="C638" s="7">
        <v>194732</v>
      </c>
      <c r="D638" s="9" t="s">
        <v>7</v>
      </c>
      <c r="E638" s="8"/>
    </row>
    <row r="639" spans="1:5" ht="12.75" customHeight="1" x14ac:dyDescent="0.2">
      <c r="A639" s="6" t="s">
        <v>354</v>
      </c>
      <c r="B639" s="6" t="s">
        <v>15</v>
      </c>
      <c r="C639" s="7">
        <v>194773</v>
      </c>
      <c r="D639" s="9" t="s">
        <v>7</v>
      </c>
      <c r="E639" s="8"/>
    </row>
    <row r="640" spans="1:5" ht="12.75" customHeight="1" x14ac:dyDescent="0.2">
      <c r="A640" s="6" t="s">
        <v>355</v>
      </c>
      <c r="B640" s="6" t="s">
        <v>6</v>
      </c>
      <c r="C640" s="7">
        <v>194776</v>
      </c>
      <c r="D640" s="9" t="s">
        <v>7</v>
      </c>
      <c r="E640" s="8"/>
    </row>
    <row r="641" spans="1:5" ht="12.75" customHeight="1" x14ac:dyDescent="0.2">
      <c r="A641" s="6" t="s">
        <v>356</v>
      </c>
      <c r="B641" s="6" t="s">
        <v>136</v>
      </c>
      <c r="C641" s="7">
        <v>194779</v>
      </c>
      <c r="D641" s="9" t="s">
        <v>7</v>
      </c>
      <c r="E641" s="8"/>
    </row>
    <row r="642" spans="1:5" ht="12.75" customHeight="1" x14ac:dyDescent="0.2">
      <c r="A642" s="6" t="s">
        <v>356</v>
      </c>
      <c r="B642" s="6" t="s">
        <v>6</v>
      </c>
      <c r="C642" s="7">
        <v>194780</v>
      </c>
      <c r="D642" s="9" t="s">
        <v>7</v>
      </c>
      <c r="E642" s="8"/>
    </row>
    <row r="643" spans="1:5" ht="12.75" customHeight="1" x14ac:dyDescent="0.2">
      <c r="A643" s="6" t="s">
        <v>356</v>
      </c>
      <c r="B643" s="6" t="s">
        <v>15</v>
      </c>
      <c r="C643" s="7">
        <v>194782</v>
      </c>
      <c r="D643" s="9" t="s">
        <v>7</v>
      </c>
      <c r="E643" s="8"/>
    </row>
    <row r="644" spans="1:5" ht="12.75" customHeight="1" x14ac:dyDescent="0.2">
      <c r="A644" s="6" t="s">
        <v>357</v>
      </c>
      <c r="B644" s="6" t="s">
        <v>6</v>
      </c>
      <c r="C644" s="7">
        <v>194783</v>
      </c>
      <c r="D644" s="9" t="s">
        <v>7</v>
      </c>
      <c r="E644" s="8"/>
    </row>
    <row r="645" spans="1:5" ht="12.75" customHeight="1" x14ac:dyDescent="0.2">
      <c r="A645" s="6" t="s">
        <v>358</v>
      </c>
      <c r="B645" s="6" t="s">
        <v>6</v>
      </c>
      <c r="C645" s="7">
        <v>194785</v>
      </c>
      <c r="D645" s="9" t="s">
        <v>7</v>
      </c>
      <c r="E645" s="8"/>
    </row>
    <row r="646" spans="1:5" ht="12.75" customHeight="1" x14ac:dyDescent="0.2">
      <c r="A646" s="6" t="s">
        <v>357</v>
      </c>
      <c r="B646" s="6" t="s">
        <v>32</v>
      </c>
      <c r="C646" s="7">
        <v>194786</v>
      </c>
      <c r="D646" s="9" t="s">
        <v>7</v>
      </c>
      <c r="E646" s="8"/>
    </row>
    <row r="647" spans="1:5" ht="12.75" customHeight="1" x14ac:dyDescent="0.2">
      <c r="A647" s="6" t="s">
        <v>359</v>
      </c>
      <c r="B647" s="6" t="s">
        <v>15</v>
      </c>
      <c r="C647" s="7">
        <v>194792</v>
      </c>
      <c r="D647" s="9" t="s">
        <v>7</v>
      </c>
      <c r="E647" s="8"/>
    </row>
    <row r="648" spans="1:5" ht="12.75" customHeight="1" x14ac:dyDescent="0.2">
      <c r="A648" s="6" t="s">
        <v>355</v>
      </c>
      <c r="B648" s="6" t="s">
        <v>15</v>
      </c>
      <c r="C648" s="7">
        <v>194793</v>
      </c>
      <c r="D648" s="9" t="s">
        <v>7</v>
      </c>
      <c r="E648" s="8"/>
    </row>
    <row r="649" spans="1:5" ht="12.75" customHeight="1" x14ac:dyDescent="0.2">
      <c r="A649" s="6" t="s">
        <v>357</v>
      </c>
      <c r="B649" s="6" t="s">
        <v>15</v>
      </c>
      <c r="C649" s="7">
        <v>194795</v>
      </c>
      <c r="D649" s="9" t="s">
        <v>7</v>
      </c>
      <c r="E649" s="8"/>
    </row>
    <row r="650" spans="1:5" ht="12.75" customHeight="1" x14ac:dyDescent="0.2">
      <c r="A650" s="6" t="s">
        <v>358</v>
      </c>
      <c r="B650" s="6" t="s">
        <v>15</v>
      </c>
      <c r="C650" s="7">
        <v>194796</v>
      </c>
      <c r="D650" s="9" t="s">
        <v>7</v>
      </c>
      <c r="E650" s="8"/>
    </row>
    <row r="651" spans="1:5" ht="12.75" customHeight="1" x14ac:dyDescent="0.2">
      <c r="A651" s="6" t="s">
        <v>360</v>
      </c>
      <c r="B651" s="6" t="s">
        <v>15</v>
      </c>
      <c r="C651" s="7">
        <v>194797</v>
      </c>
      <c r="D651" s="9" t="s">
        <v>7</v>
      </c>
      <c r="E651" s="8"/>
    </row>
    <row r="652" spans="1:5" ht="12.75" customHeight="1" x14ac:dyDescent="0.2">
      <c r="A652" s="6" t="s">
        <v>360</v>
      </c>
      <c r="B652" s="6" t="s">
        <v>6</v>
      </c>
      <c r="C652" s="7">
        <v>194798</v>
      </c>
      <c r="D652" s="9" t="s">
        <v>7</v>
      </c>
      <c r="E652" s="8"/>
    </row>
    <row r="653" spans="1:5" ht="12.75" customHeight="1" x14ac:dyDescent="0.2">
      <c r="A653" s="6" t="s">
        <v>358</v>
      </c>
      <c r="B653" s="6" t="s">
        <v>32</v>
      </c>
      <c r="C653" s="7">
        <v>194799</v>
      </c>
      <c r="D653" s="9" t="s">
        <v>7</v>
      </c>
      <c r="E653" s="8"/>
    </row>
    <row r="654" spans="1:5" ht="12.75" customHeight="1" x14ac:dyDescent="0.2">
      <c r="A654" s="6" t="s">
        <v>361</v>
      </c>
      <c r="B654" s="6" t="s">
        <v>15</v>
      </c>
      <c r="C654" s="7">
        <v>194800</v>
      </c>
      <c r="D654" s="9" t="s">
        <v>7</v>
      </c>
      <c r="E654" s="8"/>
    </row>
    <row r="655" spans="1:5" ht="12.75" customHeight="1" x14ac:dyDescent="0.2">
      <c r="A655" s="6" t="s">
        <v>362</v>
      </c>
      <c r="B655" s="6" t="s">
        <v>15</v>
      </c>
      <c r="C655" s="7">
        <v>194803</v>
      </c>
      <c r="D655" s="9" t="s">
        <v>7</v>
      </c>
      <c r="E655" s="8"/>
    </row>
    <row r="656" spans="1:5" ht="12.75" customHeight="1" x14ac:dyDescent="0.2">
      <c r="A656" s="6" t="s">
        <v>363</v>
      </c>
      <c r="B656" s="6" t="s">
        <v>6</v>
      </c>
      <c r="C656" s="7">
        <v>194806</v>
      </c>
      <c r="D656" s="9" t="s">
        <v>7</v>
      </c>
      <c r="E656" s="8"/>
    </row>
    <row r="657" spans="1:5" ht="12.75" customHeight="1" x14ac:dyDescent="0.2">
      <c r="A657" s="6" t="s">
        <v>363</v>
      </c>
      <c r="B657" s="6" t="s">
        <v>15</v>
      </c>
      <c r="C657" s="7">
        <v>194807</v>
      </c>
      <c r="D657" s="9" t="s">
        <v>7</v>
      </c>
      <c r="E657" s="8"/>
    </row>
    <row r="658" spans="1:5" ht="12.75" customHeight="1" x14ac:dyDescent="0.2">
      <c r="A658" s="6" t="s">
        <v>364</v>
      </c>
      <c r="B658" s="6" t="s">
        <v>6</v>
      </c>
      <c r="C658" s="7">
        <v>194810</v>
      </c>
      <c r="D658" s="9" t="s">
        <v>7</v>
      </c>
      <c r="E658" s="8"/>
    </row>
    <row r="659" spans="1:5" ht="12.75" customHeight="1" x14ac:dyDescent="0.2">
      <c r="A659" s="6" t="s">
        <v>364</v>
      </c>
      <c r="B659" s="6" t="s">
        <v>15</v>
      </c>
      <c r="C659" s="7">
        <v>194811</v>
      </c>
      <c r="D659" s="9" t="s">
        <v>7</v>
      </c>
      <c r="E659" s="8"/>
    </row>
    <row r="660" spans="1:5" ht="12.75" customHeight="1" x14ac:dyDescent="0.2">
      <c r="A660" s="6" t="s">
        <v>365</v>
      </c>
      <c r="B660" s="6" t="s">
        <v>353</v>
      </c>
      <c r="C660" s="7">
        <v>194817</v>
      </c>
      <c r="D660" s="9" t="s">
        <v>7</v>
      </c>
      <c r="E660" s="8"/>
    </row>
    <row r="661" spans="1:5" ht="12.75" customHeight="1" x14ac:dyDescent="0.2">
      <c r="A661" s="6" t="s">
        <v>358</v>
      </c>
      <c r="B661" s="6" t="s">
        <v>366</v>
      </c>
      <c r="C661" s="7">
        <v>194874</v>
      </c>
      <c r="D661" s="9" t="s">
        <v>7</v>
      </c>
      <c r="E661" s="8"/>
    </row>
    <row r="662" spans="1:5" ht="12.75" customHeight="1" x14ac:dyDescent="0.2">
      <c r="A662" s="6" t="s">
        <v>367</v>
      </c>
      <c r="B662" s="6" t="s">
        <v>15</v>
      </c>
      <c r="C662" s="7">
        <v>195024</v>
      </c>
      <c r="D662" s="9" t="s">
        <v>16</v>
      </c>
      <c r="E662" s="8"/>
    </row>
    <row r="663" spans="1:5" ht="12.75" customHeight="1" x14ac:dyDescent="0.2">
      <c r="A663" s="6" t="s">
        <v>368</v>
      </c>
      <c r="B663" s="6" t="s">
        <v>15</v>
      </c>
      <c r="C663" s="7">
        <v>195025</v>
      </c>
      <c r="D663" s="9" t="s">
        <v>7</v>
      </c>
      <c r="E663" s="8"/>
    </row>
    <row r="664" spans="1:5" ht="12.75" customHeight="1" x14ac:dyDescent="0.2">
      <c r="A664" s="6" t="s">
        <v>302</v>
      </c>
      <c r="B664" s="6" t="s">
        <v>136</v>
      </c>
      <c r="C664" s="7">
        <v>195189</v>
      </c>
      <c r="D664" s="9" t="s">
        <v>16</v>
      </c>
      <c r="E664" s="8"/>
    </row>
    <row r="665" spans="1:5" ht="12.75" customHeight="1" x14ac:dyDescent="0.2">
      <c r="A665" s="6" t="s">
        <v>274</v>
      </c>
      <c r="B665" s="6" t="s">
        <v>136</v>
      </c>
      <c r="C665" s="7">
        <v>195347</v>
      </c>
      <c r="D665" s="9" t="s">
        <v>16</v>
      </c>
      <c r="E665" s="8"/>
    </row>
    <row r="666" spans="1:5" ht="12.75" customHeight="1" x14ac:dyDescent="0.2">
      <c r="A666" s="6" t="s">
        <v>369</v>
      </c>
      <c r="B666" s="6" t="s">
        <v>15</v>
      </c>
      <c r="C666" s="7">
        <v>195415</v>
      </c>
      <c r="D666" s="9" t="s">
        <v>7</v>
      </c>
      <c r="E666" s="8"/>
    </row>
    <row r="667" spans="1:5" ht="12.75" customHeight="1" x14ac:dyDescent="0.2">
      <c r="A667" s="6" t="s">
        <v>370</v>
      </c>
      <c r="B667" s="6" t="s">
        <v>6</v>
      </c>
      <c r="C667" s="7">
        <v>195437</v>
      </c>
      <c r="D667" s="9" t="s">
        <v>16</v>
      </c>
      <c r="E667" s="8"/>
    </row>
    <row r="668" spans="1:5" ht="12.75" customHeight="1" x14ac:dyDescent="0.2">
      <c r="A668" s="6" t="s">
        <v>371</v>
      </c>
      <c r="B668" s="6" t="s">
        <v>164</v>
      </c>
      <c r="C668" s="7">
        <v>195628</v>
      </c>
      <c r="D668" s="9" t="s">
        <v>7</v>
      </c>
      <c r="E668" s="8"/>
    </row>
    <row r="669" spans="1:5" ht="12.75" customHeight="1" x14ac:dyDescent="0.2">
      <c r="A669" s="6" t="s">
        <v>288</v>
      </c>
      <c r="B669" s="6" t="s">
        <v>6</v>
      </c>
      <c r="C669" s="7">
        <v>196162</v>
      </c>
      <c r="D669" s="9" t="s">
        <v>16</v>
      </c>
      <c r="E669" s="8"/>
    </row>
    <row r="670" spans="1:5" ht="12.75" customHeight="1" x14ac:dyDescent="0.2">
      <c r="A670" s="6" t="s">
        <v>309</v>
      </c>
      <c r="B670" s="6" t="s">
        <v>136</v>
      </c>
      <c r="C670" s="7">
        <v>196294</v>
      </c>
      <c r="D670" s="9" t="s">
        <v>16</v>
      </c>
      <c r="E670" s="8"/>
    </row>
    <row r="671" spans="1:5" ht="12.75" customHeight="1" x14ac:dyDescent="0.2">
      <c r="A671" s="6" t="s">
        <v>372</v>
      </c>
      <c r="B671" s="6" t="s">
        <v>15</v>
      </c>
      <c r="C671" s="7">
        <v>196327</v>
      </c>
      <c r="D671" s="9" t="s">
        <v>16</v>
      </c>
      <c r="E671" s="8"/>
    </row>
    <row r="672" spans="1:5" ht="12.75" customHeight="1" x14ac:dyDescent="0.2">
      <c r="A672" s="6" t="s">
        <v>325</v>
      </c>
      <c r="B672" s="6" t="s">
        <v>32</v>
      </c>
      <c r="C672" s="7">
        <v>196439</v>
      </c>
      <c r="D672" s="9" t="s">
        <v>16</v>
      </c>
      <c r="E672" s="8"/>
    </row>
    <row r="673" spans="1:5" ht="12.75" customHeight="1" x14ac:dyDescent="0.2">
      <c r="A673" s="6" t="s">
        <v>373</v>
      </c>
      <c r="B673" s="6" t="s">
        <v>15</v>
      </c>
      <c r="C673" s="7">
        <v>196473</v>
      </c>
      <c r="D673" s="9" t="s">
        <v>16</v>
      </c>
      <c r="E673" s="8"/>
    </row>
    <row r="674" spans="1:5" ht="12.75" customHeight="1" x14ac:dyDescent="0.2">
      <c r="A674" s="6" t="s">
        <v>374</v>
      </c>
      <c r="B674" s="6" t="s">
        <v>32</v>
      </c>
      <c r="C674" s="7">
        <v>196616</v>
      </c>
      <c r="D674" s="9" t="s">
        <v>16</v>
      </c>
      <c r="E674" s="8"/>
    </row>
    <row r="675" spans="1:5" ht="12.75" customHeight="1" x14ac:dyDescent="0.2">
      <c r="A675" s="6" t="s">
        <v>374</v>
      </c>
      <c r="B675" s="6" t="s">
        <v>170</v>
      </c>
      <c r="C675" s="7">
        <v>196617</v>
      </c>
      <c r="D675" s="9" t="s">
        <v>16</v>
      </c>
      <c r="E675" s="8"/>
    </row>
    <row r="676" spans="1:5" ht="12.75" customHeight="1" x14ac:dyDescent="0.2">
      <c r="A676" s="6" t="s">
        <v>375</v>
      </c>
      <c r="B676" s="6" t="s">
        <v>11</v>
      </c>
      <c r="C676" s="7">
        <v>197030</v>
      </c>
      <c r="D676" s="9" t="s">
        <v>16</v>
      </c>
      <c r="E676" s="8"/>
    </row>
    <row r="677" spans="1:5" ht="12.75" customHeight="1" x14ac:dyDescent="0.2">
      <c r="A677" s="6" t="s">
        <v>376</v>
      </c>
      <c r="B677" s="6" t="s">
        <v>18</v>
      </c>
      <c r="C677" s="7">
        <v>197276</v>
      </c>
      <c r="D677" s="9" t="s">
        <v>16</v>
      </c>
      <c r="E677" s="8"/>
    </row>
    <row r="678" spans="1:5" ht="12.75" customHeight="1" x14ac:dyDescent="0.2">
      <c r="A678" s="6" t="s">
        <v>376</v>
      </c>
      <c r="B678" s="6" t="s">
        <v>19</v>
      </c>
      <c r="C678" s="7">
        <v>197277</v>
      </c>
      <c r="D678" s="9" t="s">
        <v>16</v>
      </c>
      <c r="E678" s="8"/>
    </row>
    <row r="679" spans="1:5" ht="12.75" customHeight="1" x14ac:dyDescent="0.2">
      <c r="A679" s="6" t="s">
        <v>376</v>
      </c>
      <c r="B679" s="6" t="s">
        <v>167</v>
      </c>
      <c r="C679" s="7">
        <v>197278</v>
      </c>
      <c r="D679" s="9" t="s">
        <v>16</v>
      </c>
      <c r="E679" s="8"/>
    </row>
    <row r="680" spans="1:5" ht="12.75" customHeight="1" x14ac:dyDescent="0.2">
      <c r="A680" s="6" t="s">
        <v>238</v>
      </c>
      <c r="B680" s="6" t="s">
        <v>256</v>
      </c>
      <c r="C680" s="7">
        <v>197566</v>
      </c>
      <c r="D680" s="9" t="s">
        <v>16</v>
      </c>
      <c r="E680" s="8"/>
    </row>
    <row r="681" spans="1:5" ht="12.75" customHeight="1" x14ac:dyDescent="0.2">
      <c r="A681" s="6" t="s">
        <v>377</v>
      </c>
      <c r="B681" s="6" t="s">
        <v>15</v>
      </c>
      <c r="C681" s="7">
        <v>197731</v>
      </c>
      <c r="D681" s="9" t="s">
        <v>16</v>
      </c>
      <c r="E681" s="8"/>
    </row>
    <row r="682" spans="1:5" ht="12.75" customHeight="1" x14ac:dyDescent="0.2">
      <c r="A682" s="6" t="s">
        <v>377</v>
      </c>
      <c r="B682" s="6" t="s">
        <v>32</v>
      </c>
      <c r="C682" s="7">
        <v>197732</v>
      </c>
      <c r="D682" s="9" t="s">
        <v>16</v>
      </c>
      <c r="E682" s="8"/>
    </row>
    <row r="683" spans="1:5" ht="12.75" customHeight="1" x14ac:dyDescent="0.2">
      <c r="A683" s="6" t="s">
        <v>378</v>
      </c>
      <c r="B683" s="6" t="s">
        <v>15</v>
      </c>
      <c r="C683" s="7">
        <v>198151</v>
      </c>
      <c r="D683" s="9" t="s">
        <v>16</v>
      </c>
      <c r="E683" s="8"/>
    </row>
    <row r="684" spans="1:5" ht="12.75" customHeight="1" x14ac:dyDescent="0.2">
      <c r="A684" s="6" t="s">
        <v>379</v>
      </c>
      <c r="B684" s="6" t="s">
        <v>15</v>
      </c>
      <c r="C684" s="7">
        <v>198154</v>
      </c>
      <c r="D684" s="9" t="s">
        <v>16</v>
      </c>
      <c r="E684" s="8"/>
    </row>
    <row r="685" spans="1:5" ht="12.75" customHeight="1" x14ac:dyDescent="0.2">
      <c r="A685" s="6" t="s">
        <v>380</v>
      </c>
      <c r="B685" s="6" t="s">
        <v>15</v>
      </c>
      <c r="C685" s="7">
        <v>198155</v>
      </c>
      <c r="D685" s="9" t="s">
        <v>16</v>
      </c>
      <c r="E685" s="8"/>
    </row>
    <row r="686" spans="1:5" ht="12.75" customHeight="1" x14ac:dyDescent="0.2">
      <c r="A686" s="6" t="s">
        <v>381</v>
      </c>
      <c r="B686" s="6" t="s">
        <v>15</v>
      </c>
      <c r="C686" s="7">
        <v>198157</v>
      </c>
      <c r="D686" s="9" t="s">
        <v>16</v>
      </c>
      <c r="E686" s="8"/>
    </row>
    <row r="687" spans="1:5" ht="12.75" customHeight="1" x14ac:dyDescent="0.2">
      <c r="A687" s="6" t="s">
        <v>382</v>
      </c>
      <c r="B687" s="6" t="s">
        <v>15</v>
      </c>
      <c r="C687" s="7">
        <v>198182</v>
      </c>
      <c r="D687" s="9" t="s">
        <v>16</v>
      </c>
      <c r="E687" s="8"/>
    </row>
    <row r="688" spans="1:5" ht="12.75" customHeight="1" x14ac:dyDescent="0.2">
      <c r="A688" s="6" t="s">
        <v>377</v>
      </c>
      <c r="B688" s="6" t="s">
        <v>136</v>
      </c>
      <c r="C688" s="7">
        <v>198183</v>
      </c>
      <c r="D688" s="9" t="s">
        <v>16</v>
      </c>
      <c r="E688" s="8"/>
    </row>
    <row r="689" spans="1:5" ht="12.75" customHeight="1" x14ac:dyDescent="0.2">
      <c r="A689" s="6" t="s">
        <v>383</v>
      </c>
      <c r="B689" s="6" t="s">
        <v>15</v>
      </c>
      <c r="C689" s="7">
        <v>198280</v>
      </c>
      <c r="D689" s="9" t="s">
        <v>7</v>
      </c>
      <c r="E689" s="8"/>
    </row>
    <row r="690" spans="1:5" ht="12.75" customHeight="1" x14ac:dyDescent="0.2">
      <c r="A690" s="6" t="s">
        <v>384</v>
      </c>
      <c r="B690" s="6" t="s">
        <v>15</v>
      </c>
      <c r="C690" s="7">
        <v>198536</v>
      </c>
      <c r="D690" s="9" t="s">
        <v>7</v>
      </c>
      <c r="E690" s="8"/>
    </row>
    <row r="691" spans="1:5" ht="12.75" customHeight="1" x14ac:dyDescent="0.2">
      <c r="A691" s="6" t="s">
        <v>385</v>
      </c>
      <c r="B691" s="6" t="s">
        <v>6</v>
      </c>
      <c r="C691" s="7">
        <v>198713</v>
      </c>
      <c r="D691" s="9" t="s">
        <v>16</v>
      </c>
      <c r="E691" s="8"/>
    </row>
    <row r="692" spans="1:5" ht="12.75" customHeight="1" x14ac:dyDescent="0.2">
      <c r="A692" s="6" t="s">
        <v>386</v>
      </c>
      <c r="B692" s="6" t="s">
        <v>6</v>
      </c>
      <c r="C692" s="7">
        <v>198858</v>
      </c>
      <c r="D692" s="9" t="s">
        <v>16</v>
      </c>
      <c r="E692" s="8"/>
    </row>
    <row r="693" spans="1:5" ht="12.75" customHeight="1" x14ac:dyDescent="0.2">
      <c r="A693" s="6" t="s">
        <v>294</v>
      </c>
      <c r="B693" s="6" t="s">
        <v>6</v>
      </c>
      <c r="C693" s="7">
        <v>198899</v>
      </c>
      <c r="D693" s="9" t="s">
        <v>16</v>
      </c>
      <c r="E693" s="8"/>
    </row>
    <row r="694" spans="1:5" ht="12.75" customHeight="1" x14ac:dyDescent="0.2">
      <c r="A694" s="6" t="s">
        <v>270</v>
      </c>
      <c r="B694" s="6" t="s">
        <v>15</v>
      </c>
      <c r="C694" s="7">
        <v>199180</v>
      </c>
      <c r="D694" s="9" t="s">
        <v>16</v>
      </c>
      <c r="E694" s="8"/>
    </row>
    <row r="695" spans="1:5" ht="12.75" customHeight="1" x14ac:dyDescent="0.2">
      <c r="A695" s="6" t="s">
        <v>387</v>
      </c>
      <c r="B695" s="6" t="s">
        <v>15</v>
      </c>
      <c r="C695" s="7">
        <v>199190</v>
      </c>
      <c r="D695" s="9" t="s">
        <v>16</v>
      </c>
      <c r="E695" s="8"/>
    </row>
    <row r="696" spans="1:5" ht="12.75" customHeight="1" x14ac:dyDescent="0.2">
      <c r="A696" s="6" t="s">
        <v>388</v>
      </c>
      <c r="B696" s="6" t="s">
        <v>15</v>
      </c>
      <c r="C696" s="7">
        <v>199239</v>
      </c>
      <c r="D696" s="9" t="s">
        <v>16</v>
      </c>
      <c r="E696" s="8"/>
    </row>
    <row r="697" spans="1:5" ht="12.75" customHeight="1" x14ac:dyDescent="0.2">
      <c r="A697" s="6" t="s">
        <v>389</v>
      </c>
      <c r="B697" s="6" t="s">
        <v>353</v>
      </c>
      <c r="C697" s="7">
        <v>199335</v>
      </c>
      <c r="D697" s="9" t="s">
        <v>7</v>
      </c>
      <c r="E697" s="8"/>
    </row>
    <row r="698" spans="1:5" ht="12.75" customHeight="1" x14ac:dyDescent="0.2">
      <c r="A698" s="6" t="s">
        <v>390</v>
      </c>
      <c r="B698" s="6" t="s">
        <v>164</v>
      </c>
      <c r="C698" s="7">
        <v>199406</v>
      </c>
      <c r="D698" s="9" t="s">
        <v>7</v>
      </c>
      <c r="E698" s="8"/>
    </row>
    <row r="699" spans="1:5" ht="12.75" customHeight="1" x14ac:dyDescent="0.2">
      <c r="A699" s="6" t="s">
        <v>391</v>
      </c>
      <c r="B699" s="6" t="s">
        <v>18</v>
      </c>
      <c r="C699" s="7">
        <v>199419</v>
      </c>
      <c r="D699" s="9" t="s">
        <v>16</v>
      </c>
      <c r="E699" s="8"/>
    </row>
    <row r="700" spans="1:5" ht="12.75" customHeight="1" x14ac:dyDescent="0.2">
      <c r="A700" s="6" t="s">
        <v>391</v>
      </c>
      <c r="B700" s="6" t="s">
        <v>19</v>
      </c>
      <c r="C700" s="7">
        <v>199420</v>
      </c>
      <c r="D700" s="9" t="s">
        <v>16</v>
      </c>
      <c r="E700" s="8"/>
    </row>
    <row r="701" spans="1:5" ht="12.75" customHeight="1" x14ac:dyDescent="0.2">
      <c r="A701" s="6" t="s">
        <v>391</v>
      </c>
      <c r="B701" s="6" t="s">
        <v>167</v>
      </c>
      <c r="C701" s="7">
        <v>199421</v>
      </c>
      <c r="D701" s="9" t="s">
        <v>16</v>
      </c>
      <c r="E701" s="8"/>
    </row>
    <row r="702" spans="1:5" ht="12.75" customHeight="1" x14ac:dyDescent="0.2">
      <c r="A702" s="6" t="s">
        <v>391</v>
      </c>
      <c r="B702" s="6" t="s">
        <v>284</v>
      </c>
      <c r="C702" s="7">
        <v>199422</v>
      </c>
      <c r="D702" s="9" t="s">
        <v>16</v>
      </c>
      <c r="E702" s="8"/>
    </row>
    <row r="703" spans="1:5" ht="12.75" customHeight="1" x14ac:dyDescent="0.2">
      <c r="A703" s="6" t="s">
        <v>392</v>
      </c>
      <c r="B703" s="6" t="s">
        <v>11</v>
      </c>
      <c r="C703" s="7">
        <v>199423</v>
      </c>
      <c r="D703" s="9" t="s">
        <v>16</v>
      </c>
      <c r="E703" s="8"/>
    </row>
    <row r="704" spans="1:5" ht="12.75" customHeight="1" x14ac:dyDescent="0.2">
      <c r="A704" s="6" t="s">
        <v>393</v>
      </c>
      <c r="B704" s="6" t="s">
        <v>15</v>
      </c>
      <c r="C704" s="7">
        <v>199430</v>
      </c>
      <c r="D704" s="9" t="s">
        <v>16</v>
      </c>
      <c r="E704" s="8"/>
    </row>
    <row r="705" spans="1:5" ht="12.75" customHeight="1" x14ac:dyDescent="0.2">
      <c r="A705" s="6" t="s">
        <v>394</v>
      </c>
      <c r="B705" s="6" t="s">
        <v>15</v>
      </c>
      <c r="C705" s="7">
        <v>199433</v>
      </c>
      <c r="D705" s="9" t="s">
        <v>16</v>
      </c>
      <c r="E705" s="8"/>
    </row>
    <row r="706" spans="1:5" ht="12.75" customHeight="1" x14ac:dyDescent="0.2">
      <c r="A706" s="6" t="s">
        <v>395</v>
      </c>
      <c r="B706" s="6" t="s">
        <v>15</v>
      </c>
      <c r="C706" s="7">
        <v>199506</v>
      </c>
      <c r="D706" s="9" t="s">
        <v>16</v>
      </c>
      <c r="E706" s="8"/>
    </row>
    <row r="707" spans="1:5" ht="12.75" customHeight="1" x14ac:dyDescent="0.2">
      <c r="A707" s="6" t="s">
        <v>395</v>
      </c>
      <c r="B707" s="6" t="s">
        <v>32</v>
      </c>
      <c r="C707" s="7">
        <v>199507</v>
      </c>
      <c r="D707" s="9" t="s">
        <v>16</v>
      </c>
      <c r="E707" s="8"/>
    </row>
    <row r="708" spans="1:5" ht="12.75" customHeight="1" x14ac:dyDescent="0.2">
      <c r="A708" s="6" t="s">
        <v>396</v>
      </c>
      <c r="B708" s="6" t="s">
        <v>15</v>
      </c>
      <c r="C708" s="7">
        <v>199603</v>
      </c>
      <c r="D708" s="9" t="s">
        <v>7</v>
      </c>
      <c r="E708" s="8"/>
    </row>
    <row r="709" spans="1:5" ht="12.75" customHeight="1" x14ac:dyDescent="0.2">
      <c r="A709" s="6" t="s">
        <v>397</v>
      </c>
      <c r="B709" s="6" t="s">
        <v>15</v>
      </c>
      <c r="C709" s="7">
        <v>199635</v>
      </c>
      <c r="D709" s="9" t="s">
        <v>16</v>
      </c>
      <c r="E709" s="8"/>
    </row>
    <row r="710" spans="1:5" ht="12.75" customHeight="1" x14ac:dyDescent="0.2">
      <c r="A710" s="6" t="s">
        <v>397</v>
      </c>
      <c r="B710" s="6" t="s">
        <v>32</v>
      </c>
      <c r="C710" s="7">
        <v>199636</v>
      </c>
      <c r="D710" s="9" t="s">
        <v>16</v>
      </c>
      <c r="E710" s="8"/>
    </row>
    <row r="711" spans="1:5" ht="12.75" customHeight="1" x14ac:dyDescent="0.2">
      <c r="A711" s="6" t="s">
        <v>398</v>
      </c>
      <c r="B711" s="6" t="s">
        <v>15</v>
      </c>
      <c r="C711" s="7">
        <v>199641</v>
      </c>
      <c r="D711" s="9" t="s">
        <v>16</v>
      </c>
      <c r="E711" s="8"/>
    </row>
    <row r="712" spans="1:5" ht="12.75" customHeight="1" x14ac:dyDescent="0.2">
      <c r="A712" s="6" t="s">
        <v>398</v>
      </c>
      <c r="B712" s="6" t="s">
        <v>32</v>
      </c>
      <c r="C712" s="7">
        <v>199642</v>
      </c>
      <c r="D712" s="9" t="s">
        <v>16</v>
      </c>
      <c r="E712" s="8"/>
    </row>
    <row r="713" spans="1:5" ht="12.75" customHeight="1" x14ac:dyDescent="0.2">
      <c r="A713" s="6" t="s">
        <v>399</v>
      </c>
      <c r="B713" s="6" t="s">
        <v>15</v>
      </c>
      <c r="C713" s="7">
        <v>199648</v>
      </c>
      <c r="D713" s="9" t="s">
        <v>16</v>
      </c>
      <c r="E713" s="8"/>
    </row>
    <row r="714" spans="1:5" ht="12.75" customHeight="1" x14ac:dyDescent="0.2">
      <c r="A714" s="6" t="s">
        <v>399</v>
      </c>
      <c r="B714" s="6" t="s">
        <v>32</v>
      </c>
      <c r="C714" s="7">
        <v>199649</v>
      </c>
      <c r="D714" s="9" t="s">
        <v>16</v>
      </c>
      <c r="E714" s="8"/>
    </row>
    <row r="715" spans="1:5" ht="12.75" customHeight="1" x14ac:dyDescent="0.2">
      <c r="A715" s="6" t="s">
        <v>400</v>
      </c>
      <c r="B715" s="6" t="s">
        <v>32</v>
      </c>
      <c r="C715" s="7">
        <v>199664</v>
      </c>
      <c r="D715" s="9" t="s">
        <v>16</v>
      </c>
      <c r="E715" s="8"/>
    </row>
    <row r="716" spans="1:5" ht="12.75" customHeight="1" x14ac:dyDescent="0.2">
      <c r="A716" s="6" t="s">
        <v>401</v>
      </c>
      <c r="B716" s="6" t="s">
        <v>15</v>
      </c>
      <c r="C716" s="7">
        <v>199672</v>
      </c>
      <c r="D716" s="9" t="s">
        <v>16</v>
      </c>
      <c r="E716" s="8"/>
    </row>
    <row r="717" spans="1:5" ht="12.75" customHeight="1" x14ac:dyDescent="0.2">
      <c r="A717" s="6" t="s">
        <v>401</v>
      </c>
      <c r="B717" s="6" t="s">
        <v>32</v>
      </c>
      <c r="C717" s="7">
        <v>199673</v>
      </c>
      <c r="D717" s="9" t="s">
        <v>16</v>
      </c>
      <c r="E717" s="8"/>
    </row>
    <row r="718" spans="1:5" ht="12.75" customHeight="1" x14ac:dyDescent="0.2">
      <c r="A718" s="6" t="s">
        <v>373</v>
      </c>
      <c r="B718" s="6" t="s">
        <v>32</v>
      </c>
      <c r="C718" s="7">
        <v>199760</v>
      </c>
      <c r="D718" s="9" t="s">
        <v>16</v>
      </c>
      <c r="E718" s="8"/>
    </row>
    <row r="719" spans="1:5" ht="12.75" customHeight="1" x14ac:dyDescent="0.2">
      <c r="A719" s="6" t="s">
        <v>260</v>
      </c>
      <c r="B719" s="6" t="s">
        <v>6</v>
      </c>
      <c r="C719" s="7">
        <v>199792</v>
      </c>
      <c r="D719" s="9" t="s">
        <v>7</v>
      </c>
      <c r="E719" s="8"/>
    </row>
    <row r="720" spans="1:5" ht="12.75" customHeight="1" x14ac:dyDescent="0.2">
      <c r="A720" s="6" t="s">
        <v>402</v>
      </c>
      <c r="B720" s="6" t="s">
        <v>164</v>
      </c>
      <c r="C720" s="7">
        <v>199795</v>
      </c>
      <c r="D720" s="9" t="s">
        <v>7</v>
      </c>
      <c r="E720" s="8"/>
    </row>
    <row r="721" spans="1:5" ht="12.75" customHeight="1" x14ac:dyDescent="0.2">
      <c r="A721" s="6" t="s">
        <v>403</v>
      </c>
      <c r="B721" s="6" t="s">
        <v>164</v>
      </c>
      <c r="C721" s="7">
        <v>199796</v>
      </c>
      <c r="D721" s="9" t="s">
        <v>7</v>
      </c>
      <c r="E721" s="8"/>
    </row>
    <row r="722" spans="1:5" ht="12.75" customHeight="1" x14ac:dyDescent="0.2">
      <c r="A722" s="6" t="s">
        <v>404</v>
      </c>
      <c r="B722" s="6" t="s">
        <v>273</v>
      </c>
      <c r="C722" s="7">
        <v>200519</v>
      </c>
      <c r="D722" s="9" t="s">
        <v>7</v>
      </c>
      <c r="E722" s="8"/>
    </row>
    <row r="723" spans="1:5" ht="12.75" customHeight="1" x14ac:dyDescent="0.2">
      <c r="A723" s="6" t="s">
        <v>405</v>
      </c>
      <c r="B723" s="6" t="s">
        <v>353</v>
      </c>
      <c r="C723" s="7">
        <v>200532</v>
      </c>
      <c r="D723" s="9" t="s">
        <v>7</v>
      </c>
      <c r="E723" s="8"/>
    </row>
    <row r="724" spans="1:5" ht="12.75" customHeight="1" x14ac:dyDescent="0.2">
      <c r="A724" s="6" t="s">
        <v>406</v>
      </c>
      <c r="B724" s="6" t="s">
        <v>273</v>
      </c>
      <c r="C724" s="7">
        <v>200537</v>
      </c>
      <c r="D724" s="9" t="s">
        <v>7</v>
      </c>
      <c r="E724" s="8"/>
    </row>
    <row r="725" spans="1:5" ht="12.75" customHeight="1" x14ac:dyDescent="0.2">
      <c r="A725" s="6" t="s">
        <v>407</v>
      </c>
      <c r="B725" s="6" t="s">
        <v>353</v>
      </c>
      <c r="C725" s="7">
        <v>200541</v>
      </c>
      <c r="D725" s="9" t="s">
        <v>7</v>
      </c>
      <c r="E725" s="8"/>
    </row>
    <row r="726" spans="1:5" ht="12.75" customHeight="1" x14ac:dyDescent="0.2">
      <c r="A726" s="6" t="s">
        <v>196</v>
      </c>
      <c r="B726" s="6" t="s">
        <v>256</v>
      </c>
      <c r="C726" s="7">
        <v>201089</v>
      </c>
      <c r="D726" s="9" t="s">
        <v>16</v>
      </c>
      <c r="E726" s="8"/>
    </row>
    <row r="727" spans="1:5" ht="12.75" customHeight="1" x14ac:dyDescent="0.2">
      <c r="A727" s="6" t="s">
        <v>225</v>
      </c>
      <c r="B727" s="6" t="s">
        <v>256</v>
      </c>
      <c r="C727" s="7">
        <v>201128</v>
      </c>
      <c r="D727" s="9" t="s">
        <v>16</v>
      </c>
      <c r="E727" s="8"/>
    </row>
    <row r="728" spans="1:5" ht="12.75" customHeight="1" x14ac:dyDescent="0.2">
      <c r="A728" s="6" t="s">
        <v>408</v>
      </c>
      <c r="B728" s="6" t="s">
        <v>32</v>
      </c>
      <c r="C728" s="7">
        <v>201271</v>
      </c>
      <c r="D728" s="9" t="s">
        <v>16</v>
      </c>
      <c r="E728" s="8"/>
    </row>
    <row r="729" spans="1:5" ht="12.75" customHeight="1" x14ac:dyDescent="0.2">
      <c r="A729" s="6" t="s">
        <v>409</v>
      </c>
      <c r="B729" s="6" t="s">
        <v>15</v>
      </c>
      <c r="C729" s="7">
        <v>201303</v>
      </c>
      <c r="D729" s="9" t="s">
        <v>16</v>
      </c>
      <c r="E729" s="8"/>
    </row>
    <row r="730" spans="1:5" ht="12.75" customHeight="1" x14ac:dyDescent="0.2">
      <c r="A730" s="6" t="s">
        <v>410</v>
      </c>
      <c r="B730" s="6" t="s">
        <v>411</v>
      </c>
      <c r="C730" s="7">
        <v>201304</v>
      </c>
      <c r="D730" s="9" t="s">
        <v>7</v>
      </c>
      <c r="E730" s="8"/>
    </row>
    <row r="731" spans="1:5" ht="12.75" customHeight="1" x14ac:dyDescent="0.2">
      <c r="A731" s="6" t="s">
        <v>412</v>
      </c>
      <c r="B731" s="6" t="s">
        <v>15</v>
      </c>
      <c r="C731" s="7">
        <v>201512</v>
      </c>
      <c r="D731" s="9" t="s">
        <v>16</v>
      </c>
      <c r="E731" s="8"/>
    </row>
    <row r="732" spans="1:5" ht="12.75" customHeight="1" x14ac:dyDescent="0.2">
      <c r="A732" s="6" t="s">
        <v>413</v>
      </c>
      <c r="B732" s="6" t="s">
        <v>15</v>
      </c>
      <c r="C732" s="7">
        <v>201514</v>
      </c>
      <c r="D732" s="9" t="s">
        <v>16</v>
      </c>
      <c r="E732" s="8"/>
    </row>
    <row r="733" spans="1:5" ht="12.75" customHeight="1" x14ac:dyDescent="0.2">
      <c r="A733" s="6" t="s">
        <v>413</v>
      </c>
      <c r="B733" s="6" t="s">
        <v>32</v>
      </c>
      <c r="C733" s="7">
        <v>201515</v>
      </c>
      <c r="D733" s="9" t="s">
        <v>16</v>
      </c>
      <c r="E733" s="8"/>
    </row>
    <row r="734" spans="1:5" ht="12.75" customHeight="1" x14ac:dyDescent="0.2">
      <c r="A734" s="6" t="s">
        <v>413</v>
      </c>
      <c r="B734" s="6" t="s">
        <v>6</v>
      </c>
      <c r="C734" s="7">
        <v>201516</v>
      </c>
      <c r="D734" s="9" t="s">
        <v>16</v>
      </c>
      <c r="E734" s="8"/>
    </row>
    <row r="735" spans="1:5" ht="12.75" customHeight="1" x14ac:dyDescent="0.2">
      <c r="A735" s="6" t="s">
        <v>414</v>
      </c>
      <c r="B735" s="6" t="s">
        <v>15</v>
      </c>
      <c r="C735" s="7">
        <v>201517</v>
      </c>
      <c r="D735" s="9" t="s">
        <v>16</v>
      </c>
      <c r="E735" s="8"/>
    </row>
    <row r="736" spans="1:5" ht="12.75" customHeight="1" x14ac:dyDescent="0.2">
      <c r="A736" s="6" t="s">
        <v>414</v>
      </c>
      <c r="B736" s="6" t="s">
        <v>6</v>
      </c>
      <c r="C736" s="7">
        <v>201520</v>
      </c>
      <c r="D736" s="9" t="s">
        <v>16</v>
      </c>
      <c r="E736" s="8"/>
    </row>
    <row r="737" spans="1:5" ht="12.75" customHeight="1" x14ac:dyDescent="0.2">
      <c r="A737" s="6" t="s">
        <v>415</v>
      </c>
      <c r="B737" s="6" t="s">
        <v>32</v>
      </c>
      <c r="C737" s="7">
        <v>201529</v>
      </c>
      <c r="D737" s="9" t="s">
        <v>16</v>
      </c>
      <c r="E737" s="8"/>
    </row>
    <row r="738" spans="1:5" ht="12.75" customHeight="1" x14ac:dyDescent="0.2">
      <c r="A738" s="6" t="s">
        <v>415</v>
      </c>
      <c r="B738" s="6" t="s">
        <v>6</v>
      </c>
      <c r="C738" s="7">
        <v>201530</v>
      </c>
      <c r="D738" s="9" t="s">
        <v>16</v>
      </c>
      <c r="E738" s="8"/>
    </row>
    <row r="739" spans="1:5" ht="12.75" customHeight="1" x14ac:dyDescent="0.2">
      <c r="A739" s="6" t="s">
        <v>415</v>
      </c>
      <c r="B739" s="6" t="s">
        <v>15</v>
      </c>
      <c r="C739" s="7">
        <v>201531</v>
      </c>
      <c r="D739" s="9" t="s">
        <v>16</v>
      </c>
      <c r="E739" s="8"/>
    </row>
    <row r="740" spans="1:5" ht="12.75" customHeight="1" x14ac:dyDescent="0.2">
      <c r="A740" s="6" t="s">
        <v>416</v>
      </c>
      <c r="B740" s="6" t="s">
        <v>6</v>
      </c>
      <c r="C740" s="7">
        <v>201541</v>
      </c>
      <c r="D740" s="9" t="s">
        <v>7</v>
      </c>
      <c r="E740" s="8"/>
    </row>
    <row r="741" spans="1:5" ht="12.75" customHeight="1" x14ac:dyDescent="0.2">
      <c r="A741" s="6" t="s">
        <v>416</v>
      </c>
      <c r="B741" s="6" t="s">
        <v>15</v>
      </c>
      <c r="C741" s="7">
        <v>201542</v>
      </c>
      <c r="D741" s="9" t="s">
        <v>7</v>
      </c>
      <c r="E741" s="8"/>
    </row>
    <row r="742" spans="1:5" ht="12.75" customHeight="1" x14ac:dyDescent="0.2">
      <c r="A742" s="6" t="s">
        <v>416</v>
      </c>
      <c r="B742" s="6" t="s">
        <v>32</v>
      </c>
      <c r="C742" s="7">
        <v>201543</v>
      </c>
      <c r="D742" s="9" t="s">
        <v>7</v>
      </c>
      <c r="E742" s="8"/>
    </row>
    <row r="743" spans="1:5" ht="12.75" customHeight="1" x14ac:dyDescent="0.2">
      <c r="A743" s="6" t="s">
        <v>417</v>
      </c>
      <c r="B743" s="6" t="s">
        <v>6</v>
      </c>
      <c r="C743" s="7">
        <v>201544</v>
      </c>
      <c r="D743" s="9" t="s">
        <v>7</v>
      </c>
      <c r="E743" s="8"/>
    </row>
    <row r="744" spans="1:5" ht="12.75" customHeight="1" x14ac:dyDescent="0.2">
      <c r="A744" s="6" t="s">
        <v>417</v>
      </c>
      <c r="B744" s="6" t="s">
        <v>15</v>
      </c>
      <c r="C744" s="7">
        <v>201546</v>
      </c>
      <c r="D744" s="9" t="s">
        <v>7</v>
      </c>
      <c r="E744" s="8"/>
    </row>
    <row r="745" spans="1:5" ht="12.75" customHeight="1" x14ac:dyDescent="0.2">
      <c r="A745" s="6" t="s">
        <v>418</v>
      </c>
      <c r="B745" s="6" t="s">
        <v>32</v>
      </c>
      <c r="C745" s="7">
        <v>201657</v>
      </c>
      <c r="D745" s="9" t="s">
        <v>16</v>
      </c>
      <c r="E745" s="8"/>
    </row>
    <row r="746" spans="1:5" ht="12.75" customHeight="1" x14ac:dyDescent="0.2">
      <c r="A746" s="6" t="s">
        <v>373</v>
      </c>
      <c r="B746" s="6" t="s">
        <v>136</v>
      </c>
      <c r="C746" s="7">
        <v>202075</v>
      </c>
      <c r="D746" s="9" t="s">
        <v>16</v>
      </c>
      <c r="E746" s="8"/>
    </row>
    <row r="747" spans="1:5" ht="12.75" customHeight="1" x14ac:dyDescent="0.2">
      <c r="A747" s="6" t="s">
        <v>419</v>
      </c>
      <c r="B747" s="6" t="s">
        <v>420</v>
      </c>
      <c r="C747" s="7">
        <v>202540</v>
      </c>
      <c r="D747" s="9" t="s">
        <v>7</v>
      </c>
      <c r="E747" s="8"/>
    </row>
    <row r="748" spans="1:5" ht="12.75" customHeight="1" x14ac:dyDescent="0.2">
      <c r="A748" s="6" t="s">
        <v>421</v>
      </c>
      <c r="B748" s="6" t="s">
        <v>306</v>
      </c>
      <c r="C748" s="7">
        <v>203230</v>
      </c>
      <c r="D748" s="9" t="s">
        <v>16</v>
      </c>
      <c r="E748" s="8"/>
    </row>
    <row r="749" spans="1:5" ht="12.75" customHeight="1" x14ac:dyDescent="0.2">
      <c r="A749" s="6" t="s">
        <v>421</v>
      </c>
      <c r="B749" s="6" t="s">
        <v>307</v>
      </c>
      <c r="C749" s="7">
        <v>203231</v>
      </c>
      <c r="D749" s="9" t="s">
        <v>16</v>
      </c>
      <c r="E749" s="8"/>
    </row>
    <row r="750" spans="1:5" ht="12.75" customHeight="1" x14ac:dyDescent="0.2">
      <c r="A750" s="6" t="s">
        <v>421</v>
      </c>
      <c r="B750" s="6" t="s">
        <v>283</v>
      </c>
      <c r="C750" s="7">
        <v>203581</v>
      </c>
      <c r="D750" s="9" t="s">
        <v>16</v>
      </c>
      <c r="E750" s="8"/>
    </row>
    <row r="751" spans="1:5" ht="12.75" customHeight="1" x14ac:dyDescent="0.2">
      <c r="A751" s="6" t="s">
        <v>422</v>
      </c>
      <c r="B751" s="6" t="s">
        <v>15</v>
      </c>
      <c r="C751" s="7">
        <v>203971</v>
      </c>
      <c r="D751" s="9" t="s">
        <v>16</v>
      </c>
      <c r="E751" s="8"/>
    </row>
    <row r="752" spans="1:5" ht="12.75" customHeight="1" x14ac:dyDescent="0.2">
      <c r="A752" s="6" t="s">
        <v>423</v>
      </c>
      <c r="B752" s="6" t="s">
        <v>15</v>
      </c>
      <c r="C752" s="7">
        <v>203973</v>
      </c>
      <c r="D752" s="9" t="s">
        <v>16</v>
      </c>
      <c r="E752" s="8"/>
    </row>
    <row r="753" spans="1:5" ht="12.75" customHeight="1" x14ac:dyDescent="0.2">
      <c r="A753" s="6" t="s">
        <v>422</v>
      </c>
      <c r="B753" s="6" t="s">
        <v>136</v>
      </c>
      <c r="C753" s="7">
        <v>203998</v>
      </c>
      <c r="D753" s="9" t="s">
        <v>16</v>
      </c>
      <c r="E753" s="8"/>
    </row>
    <row r="754" spans="1:5" ht="12.75" customHeight="1" x14ac:dyDescent="0.2">
      <c r="A754" s="6" t="s">
        <v>424</v>
      </c>
      <c r="B754" s="6" t="s">
        <v>15</v>
      </c>
      <c r="C754" s="7">
        <v>204085</v>
      </c>
      <c r="D754" s="9" t="s">
        <v>16</v>
      </c>
      <c r="E754" s="8"/>
    </row>
    <row r="755" spans="1:5" ht="12.75" customHeight="1" x14ac:dyDescent="0.2">
      <c r="A755" s="6" t="s">
        <v>425</v>
      </c>
      <c r="B755" s="6" t="s">
        <v>15</v>
      </c>
      <c r="C755" s="7">
        <v>204128</v>
      </c>
      <c r="D755" s="9" t="s">
        <v>16</v>
      </c>
      <c r="E755" s="8"/>
    </row>
    <row r="756" spans="1:5" ht="12.75" customHeight="1" x14ac:dyDescent="0.2">
      <c r="A756" s="6" t="s">
        <v>426</v>
      </c>
      <c r="B756" s="6" t="s">
        <v>32</v>
      </c>
      <c r="C756" s="7">
        <v>204405</v>
      </c>
      <c r="D756" s="9" t="s">
        <v>16</v>
      </c>
      <c r="E756" s="8"/>
    </row>
    <row r="757" spans="1:5" ht="12.75" customHeight="1" x14ac:dyDescent="0.2">
      <c r="A757" s="6" t="s">
        <v>426</v>
      </c>
      <c r="B757" s="6" t="s">
        <v>15</v>
      </c>
      <c r="C757" s="7">
        <v>204406</v>
      </c>
      <c r="D757" s="9" t="s">
        <v>16</v>
      </c>
      <c r="E757" s="8"/>
    </row>
    <row r="758" spans="1:5" ht="12.75" customHeight="1" x14ac:dyDescent="0.2">
      <c r="A758" s="6" t="s">
        <v>427</v>
      </c>
      <c r="B758" s="6" t="s">
        <v>15</v>
      </c>
      <c r="C758" s="7">
        <v>205314</v>
      </c>
      <c r="D758" s="9" t="s">
        <v>16</v>
      </c>
      <c r="E758" s="8"/>
    </row>
    <row r="759" spans="1:5" ht="12.75" customHeight="1" x14ac:dyDescent="0.2">
      <c r="A759" s="6" t="s">
        <v>424</v>
      </c>
      <c r="B759" s="6" t="s">
        <v>32</v>
      </c>
      <c r="C759" s="7">
        <v>205698</v>
      </c>
      <c r="D759" s="9" t="s">
        <v>16</v>
      </c>
      <c r="E759" s="8"/>
    </row>
    <row r="760" spans="1:5" ht="12.75" customHeight="1" x14ac:dyDescent="0.2">
      <c r="A760" s="6" t="s">
        <v>425</v>
      </c>
      <c r="B760" s="6" t="s">
        <v>32</v>
      </c>
      <c r="C760" s="7">
        <v>205699</v>
      </c>
      <c r="D760" s="9" t="s">
        <v>16</v>
      </c>
      <c r="E760" s="8"/>
    </row>
    <row r="761" spans="1:5" ht="12.75" customHeight="1" x14ac:dyDescent="0.2">
      <c r="A761" s="6" t="s">
        <v>428</v>
      </c>
      <c r="B761" s="6" t="s">
        <v>6</v>
      </c>
      <c r="C761" s="7">
        <v>205742</v>
      </c>
      <c r="D761" s="9" t="s">
        <v>7</v>
      </c>
      <c r="E761" s="8"/>
    </row>
    <row r="762" spans="1:5" ht="12.75" customHeight="1" x14ac:dyDescent="0.2">
      <c r="A762" s="6" t="s">
        <v>429</v>
      </c>
      <c r="B762" s="6" t="s">
        <v>6</v>
      </c>
      <c r="C762" s="7">
        <v>205744</v>
      </c>
      <c r="D762" s="9" t="s">
        <v>7</v>
      </c>
      <c r="E762" s="8"/>
    </row>
    <row r="763" spans="1:5" ht="12.75" customHeight="1" x14ac:dyDescent="0.2">
      <c r="A763" s="6" t="s">
        <v>430</v>
      </c>
      <c r="B763" s="6" t="s">
        <v>6</v>
      </c>
      <c r="C763" s="7">
        <v>205745</v>
      </c>
      <c r="D763" s="9" t="s">
        <v>7</v>
      </c>
      <c r="E763" s="8"/>
    </row>
    <row r="764" spans="1:5" ht="12.75" customHeight="1" x14ac:dyDescent="0.2">
      <c r="A764" s="6" t="s">
        <v>431</v>
      </c>
      <c r="B764" s="6" t="s">
        <v>32</v>
      </c>
      <c r="C764" s="7">
        <v>205816</v>
      </c>
      <c r="D764" s="9" t="s">
        <v>16</v>
      </c>
      <c r="E764" s="8"/>
    </row>
    <row r="765" spans="1:5" ht="12.75" customHeight="1" x14ac:dyDescent="0.2">
      <c r="A765" s="6" t="s">
        <v>431</v>
      </c>
      <c r="B765" s="6" t="s">
        <v>6</v>
      </c>
      <c r="C765" s="7">
        <v>205817</v>
      </c>
      <c r="D765" s="9" t="s">
        <v>16</v>
      </c>
      <c r="E765" s="8"/>
    </row>
    <row r="766" spans="1:5" ht="12.75" customHeight="1" x14ac:dyDescent="0.2">
      <c r="A766" s="6" t="s">
        <v>431</v>
      </c>
      <c r="B766" s="6" t="s">
        <v>15</v>
      </c>
      <c r="C766" s="7">
        <v>205818</v>
      </c>
      <c r="D766" s="9" t="s">
        <v>16</v>
      </c>
      <c r="E766" s="8"/>
    </row>
    <row r="767" spans="1:5" ht="12.75" customHeight="1" x14ac:dyDescent="0.2">
      <c r="A767" s="6" t="s">
        <v>432</v>
      </c>
      <c r="B767" s="6" t="s">
        <v>32</v>
      </c>
      <c r="C767" s="7">
        <v>206400</v>
      </c>
      <c r="D767" s="9" t="s">
        <v>16</v>
      </c>
      <c r="E767" s="8"/>
    </row>
    <row r="768" spans="1:5" ht="12.75" customHeight="1" x14ac:dyDescent="0.2">
      <c r="A768" s="6" t="s">
        <v>432</v>
      </c>
      <c r="B768" s="6" t="s">
        <v>15</v>
      </c>
      <c r="C768" s="7">
        <v>206401</v>
      </c>
      <c r="D768" s="9" t="s">
        <v>16</v>
      </c>
      <c r="E768" s="8"/>
    </row>
    <row r="769" spans="1:5" ht="12.75" customHeight="1" x14ac:dyDescent="0.2">
      <c r="A769" s="6" t="s">
        <v>433</v>
      </c>
      <c r="B769" s="6" t="s">
        <v>15</v>
      </c>
      <c r="C769" s="7">
        <v>206716</v>
      </c>
      <c r="D769" s="9" t="s">
        <v>16</v>
      </c>
      <c r="E769" s="8"/>
    </row>
    <row r="770" spans="1:5" ht="12.75" customHeight="1" x14ac:dyDescent="0.2">
      <c r="A770" s="6" t="s">
        <v>434</v>
      </c>
      <c r="B770" s="6" t="s">
        <v>15</v>
      </c>
      <c r="C770" s="7">
        <v>206720</v>
      </c>
      <c r="D770" s="9" t="s">
        <v>7</v>
      </c>
      <c r="E770" s="8"/>
    </row>
    <row r="771" spans="1:5" ht="12.75" customHeight="1" x14ac:dyDescent="0.2">
      <c r="A771" s="6" t="s">
        <v>435</v>
      </c>
      <c r="B771" s="6" t="s">
        <v>15</v>
      </c>
      <c r="C771" s="7">
        <v>206767</v>
      </c>
      <c r="D771" s="9" t="s">
        <v>7</v>
      </c>
      <c r="E771" s="8"/>
    </row>
    <row r="772" spans="1:5" ht="12.75" customHeight="1" x14ac:dyDescent="0.2">
      <c r="A772" s="6" t="s">
        <v>436</v>
      </c>
      <c r="B772" s="6" t="s">
        <v>32</v>
      </c>
      <c r="C772" s="7">
        <v>206924</v>
      </c>
      <c r="D772" s="9" t="s">
        <v>16</v>
      </c>
      <c r="E772" s="8"/>
    </row>
    <row r="773" spans="1:5" ht="12.75" customHeight="1" x14ac:dyDescent="0.2">
      <c r="A773" s="6" t="s">
        <v>437</v>
      </c>
      <c r="B773" s="6" t="s">
        <v>15</v>
      </c>
      <c r="C773" s="7">
        <v>207423</v>
      </c>
      <c r="D773" s="9" t="s">
        <v>16</v>
      </c>
      <c r="E773" s="8"/>
    </row>
    <row r="774" spans="1:5" ht="12.75" customHeight="1" x14ac:dyDescent="0.2">
      <c r="A774" s="6" t="s">
        <v>437</v>
      </c>
      <c r="B774" s="6" t="s">
        <v>32</v>
      </c>
      <c r="C774" s="7">
        <v>207424</v>
      </c>
      <c r="D774" s="9" t="s">
        <v>16</v>
      </c>
      <c r="E774" s="8"/>
    </row>
    <row r="775" spans="1:5" ht="12.75" customHeight="1" x14ac:dyDescent="0.2">
      <c r="A775" s="6" t="s">
        <v>437</v>
      </c>
      <c r="B775" s="6" t="s">
        <v>136</v>
      </c>
      <c r="C775" s="7">
        <v>207425</v>
      </c>
      <c r="D775" s="9" t="s">
        <v>16</v>
      </c>
      <c r="E775" s="8"/>
    </row>
    <row r="776" spans="1:5" ht="12.75" customHeight="1" x14ac:dyDescent="0.2">
      <c r="A776" s="6" t="s">
        <v>438</v>
      </c>
      <c r="B776" s="6" t="s">
        <v>15</v>
      </c>
      <c r="C776" s="7">
        <v>207444</v>
      </c>
      <c r="D776" s="9" t="s">
        <v>16</v>
      </c>
      <c r="E776" s="8"/>
    </row>
    <row r="777" spans="1:5" ht="12.75" customHeight="1" x14ac:dyDescent="0.2">
      <c r="A777" s="6" t="s">
        <v>438</v>
      </c>
      <c r="B777" s="6" t="s">
        <v>32</v>
      </c>
      <c r="C777" s="7">
        <v>207445</v>
      </c>
      <c r="D777" s="9" t="s">
        <v>16</v>
      </c>
      <c r="E777" s="8"/>
    </row>
    <row r="778" spans="1:5" ht="12.75" customHeight="1" x14ac:dyDescent="0.2">
      <c r="A778" s="6" t="s">
        <v>438</v>
      </c>
      <c r="B778" s="6" t="s">
        <v>136</v>
      </c>
      <c r="C778" s="7">
        <v>207446</v>
      </c>
      <c r="D778" s="9" t="s">
        <v>16</v>
      </c>
      <c r="E778" s="8"/>
    </row>
    <row r="779" spans="1:5" ht="12.75" customHeight="1" x14ac:dyDescent="0.2">
      <c r="A779" s="6" t="s">
        <v>439</v>
      </c>
      <c r="B779" s="6" t="s">
        <v>15</v>
      </c>
      <c r="C779" s="7">
        <v>207448</v>
      </c>
      <c r="D779" s="9" t="s">
        <v>16</v>
      </c>
      <c r="E779" s="8"/>
    </row>
    <row r="780" spans="1:5" ht="12.75" customHeight="1" x14ac:dyDescent="0.2">
      <c r="A780" s="6" t="s">
        <v>439</v>
      </c>
      <c r="B780" s="6" t="s">
        <v>32</v>
      </c>
      <c r="C780" s="7">
        <v>207450</v>
      </c>
      <c r="D780" s="9" t="s">
        <v>16</v>
      </c>
      <c r="E780" s="8"/>
    </row>
    <row r="781" spans="1:5" ht="12.75" customHeight="1" x14ac:dyDescent="0.2">
      <c r="A781" s="6" t="s">
        <v>439</v>
      </c>
      <c r="B781" s="6" t="s">
        <v>136</v>
      </c>
      <c r="C781" s="7">
        <v>207451</v>
      </c>
      <c r="D781" s="9" t="s">
        <v>16</v>
      </c>
      <c r="E781" s="8"/>
    </row>
    <row r="782" spans="1:5" ht="12.75" customHeight="1" x14ac:dyDescent="0.2">
      <c r="A782" s="6" t="s">
        <v>17</v>
      </c>
      <c r="B782" s="6" t="s">
        <v>306</v>
      </c>
      <c r="C782" s="7">
        <v>207553</v>
      </c>
      <c r="D782" s="9" t="s">
        <v>16</v>
      </c>
      <c r="E782" s="8"/>
    </row>
    <row r="783" spans="1:5" ht="12.75" customHeight="1" x14ac:dyDescent="0.2">
      <c r="A783" s="6" t="s">
        <v>281</v>
      </c>
      <c r="B783" s="6" t="s">
        <v>306</v>
      </c>
      <c r="C783" s="7">
        <v>207567</v>
      </c>
      <c r="D783" s="9" t="s">
        <v>16</v>
      </c>
      <c r="E783" s="8"/>
    </row>
    <row r="784" spans="1:5" ht="12.75" customHeight="1" x14ac:dyDescent="0.2">
      <c r="A784" s="6" t="s">
        <v>289</v>
      </c>
      <c r="B784" s="6" t="s">
        <v>306</v>
      </c>
      <c r="C784" s="7">
        <v>207568</v>
      </c>
      <c r="D784" s="9" t="s">
        <v>16</v>
      </c>
      <c r="E784" s="8"/>
    </row>
    <row r="785" spans="1:5" ht="12.75" customHeight="1" x14ac:dyDescent="0.2">
      <c r="A785" s="6" t="s">
        <v>440</v>
      </c>
      <c r="B785" s="6" t="s">
        <v>32</v>
      </c>
      <c r="C785" s="7">
        <v>207669</v>
      </c>
      <c r="D785" s="9" t="s">
        <v>16</v>
      </c>
      <c r="E785" s="8"/>
    </row>
    <row r="786" spans="1:5" ht="12.75" customHeight="1" x14ac:dyDescent="0.2">
      <c r="A786" s="6" t="s">
        <v>440</v>
      </c>
      <c r="B786" s="6" t="s">
        <v>15</v>
      </c>
      <c r="C786" s="7">
        <v>207680</v>
      </c>
      <c r="D786" s="9" t="s">
        <v>16</v>
      </c>
      <c r="E786" s="8"/>
    </row>
    <row r="787" spans="1:5" ht="12.75" customHeight="1" x14ac:dyDescent="0.2">
      <c r="A787" s="6" t="s">
        <v>441</v>
      </c>
      <c r="B787" s="6" t="s">
        <v>32</v>
      </c>
      <c r="C787" s="7">
        <v>207848</v>
      </c>
      <c r="D787" s="9" t="s">
        <v>16</v>
      </c>
      <c r="E787" s="8"/>
    </row>
    <row r="788" spans="1:5" ht="12.75" customHeight="1" x14ac:dyDescent="0.2">
      <c r="A788" s="6" t="s">
        <v>441</v>
      </c>
      <c r="B788" s="6" t="s">
        <v>15</v>
      </c>
      <c r="C788" s="7">
        <v>207849</v>
      </c>
      <c r="D788" s="9" t="s">
        <v>16</v>
      </c>
      <c r="E788" s="8"/>
    </row>
    <row r="789" spans="1:5" ht="12.75" customHeight="1" x14ac:dyDescent="0.2">
      <c r="A789" s="6" t="s">
        <v>426</v>
      </c>
      <c r="B789" s="6" t="s">
        <v>6</v>
      </c>
      <c r="C789" s="7">
        <v>207854</v>
      </c>
      <c r="D789" s="9" t="s">
        <v>16</v>
      </c>
      <c r="E789" s="8"/>
    </row>
    <row r="790" spans="1:5" ht="12.75" customHeight="1" x14ac:dyDescent="0.2">
      <c r="A790" s="6" t="s">
        <v>441</v>
      </c>
      <c r="B790" s="6" t="s">
        <v>136</v>
      </c>
      <c r="C790" s="7">
        <v>207860</v>
      </c>
      <c r="D790" s="9" t="s">
        <v>16</v>
      </c>
      <c r="E790" s="8"/>
    </row>
    <row r="791" spans="1:5" ht="12.75" customHeight="1" x14ac:dyDescent="0.2">
      <c r="A791" s="6" t="s">
        <v>442</v>
      </c>
      <c r="B791" s="6" t="s">
        <v>32</v>
      </c>
      <c r="C791" s="7">
        <v>207892</v>
      </c>
      <c r="D791" s="9" t="s">
        <v>16</v>
      </c>
      <c r="E791" s="8"/>
    </row>
    <row r="792" spans="1:5" ht="12.75" customHeight="1" x14ac:dyDescent="0.2">
      <c r="A792" s="6" t="s">
        <v>442</v>
      </c>
      <c r="B792" s="6" t="s">
        <v>15</v>
      </c>
      <c r="C792" s="7">
        <v>207893</v>
      </c>
      <c r="D792" s="9" t="s">
        <v>16</v>
      </c>
      <c r="E792" s="8"/>
    </row>
    <row r="793" spans="1:5" ht="12.75" customHeight="1" x14ac:dyDescent="0.2">
      <c r="A793" s="6" t="s">
        <v>442</v>
      </c>
      <c r="B793" s="6" t="s">
        <v>136</v>
      </c>
      <c r="C793" s="7">
        <v>207894</v>
      </c>
      <c r="D793" s="9" t="s">
        <v>16</v>
      </c>
      <c r="E793" s="8"/>
    </row>
    <row r="794" spans="1:5" ht="12.75" customHeight="1" x14ac:dyDescent="0.2">
      <c r="A794" s="6" t="s">
        <v>443</v>
      </c>
      <c r="B794" s="6" t="s">
        <v>15</v>
      </c>
      <c r="C794" s="7">
        <v>208895</v>
      </c>
      <c r="D794" s="9" t="s">
        <v>16</v>
      </c>
      <c r="E794" s="8"/>
    </row>
    <row r="795" spans="1:5" ht="12.75" customHeight="1" x14ac:dyDescent="0.2">
      <c r="A795" s="6" t="s">
        <v>444</v>
      </c>
      <c r="B795" s="6" t="s">
        <v>15</v>
      </c>
      <c r="C795" s="7">
        <v>209458</v>
      </c>
      <c r="D795" s="9" t="s">
        <v>16</v>
      </c>
      <c r="E795" s="8"/>
    </row>
    <row r="796" spans="1:5" ht="12.75" customHeight="1" x14ac:dyDescent="0.2">
      <c r="A796" s="6" t="s">
        <v>445</v>
      </c>
      <c r="B796" s="6" t="s">
        <v>32</v>
      </c>
      <c r="C796" s="7">
        <v>209501</v>
      </c>
      <c r="D796" s="9" t="s">
        <v>16</v>
      </c>
      <c r="E796" s="8"/>
    </row>
    <row r="797" spans="1:5" ht="12.75" customHeight="1" x14ac:dyDescent="0.2">
      <c r="A797" s="6" t="s">
        <v>446</v>
      </c>
      <c r="B797" s="6" t="s">
        <v>167</v>
      </c>
      <c r="C797" s="7">
        <v>210042</v>
      </c>
      <c r="D797" s="9" t="s">
        <v>16</v>
      </c>
      <c r="E797" s="8"/>
    </row>
    <row r="798" spans="1:5" ht="12.75" customHeight="1" x14ac:dyDescent="0.2">
      <c r="A798" s="6" t="s">
        <v>442</v>
      </c>
      <c r="B798" s="6" t="s">
        <v>353</v>
      </c>
      <c r="C798" s="7">
        <v>211897</v>
      </c>
      <c r="D798" s="9" t="s">
        <v>16</v>
      </c>
      <c r="E798" s="8"/>
    </row>
    <row r="799" spans="1:5" ht="12.75" customHeight="1" x14ac:dyDescent="0.2">
      <c r="A799" s="6" t="s">
        <v>447</v>
      </c>
      <c r="B799" s="6" t="s">
        <v>15</v>
      </c>
      <c r="C799" s="7">
        <v>212513</v>
      </c>
      <c r="D799" s="9" t="s">
        <v>16</v>
      </c>
      <c r="E799" s="8"/>
    </row>
    <row r="800" spans="1:5" ht="12.75" customHeight="1" x14ac:dyDescent="0.2">
      <c r="A800" s="6" t="s">
        <v>448</v>
      </c>
      <c r="B800" s="6" t="s">
        <v>136</v>
      </c>
      <c r="C800" s="7">
        <v>213100</v>
      </c>
      <c r="D800" s="9" t="s">
        <v>16</v>
      </c>
      <c r="E800" s="8"/>
    </row>
    <row r="801" spans="1:5" ht="12.75" customHeight="1" x14ac:dyDescent="0.2">
      <c r="A801" s="6" t="s">
        <v>448</v>
      </c>
      <c r="B801" s="6" t="s">
        <v>15</v>
      </c>
      <c r="C801" s="7">
        <v>213101</v>
      </c>
      <c r="D801" s="9" t="s">
        <v>16</v>
      </c>
      <c r="E801" s="8"/>
    </row>
    <row r="802" spans="1:5" ht="12.75" customHeight="1" x14ac:dyDescent="0.2">
      <c r="A802" s="6" t="s">
        <v>448</v>
      </c>
      <c r="B802" s="6" t="s">
        <v>6</v>
      </c>
      <c r="C802" s="7">
        <v>213102</v>
      </c>
      <c r="D802" s="9" t="s">
        <v>16</v>
      </c>
      <c r="E802" s="8"/>
    </row>
    <row r="803" spans="1:5" ht="12.75" customHeight="1" x14ac:dyDescent="0.2">
      <c r="A803" s="6" t="s">
        <v>449</v>
      </c>
      <c r="B803" s="6" t="s">
        <v>15</v>
      </c>
      <c r="C803" s="7">
        <v>213457</v>
      </c>
      <c r="D803" s="9" t="s">
        <v>16</v>
      </c>
      <c r="E803" s="8"/>
    </row>
    <row r="804" spans="1:5" ht="12.75" customHeight="1" x14ac:dyDescent="0.2">
      <c r="A804" s="6" t="s">
        <v>450</v>
      </c>
      <c r="B804" s="6" t="s">
        <v>15</v>
      </c>
      <c r="C804" s="7">
        <v>213632</v>
      </c>
      <c r="D804" s="9" t="s">
        <v>16</v>
      </c>
      <c r="E804" s="8"/>
    </row>
    <row r="805" spans="1:5" ht="12.75" customHeight="1" x14ac:dyDescent="0.2">
      <c r="A805" s="6" t="s">
        <v>451</v>
      </c>
      <c r="B805" s="6" t="s">
        <v>32</v>
      </c>
      <c r="C805" s="7">
        <v>213639</v>
      </c>
      <c r="D805" s="9" t="s">
        <v>16</v>
      </c>
      <c r="E805" s="8"/>
    </row>
    <row r="806" spans="1:5" ht="12.75" customHeight="1" x14ac:dyDescent="0.2">
      <c r="A806" s="6" t="s">
        <v>452</v>
      </c>
      <c r="B806" s="6" t="s">
        <v>15</v>
      </c>
      <c r="C806" s="7">
        <v>213642</v>
      </c>
      <c r="D806" s="9" t="s">
        <v>16</v>
      </c>
      <c r="E806" s="8"/>
    </row>
    <row r="807" spans="1:5" ht="12.75" customHeight="1" x14ac:dyDescent="0.2">
      <c r="A807" s="6" t="s">
        <v>450</v>
      </c>
      <c r="B807" s="6" t="s">
        <v>32</v>
      </c>
      <c r="C807" s="7">
        <v>213643</v>
      </c>
      <c r="D807" s="9" t="s">
        <v>16</v>
      </c>
      <c r="E807" s="8"/>
    </row>
    <row r="808" spans="1:5" ht="12.75" customHeight="1" x14ac:dyDescent="0.2">
      <c r="A808" s="6" t="s">
        <v>453</v>
      </c>
      <c r="B808" s="6" t="s">
        <v>32</v>
      </c>
      <c r="C808" s="7">
        <v>213645</v>
      </c>
      <c r="D808" s="9" t="s">
        <v>16</v>
      </c>
      <c r="E808" s="8"/>
    </row>
    <row r="809" spans="1:5" ht="12.75" customHeight="1" x14ac:dyDescent="0.2">
      <c r="A809" s="6" t="s">
        <v>454</v>
      </c>
      <c r="B809" s="6" t="s">
        <v>32</v>
      </c>
      <c r="C809" s="7">
        <v>213651</v>
      </c>
      <c r="D809" s="9" t="s">
        <v>16</v>
      </c>
      <c r="E809" s="8"/>
    </row>
    <row r="810" spans="1:5" ht="12.75" customHeight="1" x14ac:dyDescent="0.2">
      <c r="A810" s="6" t="s">
        <v>451</v>
      </c>
      <c r="B810" s="6" t="s">
        <v>136</v>
      </c>
      <c r="C810" s="7">
        <v>213653</v>
      </c>
      <c r="D810" s="9" t="s">
        <v>16</v>
      </c>
      <c r="E810" s="8"/>
    </row>
    <row r="811" spans="1:5" ht="12.75" customHeight="1" x14ac:dyDescent="0.2">
      <c r="A811" s="6" t="s">
        <v>455</v>
      </c>
      <c r="B811" s="6" t="s">
        <v>15</v>
      </c>
      <c r="C811" s="7">
        <v>213656</v>
      </c>
      <c r="D811" s="9" t="s">
        <v>16</v>
      </c>
      <c r="E811" s="8"/>
    </row>
    <row r="812" spans="1:5" ht="12.75" customHeight="1" x14ac:dyDescent="0.2">
      <c r="A812" s="6" t="s">
        <v>455</v>
      </c>
      <c r="B812" s="6" t="s">
        <v>6</v>
      </c>
      <c r="C812" s="7">
        <v>213657</v>
      </c>
      <c r="D812" s="9" t="s">
        <v>16</v>
      </c>
      <c r="E812" s="8"/>
    </row>
    <row r="813" spans="1:5" ht="12.75" customHeight="1" x14ac:dyDescent="0.2">
      <c r="A813" s="6" t="s">
        <v>455</v>
      </c>
      <c r="B813" s="6" t="s">
        <v>32</v>
      </c>
      <c r="C813" s="7">
        <v>213658</v>
      </c>
      <c r="D813" s="9" t="s">
        <v>16</v>
      </c>
      <c r="E813" s="8"/>
    </row>
    <row r="814" spans="1:5" ht="12.75" customHeight="1" x14ac:dyDescent="0.2">
      <c r="A814" s="6" t="s">
        <v>456</v>
      </c>
      <c r="B814" s="6" t="s">
        <v>353</v>
      </c>
      <c r="C814" s="7">
        <v>213660</v>
      </c>
      <c r="D814" s="9" t="s">
        <v>16</v>
      </c>
      <c r="E814" s="8"/>
    </row>
    <row r="815" spans="1:5" ht="12.75" customHeight="1" x14ac:dyDescent="0.2">
      <c r="A815" s="6" t="s">
        <v>457</v>
      </c>
      <c r="B815" s="6" t="s">
        <v>353</v>
      </c>
      <c r="C815" s="7">
        <v>213668</v>
      </c>
      <c r="D815" s="9" t="s">
        <v>16</v>
      </c>
      <c r="E815" s="8"/>
    </row>
    <row r="816" spans="1:5" ht="12.75" customHeight="1" x14ac:dyDescent="0.2">
      <c r="A816" s="6" t="s">
        <v>458</v>
      </c>
      <c r="B816" s="6" t="s">
        <v>353</v>
      </c>
      <c r="C816" s="7">
        <v>213669</v>
      </c>
      <c r="D816" s="9" t="s">
        <v>16</v>
      </c>
      <c r="E816" s="8"/>
    </row>
    <row r="817" spans="1:5" ht="12.75" customHeight="1" x14ac:dyDescent="0.2">
      <c r="A817" s="6" t="s">
        <v>459</v>
      </c>
      <c r="B817" s="6" t="s">
        <v>353</v>
      </c>
      <c r="C817" s="7">
        <v>213670</v>
      </c>
      <c r="D817" s="9" t="s">
        <v>16</v>
      </c>
      <c r="E817" s="8"/>
    </row>
    <row r="818" spans="1:5" ht="12.75" customHeight="1" x14ac:dyDescent="0.2">
      <c r="A818" s="6" t="s">
        <v>460</v>
      </c>
      <c r="B818" s="6" t="s">
        <v>461</v>
      </c>
      <c r="C818" s="7">
        <v>213672</v>
      </c>
      <c r="D818" s="9" t="s">
        <v>16</v>
      </c>
      <c r="E818" s="8"/>
    </row>
    <row r="819" spans="1:5" ht="12.75" customHeight="1" x14ac:dyDescent="0.2">
      <c r="A819" s="6" t="s">
        <v>462</v>
      </c>
      <c r="B819" s="6" t="s">
        <v>461</v>
      </c>
      <c r="C819" s="7">
        <v>213673</v>
      </c>
      <c r="D819" s="9" t="s">
        <v>16</v>
      </c>
      <c r="E819" s="8"/>
    </row>
    <row r="820" spans="1:5" ht="12.75" customHeight="1" x14ac:dyDescent="0.2">
      <c r="A820" s="6" t="s">
        <v>463</v>
      </c>
      <c r="B820" s="6" t="s">
        <v>461</v>
      </c>
      <c r="C820" s="7">
        <v>213674</v>
      </c>
      <c r="D820" s="9" t="s">
        <v>16</v>
      </c>
      <c r="E820" s="8"/>
    </row>
    <row r="821" spans="1:5" ht="12.75" customHeight="1" x14ac:dyDescent="0.2">
      <c r="A821" s="6" t="s">
        <v>464</v>
      </c>
      <c r="B821" s="6" t="s">
        <v>353</v>
      </c>
      <c r="C821" s="7">
        <v>213676</v>
      </c>
      <c r="D821" s="9" t="s">
        <v>16</v>
      </c>
      <c r="E821" s="8"/>
    </row>
    <row r="822" spans="1:5" ht="12.75" customHeight="1" x14ac:dyDescent="0.2">
      <c r="A822" s="6" t="s">
        <v>462</v>
      </c>
      <c r="B822" s="6" t="s">
        <v>353</v>
      </c>
      <c r="C822" s="7">
        <v>213677</v>
      </c>
      <c r="D822" s="9" t="s">
        <v>16</v>
      </c>
      <c r="E822" s="8"/>
    </row>
    <row r="823" spans="1:5" ht="12.75" customHeight="1" x14ac:dyDescent="0.2">
      <c r="A823" s="6" t="s">
        <v>463</v>
      </c>
      <c r="B823" s="6" t="s">
        <v>353</v>
      </c>
      <c r="C823" s="7">
        <v>213678</v>
      </c>
      <c r="D823" s="9" t="s">
        <v>16</v>
      </c>
      <c r="E823" s="8"/>
    </row>
    <row r="824" spans="1:5" ht="12.75" customHeight="1" x14ac:dyDescent="0.2">
      <c r="A824" s="6" t="s">
        <v>465</v>
      </c>
      <c r="B824" s="6" t="s">
        <v>353</v>
      </c>
      <c r="C824" s="7">
        <v>213679</v>
      </c>
      <c r="D824" s="9" t="s">
        <v>16</v>
      </c>
      <c r="E824" s="8"/>
    </row>
    <row r="825" spans="1:5" ht="12.75" customHeight="1" x14ac:dyDescent="0.2">
      <c r="A825" s="6" t="s">
        <v>466</v>
      </c>
      <c r="B825" s="6" t="s">
        <v>353</v>
      </c>
      <c r="C825" s="7">
        <v>213680</v>
      </c>
      <c r="D825" s="9" t="s">
        <v>16</v>
      </c>
      <c r="E825" s="8"/>
    </row>
    <row r="826" spans="1:5" ht="12.75" customHeight="1" x14ac:dyDescent="0.2">
      <c r="A826" s="6" t="s">
        <v>467</v>
      </c>
      <c r="B826" s="6" t="s">
        <v>353</v>
      </c>
      <c r="C826" s="7">
        <v>213681</v>
      </c>
      <c r="D826" s="9" t="s">
        <v>16</v>
      </c>
      <c r="E826" s="8"/>
    </row>
    <row r="827" spans="1:5" ht="12.75" customHeight="1" x14ac:dyDescent="0.2">
      <c r="A827" s="6" t="s">
        <v>468</v>
      </c>
      <c r="B827" s="6" t="s">
        <v>353</v>
      </c>
      <c r="C827" s="7">
        <v>213682</v>
      </c>
      <c r="D827" s="9" t="s">
        <v>16</v>
      </c>
      <c r="E827" s="8"/>
    </row>
    <row r="828" spans="1:5" ht="12.75" customHeight="1" x14ac:dyDescent="0.2">
      <c r="A828" s="6" t="s">
        <v>469</v>
      </c>
      <c r="B828" s="6" t="s">
        <v>353</v>
      </c>
      <c r="C828" s="7">
        <v>213683</v>
      </c>
      <c r="D828" s="9" t="s">
        <v>16</v>
      </c>
      <c r="E828" s="8"/>
    </row>
    <row r="829" spans="1:5" ht="12.75" customHeight="1" x14ac:dyDescent="0.2">
      <c r="A829" s="6" t="s">
        <v>469</v>
      </c>
      <c r="B829" s="6" t="s">
        <v>461</v>
      </c>
      <c r="C829" s="7">
        <v>213685</v>
      </c>
      <c r="D829" s="9" t="s">
        <v>16</v>
      </c>
      <c r="E829" s="8"/>
    </row>
    <row r="830" spans="1:5" ht="12.75" customHeight="1" x14ac:dyDescent="0.2">
      <c r="A830" s="6" t="s">
        <v>470</v>
      </c>
      <c r="B830" s="6" t="s">
        <v>353</v>
      </c>
      <c r="C830" s="7">
        <v>213686</v>
      </c>
      <c r="D830" s="9" t="s">
        <v>16</v>
      </c>
      <c r="E830" s="8"/>
    </row>
    <row r="831" spans="1:5" ht="12.75" customHeight="1" x14ac:dyDescent="0.2">
      <c r="A831" s="6" t="s">
        <v>471</v>
      </c>
      <c r="B831" s="6" t="s">
        <v>461</v>
      </c>
      <c r="C831" s="7">
        <v>213687</v>
      </c>
      <c r="D831" s="9" t="s">
        <v>16</v>
      </c>
      <c r="E831" s="8"/>
    </row>
    <row r="832" spans="1:5" ht="12.75" customHeight="1" x14ac:dyDescent="0.2">
      <c r="A832" s="6" t="s">
        <v>472</v>
      </c>
      <c r="B832" s="6" t="s">
        <v>353</v>
      </c>
      <c r="C832" s="7">
        <v>213688</v>
      </c>
      <c r="D832" s="9" t="s">
        <v>16</v>
      </c>
      <c r="E832" s="8"/>
    </row>
    <row r="833" spans="1:5" ht="12.75" customHeight="1" x14ac:dyDescent="0.2">
      <c r="A833" s="6" t="s">
        <v>473</v>
      </c>
      <c r="B833" s="6" t="s">
        <v>15</v>
      </c>
      <c r="C833" s="7">
        <v>213693</v>
      </c>
      <c r="D833" s="9" t="s">
        <v>16</v>
      </c>
      <c r="E833" s="8"/>
    </row>
    <row r="834" spans="1:5" ht="12.75" customHeight="1" x14ac:dyDescent="0.2">
      <c r="A834" s="6" t="s">
        <v>474</v>
      </c>
      <c r="B834" s="6" t="s">
        <v>353</v>
      </c>
      <c r="C834" s="7">
        <v>213694</v>
      </c>
      <c r="D834" s="9" t="s">
        <v>16</v>
      </c>
      <c r="E834" s="8"/>
    </row>
    <row r="835" spans="1:5" ht="12.75" customHeight="1" x14ac:dyDescent="0.2">
      <c r="A835" s="6" t="s">
        <v>475</v>
      </c>
      <c r="B835" s="6" t="s">
        <v>353</v>
      </c>
      <c r="C835" s="7">
        <v>213697</v>
      </c>
      <c r="D835" s="9" t="s">
        <v>16</v>
      </c>
      <c r="E835" s="8"/>
    </row>
    <row r="836" spans="1:5" ht="12.75" customHeight="1" x14ac:dyDescent="0.2">
      <c r="A836" s="6" t="s">
        <v>476</v>
      </c>
      <c r="B836" s="6" t="s">
        <v>353</v>
      </c>
      <c r="C836" s="7">
        <v>213698</v>
      </c>
      <c r="D836" s="9" t="s">
        <v>16</v>
      </c>
      <c r="E836" s="8"/>
    </row>
    <row r="837" spans="1:5" ht="12.75" customHeight="1" x14ac:dyDescent="0.2">
      <c r="A837" s="6" t="s">
        <v>477</v>
      </c>
      <c r="B837" s="6" t="s">
        <v>353</v>
      </c>
      <c r="C837" s="7">
        <v>213699</v>
      </c>
      <c r="D837" s="9" t="s">
        <v>16</v>
      </c>
      <c r="E837" s="8"/>
    </row>
    <row r="838" spans="1:5" ht="12.75" customHeight="1" x14ac:dyDescent="0.2">
      <c r="A838" s="6" t="s">
        <v>473</v>
      </c>
      <c r="B838" s="6" t="s">
        <v>6</v>
      </c>
      <c r="C838" s="7">
        <v>213705</v>
      </c>
      <c r="D838" s="9" t="s">
        <v>16</v>
      </c>
      <c r="E838" s="8"/>
    </row>
    <row r="839" spans="1:5" ht="12.75" customHeight="1" x14ac:dyDescent="0.2">
      <c r="A839" s="6" t="s">
        <v>478</v>
      </c>
      <c r="B839" s="6" t="s">
        <v>479</v>
      </c>
      <c r="C839" s="7">
        <v>213713</v>
      </c>
      <c r="D839" s="9" t="s">
        <v>16</v>
      </c>
      <c r="E839" s="8"/>
    </row>
    <row r="840" spans="1:5" ht="12.75" customHeight="1" x14ac:dyDescent="0.2">
      <c r="A840" s="6" t="s">
        <v>480</v>
      </c>
      <c r="B840" s="6" t="s">
        <v>479</v>
      </c>
      <c r="C840" s="7">
        <v>213715</v>
      </c>
      <c r="D840" s="9" t="s">
        <v>16</v>
      </c>
      <c r="E840" s="8"/>
    </row>
    <row r="841" spans="1:5" ht="12.75" customHeight="1" x14ac:dyDescent="0.2">
      <c r="A841" s="6" t="s">
        <v>454</v>
      </c>
      <c r="B841" s="6" t="s">
        <v>479</v>
      </c>
      <c r="C841" s="7">
        <v>213716</v>
      </c>
      <c r="D841" s="9" t="s">
        <v>16</v>
      </c>
      <c r="E841" s="8"/>
    </row>
    <row r="842" spans="1:5" ht="12.75" customHeight="1" x14ac:dyDescent="0.2">
      <c r="A842" s="6" t="s">
        <v>481</v>
      </c>
      <c r="B842" s="6" t="s">
        <v>32</v>
      </c>
      <c r="C842" s="7">
        <v>213720</v>
      </c>
      <c r="D842" s="9" t="s">
        <v>16</v>
      </c>
      <c r="E842" s="8"/>
    </row>
    <row r="843" spans="1:5" ht="12.75" customHeight="1" x14ac:dyDescent="0.2">
      <c r="A843" s="6" t="s">
        <v>481</v>
      </c>
      <c r="B843" s="6" t="s">
        <v>15</v>
      </c>
      <c r="C843" s="7">
        <v>213721</v>
      </c>
      <c r="D843" s="9" t="s">
        <v>16</v>
      </c>
      <c r="E843" s="8"/>
    </row>
    <row r="844" spans="1:5" ht="12.75" customHeight="1" x14ac:dyDescent="0.2">
      <c r="A844" s="6" t="s">
        <v>482</v>
      </c>
      <c r="B844" s="6" t="s">
        <v>353</v>
      </c>
      <c r="C844" s="7">
        <v>213723</v>
      </c>
      <c r="D844" s="9" t="s">
        <v>16</v>
      </c>
      <c r="E844" s="8"/>
    </row>
    <row r="845" spans="1:5" ht="12.75" customHeight="1" x14ac:dyDescent="0.2">
      <c r="A845" s="6" t="s">
        <v>483</v>
      </c>
      <c r="B845" s="6" t="s">
        <v>353</v>
      </c>
      <c r="C845" s="7">
        <v>213724</v>
      </c>
      <c r="D845" s="9" t="s">
        <v>16</v>
      </c>
      <c r="E845" s="8"/>
    </row>
    <row r="846" spans="1:5" ht="12.75" customHeight="1" x14ac:dyDescent="0.2">
      <c r="A846" s="6" t="s">
        <v>484</v>
      </c>
      <c r="B846" s="6" t="s">
        <v>353</v>
      </c>
      <c r="C846" s="7">
        <v>213727</v>
      </c>
      <c r="D846" s="9" t="s">
        <v>16</v>
      </c>
      <c r="E846" s="8"/>
    </row>
    <row r="847" spans="1:5" ht="12.75" customHeight="1" x14ac:dyDescent="0.2">
      <c r="A847" s="6" t="s">
        <v>485</v>
      </c>
      <c r="B847" s="6" t="s">
        <v>353</v>
      </c>
      <c r="C847" s="7">
        <v>213728</v>
      </c>
      <c r="D847" s="9" t="s">
        <v>16</v>
      </c>
      <c r="E847" s="8"/>
    </row>
    <row r="848" spans="1:5" ht="12.75" customHeight="1" x14ac:dyDescent="0.2">
      <c r="A848" s="6" t="s">
        <v>486</v>
      </c>
      <c r="B848" s="6" t="s">
        <v>353</v>
      </c>
      <c r="C848" s="7">
        <v>213729</v>
      </c>
      <c r="D848" s="9" t="s">
        <v>16</v>
      </c>
      <c r="E848" s="8"/>
    </row>
    <row r="849" spans="1:5" ht="12.75" customHeight="1" x14ac:dyDescent="0.2">
      <c r="A849" s="6" t="s">
        <v>487</v>
      </c>
      <c r="B849" s="6" t="s">
        <v>353</v>
      </c>
      <c r="C849" s="7">
        <v>213733</v>
      </c>
      <c r="D849" s="9" t="s">
        <v>16</v>
      </c>
      <c r="E849" s="8"/>
    </row>
    <row r="850" spans="1:5" ht="12.75" customHeight="1" x14ac:dyDescent="0.2">
      <c r="A850" s="6" t="s">
        <v>460</v>
      </c>
      <c r="B850" s="6" t="s">
        <v>488</v>
      </c>
      <c r="C850" s="7">
        <v>213737</v>
      </c>
      <c r="D850" s="9" t="s">
        <v>16</v>
      </c>
      <c r="E850" s="8"/>
    </row>
    <row r="851" spans="1:5" ht="12.75" customHeight="1" x14ac:dyDescent="0.2">
      <c r="A851" s="6" t="s">
        <v>454</v>
      </c>
      <c r="B851" s="6" t="s">
        <v>488</v>
      </c>
      <c r="C851" s="7">
        <v>213740</v>
      </c>
      <c r="D851" s="9" t="s">
        <v>16</v>
      </c>
      <c r="E851" s="8"/>
    </row>
    <row r="852" spans="1:5" ht="12.75" customHeight="1" x14ac:dyDescent="0.2">
      <c r="A852" s="6" t="s">
        <v>489</v>
      </c>
      <c r="B852" s="6" t="s">
        <v>488</v>
      </c>
      <c r="C852" s="7">
        <v>213754</v>
      </c>
      <c r="D852" s="9" t="s">
        <v>16</v>
      </c>
      <c r="E852" s="8"/>
    </row>
    <row r="853" spans="1:5" ht="12.75" customHeight="1" x14ac:dyDescent="0.2">
      <c r="A853" s="6" t="s">
        <v>451</v>
      </c>
      <c r="B853" s="6" t="s">
        <v>488</v>
      </c>
      <c r="C853" s="7">
        <v>213755</v>
      </c>
      <c r="D853" s="9" t="s">
        <v>16</v>
      </c>
      <c r="E853" s="8"/>
    </row>
    <row r="854" spans="1:5" ht="12.75" customHeight="1" x14ac:dyDescent="0.2">
      <c r="A854" s="6" t="s">
        <v>490</v>
      </c>
      <c r="B854" s="6" t="s">
        <v>488</v>
      </c>
      <c r="C854" s="7">
        <v>213756</v>
      </c>
      <c r="D854" s="9" t="s">
        <v>16</v>
      </c>
      <c r="E854" s="8"/>
    </row>
    <row r="855" spans="1:5" ht="12.75" customHeight="1" x14ac:dyDescent="0.2">
      <c r="A855" s="6" t="s">
        <v>455</v>
      </c>
      <c r="B855" s="6" t="s">
        <v>488</v>
      </c>
      <c r="C855" s="7">
        <v>213757</v>
      </c>
      <c r="D855" s="9" t="s">
        <v>16</v>
      </c>
      <c r="E855" s="8"/>
    </row>
    <row r="856" spans="1:5" ht="12.75" customHeight="1" x14ac:dyDescent="0.2">
      <c r="A856" s="6" t="s">
        <v>491</v>
      </c>
      <c r="B856" s="6" t="s">
        <v>488</v>
      </c>
      <c r="C856" s="7">
        <v>213758</v>
      </c>
      <c r="D856" s="9" t="s">
        <v>16</v>
      </c>
      <c r="E856" s="8"/>
    </row>
    <row r="857" spans="1:5" ht="12.75" customHeight="1" x14ac:dyDescent="0.2">
      <c r="A857" s="6" t="s">
        <v>492</v>
      </c>
      <c r="B857" s="6" t="s">
        <v>488</v>
      </c>
      <c r="C857" s="7">
        <v>213759</v>
      </c>
      <c r="D857" s="9" t="s">
        <v>16</v>
      </c>
      <c r="E857" s="8"/>
    </row>
    <row r="858" spans="1:5" ht="12.75" customHeight="1" x14ac:dyDescent="0.2">
      <c r="A858" s="6" t="s">
        <v>467</v>
      </c>
      <c r="B858" s="6" t="s">
        <v>488</v>
      </c>
      <c r="C858" s="7">
        <v>213760</v>
      </c>
      <c r="D858" s="9" t="s">
        <v>16</v>
      </c>
      <c r="E858" s="8"/>
    </row>
    <row r="859" spans="1:5" ht="12.75" customHeight="1" x14ac:dyDescent="0.2">
      <c r="A859" s="6" t="s">
        <v>468</v>
      </c>
      <c r="B859" s="6" t="s">
        <v>488</v>
      </c>
      <c r="C859" s="7">
        <v>213761</v>
      </c>
      <c r="D859" s="9" t="s">
        <v>16</v>
      </c>
      <c r="E859" s="8"/>
    </row>
    <row r="860" spans="1:5" ht="12.75" customHeight="1" x14ac:dyDescent="0.2">
      <c r="A860" s="6" t="s">
        <v>466</v>
      </c>
      <c r="B860" s="6" t="s">
        <v>488</v>
      </c>
      <c r="C860" s="7">
        <v>213762</v>
      </c>
      <c r="D860" s="9" t="s">
        <v>16</v>
      </c>
      <c r="E860" s="8"/>
    </row>
    <row r="861" spans="1:5" ht="12.75" customHeight="1" x14ac:dyDescent="0.2">
      <c r="A861" s="6" t="s">
        <v>462</v>
      </c>
      <c r="B861" s="6" t="s">
        <v>488</v>
      </c>
      <c r="C861" s="7">
        <v>213763</v>
      </c>
      <c r="D861" s="9" t="s">
        <v>16</v>
      </c>
      <c r="E861" s="8"/>
    </row>
    <row r="862" spans="1:5" ht="12.75" customHeight="1" x14ac:dyDescent="0.2">
      <c r="A862" s="6" t="s">
        <v>463</v>
      </c>
      <c r="B862" s="6" t="s">
        <v>488</v>
      </c>
      <c r="C862" s="7">
        <v>213764</v>
      </c>
      <c r="D862" s="9">
        <f>E862/1.24</f>
        <v>0</v>
      </c>
      <c r="E862" s="8"/>
    </row>
    <row r="863" spans="1:5" ht="12.75" customHeight="1" x14ac:dyDescent="0.2">
      <c r="A863" s="6" t="s">
        <v>475</v>
      </c>
      <c r="B863" s="6" t="s">
        <v>488</v>
      </c>
      <c r="C863" s="7">
        <v>213765</v>
      </c>
      <c r="D863" s="9" t="s">
        <v>16</v>
      </c>
      <c r="E863" s="8"/>
    </row>
    <row r="864" spans="1:5" ht="12.75" customHeight="1" x14ac:dyDescent="0.2">
      <c r="A864" s="6" t="s">
        <v>464</v>
      </c>
      <c r="B864" s="6" t="s">
        <v>488</v>
      </c>
      <c r="C864" s="7">
        <v>213766</v>
      </c>
      <c r="D864" s="9" t="s">
        <v>16</v>
      </c>
      <c r="E864" s="8"/>
    </row>
    <row r="865" spans="1:5" ht="12.75" customHeight="1" x14ac:dyDescent="0.2">
      <c r="A865" s="6" t="s">
        <v>470</v>
      </c>
      <c r="B865" s="6" t="s">
        <v>488</v>
      </c>
      <c r="C865" s="7">
        <v>213767</v>
      </c>
      <c r="D865" s="9" t="s">
        <v>16</v>
      </c>
      <c r="E865" s="8"/>
    </row>
    <row r="866" spans="1:5" ht="12.75" customHeight="1" x14ac:dyDescent="0.2">
      <c r="A866" s="6" t="s">
        <v>469</v>
      </c>
      <c r="B866" s="6" t="s">
        <v>488</v>
      </c>
      <c r="C866" s="7">
        <v>213768</v>
      </c>
      <c r="D866" s="9" t="s">
        <v>16</v>
      </c>
      <c r="E866" s="8"/>
    </row>
    <row r="867" spans="1:5" ht="12.75" customHeight="1" x14ac:dyDescent="0.2">
      <c r="A867" s="6" t="s">
        <v>476</v>
      </c>
      <c r="B867" s="6" t="s">
        <v>488</v>
      </c>
      <c r="C867" s="7">
        <v>213769</v>
      </c>
      <c r="D867" s="9" t="s">
        <v>16</v>
      </c>
      <c r="E867" s="8"/>
    </row>
    <row r="868" spans="1:5" ht="12.75" customHeight="1" x14ac:dyDescent="0.2">
      <c r="A868" s="6" t="s">
        <v>477</v>
      </c>
      <c r="B868" s="6" t="s">
        <v>488</v>
      </c>
      <c r="C868" s="7">
        <v>213770</v>
      </c>
      <c r="D868" s="9" t="s">
        <v>16</v>
      </c>
      <c r="E868" s="8"/>
    </row>
    <row r="869" spans="1:5" ht="12.75" customHeight="1" x14ac:dyDescent="0.2">
      <c r="A869" s="6" t="s">
        <v>493</v>
      </c>
      <c r="B869" s="6" t="s">
        <v>353</v>
      </c>
      <c r="C869" s="7">
        <v>213772</v>
      </c>
      <c r="D869" s="9" t="s">
        <v>16</v>
      </c>
      <c r="E869" s="8"/>
    </row>
    <row r="870" spans="1:5" ht="12.75" customHeight="1" x14ac:dyDescent="0.2">
      <c r="A870" s="6" t="s">
        <v>455</v>
      </c>
      <c r="B870" s="6" t="s">
        <v>136</v>
      </c>
      <c r="C870" s="7">
        <v>213774</v>
      </c>
      <c r="D870" s="9" t="s">
        <v>16</v>
      </c>
      <c r="E870" s="8"/>
    </row>
    <row r="871" spans="1:5" ht="12.75" customHeight="1" x14ac:dyDescent="0.2">
      <c r="A871" s="6" t="s">
        <v>494</v>
      </c>
      <c r="B871" s="6" t="s">
        <v>15</v>
      </c>
      <c r="C871" s="7">
        <v>213776</v>
      </c>
      <c r="D871" s="9" t="s">
        <v>16</v>
      </c>
      <c r="E871" s="8"/>
    </row>
    <row r="872" spans="1:5" ht="12.75" customHeight="1" x14ac:dyDescent="0.2">
      <c r="A872" s="6" t="s">
        <v>494</v>
      </c>
      <c r="B872" s="6" t="s">
        <v>488</v>
      </c>
      <c r="C872" s="7">
        <v>213777</v>
      </c>
      <c r="D872" s="9" t="s">
        <v>16</v>
      </c>
      <c r="E872" s="8"/>
    </row>
    <row r="873" spans="1:5" ht="12.75" customHeight="1" x14ac:dyDescent="0.2">
      <c r="A873" s="6" t="s">
        <v>495</v>
      </c>
      <c r="B873" s="6" t="s">
        <v>488</v>
      </c>
      <c r="C873" s="7">
        <v>213781</v>
      </c>
      <c r="D873" s="9" t="s">
        <v>16</v>
      </c>
      <c r="E873" s="8"/>
    </row>
    <row r="874" spans="1:5" ht="12.75" customHeight="1" x14ac:dyDescent="0.2">
      <c r="A874" s="6" t="s">
        <v>456</v>
      </c>
      <c r="B874" s="6" t="s">
        <v>488</v>
      </c>
      <c r="C874" s="7">
        <v>213782</v>
      </c>
      <c r="D874" s="9" t="s">
        <v>16</v>
      </c>
      <c r="E874" s="8"/>
    </row>
    <row r="875" spans="1:5" ht="12.75" customHeight="1" x14ac:dyDescent="0.2">
      <c r="A875" s="6" t="s">
        <v>496</v>
      </c>
      <c r="B875" s="6" t="s">
        <v>488</v>
      </c>
      <c r="C875" s="7">
        <v>213785</v>
      </c>
      <c r="D875" s="9" t="s">
        <v>16</v>
      </c>
      <c r="E875" s="8"/>
    </row>
    <row r="876" spans="1:5" ht="12.75" customHeight="1" x14ac:dyDescent="0.2">
      <c r="A876" s="6" t="s">
        <v>497</v>
      </c>
      <c r="B876" s="6" t="s">
        <v>488</v>
      </c>
      <c r="C876" s="7">
        <v>213789</v>
      </c>
      <c r="D876" s="9" t="s">
        <v>16</v>
      </c>
      <c r="E876" s="8"/>
    </row>
    <row r="877" spans="1:5" ht="12.75" customHeight="1" x14ac:dyDescent="0.2">
      <c r="A877" s="6" t="s">
        <v>497</v>
      </c>
      <c r="B877" s="6" t="s">
        <v>353</v>
      </c>
      <c r="C877" s="7">
        <v>213790</v>
      </c>
      <c r="D877" s="9" t="s">
        <v>16</v>
      </c>
      <c r="E877" s="8"/>
    </row>
    <row r="878" spans="1:5" ht="12.75" customHeight="1" x14ac:dyDescent="0.2">
      <c r="A878" s="6" t="s">
        <v>498</v>
      </c>
      <c r="B878" s="6" t="s">
        <v>488</v>
      </c>
      <c r="C878" s="7">
        <v>213804</v>
      </c>
      <c r="D878" s="9" t="s">
        <v>16</v>
      </c>
      <c r="E878" s="8"/>
    </row>
    <row r="879" spans="1:5" ht="12.75" customHeight="1" x14ac:dyDescent="0.2">
      <c r="A879" s="6" t="s">
        <v>499</v>
      </c>
      <c r="B879" s="6" t="s">
        <v>15</v>
      </c>
      <c r="C879" s="7">
        <v>213809</v>
      </c>
      <c r="D879" s="9" t="s">
        <v>16</v>
      </c>
      <c r="E879" s="8"/>
    </row>
    <row r="880" spans="1:5" ht="12.75" customHeight="1" x14ac:dyDescent="0.2">
      <c r="A880" s="6" t="s">
        <v>500</v>
      </c>
      <c r="B880" s="6" t="s">
        <v>488</v>
      </c>
      <c r="C880" s="7">
        <v>213814</v>
      </c>
      <c r="D880" s="9" t="s">
        <v>16</v>
      </c>
      <c r="E880" s="8"/>
    </row>
    <row r="881" spans="1:5" ht="12.75" customHeight="1" x14ac:dyDescent="0.2">
      <c r="A881" s="6" t="s">
        <v>501</v>
      </c>
      <c r="B881" s="6" t="s">
        <v>353</v>
      </c>
      <c r="C881" s="7">
        <v>213815</v>
      </c>
      <c r="D881" s="9" t="s">
        <v>16</v>
      </c>
      <c r="E881" s="8"/>
    </row>
    <row r="882" spans="1:5" ht="12.75" customHeight="1" x14ac:dyDescent="0.2">
      <c r="A882" s="6" t="s">
        <v>502</v>
      </c>
      <c r="B882" s="6" t="s">
        <v>488</v>
      </c>
      <c r="C882" s="7">
        <v>213818</v>
      </c>
      <c r="D882" s="9" t="s">
        <v>16</v>
      </c>
      <c r="E882" s="8"/>
    </row>
    <row r="883" spans="1:5" ht="12.75" customHeight="1" x14ac:dyDescent="0.2">
      <c r="A883" s="6" t="s">
        <v>502</v>
      </c>
      <c r="B883" s="6" t="s">
        <v>353</v>
      </c>
      <c r="C883" s="7">
        <v>213819</v>
      </c>
      <c r="D883" s="9" t="s">
        <v>16</v>
      </c>
      <c r="E883" s="8"/>
    </row>
    <row r="884" spans="1:5" ht="12.75" customHeight="1" x14ac:dyDescent="0.2">
      <c r="A884" s="6" t="s">
        <v>503</v>
      </c>
      <c r="B884" s="6" t="s">
        <v>353</v>
      </c>
      <c r="C884" s="7">
        <v>213820</v>
      </c>
      <c r="D884" s="9" t="s">
        <v>16</v>
      </c>
      <c r="E884" s="8"/>
    </row>
    <row r="885" spans="1:5" ht="12.75" customHeight="1" x14ac:dyDescent="0.2">
      <c r="A885" s="6" t="s">
        <v>481</v>
      </c>
      <c r="B885" s="6" t="s">
        <v>488</v>
      </c>
      <c r="C885" s="7">
        <v>213821</v>
      </c>
      <c r="D885" s="9" t="s">
        <v>16</v>
      </c>
      <c r="E885" s="8"/>
    </row>
    <row r="886" spans="1:5" ht="12.75" customHeight="1" x14ac:dyDescent="0.2">
      <c r="A886" s="6" t="s">
        <v>504</v>
      </c>
      <c r="B886" s="6" t="s">
        <v>505</v>
      </c>
      <c r="C886" s="7">
        <v>213822</v>
      </c>
      <c r="D886" s="9" t="s">
        <v>16</v>
      </c>
      <c r="E886" s="8"/>
    </row>
    <row r="887" spans="1:5" ht="12.75" customHeight="1" x14ac:dyDescent="0.2">
      <c r="A887" s="6" t="s">
        <v>465</v>
      </c>
      <c r="B887" s="6" t="s">
        <v>506</v>
      </c>
      <c r="C887" s="7">
        <v>213823</v>
      </c>
      <c r="D887" s="9" t="s">
        <v>16</v>
      </c>
      <c r="E887" s="8"/>
    </row>
    <row r="888" spans="1:5" ht="12.75" customHeight="1" x14ac:dyDescent="0.2">
      <c r="A888" s="6" t="s">
        <v>465</v>
      </c>
      <c r="B888" s="6" t="s">
        <v>505</v>
      </c>
      <c r="C888" s="7">
        <v>213824</v>
      </c>
      <c r="D888" s="9" t="s">
        <v>16</v>
      </c>
      <c r="E888" s="8"/>
    </row>
    <row r="889" spans="1:5" ht="12.75" customHeight="1" x14ac:dyDescent="0.2">
      <c r="A889" s="6" t="s">
        <v>507</v>
      </c>
      <c r="B889" s="6" t="s">
        <v>506</v>
      </c>
      <c r="C889" s="7">
        <v>213825</v>
      </c>
      <c r="D889" s="9" t="s">
        <v>16</v>
      </c>
      <c r="E889" s="8"/>
    </row>
    <row r="890" spans="1:5" ht="12.75" customHeight="1" x14ac:dyDescent="0.2">
      <c r="A890" s="6" t="s">
        <v>508</v>
      </c>
      <c r="B890" s="6" t="s">
        <v>488</v>
      </c>
      <c r="C890" s="7">
        <v>213826</v>
      </c>
      <c r="D890" s="9" t="s">
        <v>16</v>
      </c>
      <c r="E890" s="8"/>
    </row>
    <row r="891" spans="1:5" ht="12.75" customHeight="1" x14ac:dyDescent="0.2">
      <c r="A891" s="6" t="s">
        <v>509</v>
      </c>
      <c r="B891" s="6" t="s">
        <v>488</v>
      </c>
      <c r="C891" s="7">
        <v>213830</v>
      </c>
      <c r="D891" s="9" t="s">
        <v>16</v>
      </c>
      <c r="E891" s="8"/>
    </row>
    <row r="892" spans="1:5" ht="12.75" customHeight="1" x14ac:dyDescent="0.2">
      <c r="A892" s="6" t="s">
        <v>509</v>
      </c>
      <c r="B892" s="6" t="s">
        <v>353</v>
      </c>
      <c r="C892" s="7">
        <v>213833</v>
      </c>
      <c r="D892" s="9" t="s">
        <v>16</v>
      </c>
      <c r="E892" s="8"/>
    </row>
    <row r="893" spans="1:5" ht="12.75" customHeight="1" x14ac:dyDescent="0.2">
      <c r="A893" s="6" t="s">
        <v>509</v>
      </c>
      <c r="B893" s="6" t="s">
        <v>461</v>
      </c>
      <c r="C893" s="7">
        <v>213834</v>
      </c>
      <c r="D893" s="9" t="s">
        <v>16</v>
      </c>
      <c r="E893" s="8"/>
    </row>
    <row r="894" spans="1:5" ht="12.75" customHeight="1" x14ac:dyDescent="0.2">
      <c r="A894" s="6" t="s">
        <v>494</v>
      </c>
      <c r="B894" s="6" t="s">
        <v>353</v>
      </c>
      <c r="C894" s="7">
        <v>213835</v>
      </c>
      <c r="D894" s="9" t="s">
        <v>16</v>
      </c>
      <c r="E894" s="8"/>
    </row>
    <row r="895" spans="1:5" ht="12.75" customHeight="1" x14ac:dyDescent="0.2">
      <c r="A895" s="6" t="s">
        <v>494</v>
      </c>
      <c r="B895" s="6" t="s">
        <v>461</v>
      </c>
      <c r="C895" s="7">
        <v>213836</v>
      </c>
      <c r="D895" s="9" t="s">
        <v>16</v>
      </c>
      <c r="E895" s="8"/>
    </row>
    <row r="896" spans="1:5" ht="12.75" customHeight="1" x14ac:dyDescent="0.2">
      <c r="A896" s="6" t="s">
        <v>468</v>
      </c>
      <c r="B896" s="6" t="s">
        <v>505</v>
      </c>
      <c r="C896" s="7">
        <v>213837</v>
      </c>
      <c r="D896" s="9" t="s">
        <v>16</v>
      </c>
      <c r="E896" s="8"/>
    </row>
    <row r="897" spans="1:5" ht="12.75" customHeight="1" x14ac:dyDescent="0.2">
      <c r="A897" s="6" t="s">
        <v>510</v>
      </c>
      <c r="B897" s="6" t="s">
        <v>488</v>
      </c>
      <c r="C897" s="7">
        <v>213838</v>
      </c>
      <c r="D897" s="9" t="s">
        <v>16</v>
      </c>
      <c r="E897" s="8"/>
    </row>
    <row r="898" spans="1:5" ht="12.75" customHeight="1" x14ac:dyDescent="0.2">
      <c r="A898" s="6" t="s">
        <v>494</v>
      </c>
      <c r="B898" s="6" t="s">
        <v>6</v>
      </c>
      <c r="C898" s="7">
        <v>213840</v>
      </c>
      <c r="D898" s="9" t="s">
        <v>16</v>
      </c>
      <c r="E898" s="8"/>
    </row>
    <row r="899" spans="1:5" ht="12.75" customHeight="1" x14ac:dyDescent="0.2">
      <c r="A899" s="6" t="s">
        <v>511</v>
      </c>
      <c r="B899" s="6" t="s">
        <v>353</v>
      </c>
      <c r="C899" s="7">
        <v>213841</v>
      </c>
      <c r="D899" s="9" t="s">
        <v>16</v>
      </c>
      <c r="E899" s="8"/>
    </row>
    <row r="900" spans="1:5" ht="12.75" customHeight="1" x14ac:dyDescent="0.2">
      <c r="A900" s="6" t="s">
        <v>512</v>
      </c>
      <c r="B900" s="6" t="s">
        <v>488</v>
      </c>
      <c r="C900" s="7">
        <v>213842</v>
      </c>
      <c r="D900" s="9" t="s">
        <v>16</v>
      </c>
      <c r="E900" s="8"/>
    </row>
    <row r="901" spans="1:5" ht="12.75" customHeight="1" x14ac:dyDescent="0.2">
      <c r="A901" s="6" t="s">
        <v>513</v>
      </c>
      <c r="B901" s="6" t="s">
        <v>488</v>
      </c>
      <c r="C901" s="7">
        <v>213844</v>
      </c>
      <c r="D901" s="9" t="s">
        <v>16</v>
      </c>
      <c r="E901" s="8"/>
    </row>
    <row r="902" spans="1:5" ht="12.75" customHeight="1" x14ac:dyDescent="0.2">
      <c r="A902" s="6" t="s">
        <v>514</v>
      </c>
      <c r="B902" s="6" t="s">
        <v>488</v>
      </c>
      <c r="C902" s="7">
        <v>213845</v>
      </c>
      <c r="D902" s="9" t="s">
        <v>16</v>
      </c>
      <c r="E902" s="8"/>
    </row>
    <row r="903" spans="1:5" ht="12.75" customHeight="1" x14ac:dyDescent="0.2">
      <c r="A903" s="6" t="s">
        <v>515</v>
      </c>
      <c r="B903" s="6" t="s">
        <v>488</v>
      </c>
      <c r="C903" s="7">
        <v>213846</v>
      </c>
      <c r="D903" s="9" t="s">
        <v>16</v>
      </c>
      <c r="E903" s="8"/>
    </row>
    <row r="904" spans="1:5" ht="12.75" customHeight="1" x14ac:dyDescent="0.2">
      <c r="A904" s="6" t="s">
        <v>516</v>
      </c>
      <c r="B904" s="6" t="s">
        <v>488</v>
      </c>
      <c r="C904" s="7">
        <v>213847</v>
      </c>
      <c r="D904" s="9" t="s">
        <v>16</v>
      </c>
      <c r="E904" s="8"/>
    </row>
    <row r="905" spans="1:5" ht="12.75" customHeight="1" x14ac:dyDescent="0.2">
      <c r="A905" s="6" t="s">
        <v>517</v>
      </c>
      <c r="B905" s="6" t="s">
        <v>488</v>
      </c>
      <c r="C905" s="7">
        <v>213850</v>
      </c>
      <c r="D905" s="9" t="s">
        <v>16</v>
      </c>
      <c r="E905" s="8"/>
    </row>
    <row r="906" spans="1:5" ht="12.75" customHeight="1" x14ac:dyDescent="0.2">
      <c r="A906" s="6" t="s">
        <v>518</v>
      </c>
      <c r="B906" s="6" t="s">
        <v>353</v>
      </c>
      <c r="C906" s="7">
        <v>213855</v>
      </c>
      <c r="D906" s="9" t="s">
        <v>7</v>
      </c>
      <c r="E906" s="8"/>
    </row>
    <row r="907" spans="1:5" ht="12.75" customHeight="1" x14ac:dyDescent="0.2">
      <c r="A907" s="6" t="s">
        <v>519</v>
      </c>
      <c r="B907" s="6" t="s">
        <v>15</v>
      </c>
      <c r="C907" s="7">
        <v>213857</v>
      </c>
      <c r="D907" s="9" t="s">
        <v>16</v>
      </c>
      <c r="E907" s="8"/>
    </row>
    <row r="908" spans="1:5" ht="12.75" customHeight="1" x14ac:dyDescent="0.2">
      <c r="A908" s="6" t="s">
        <v>518</v>
      </c>
      <c r="B908" s="6" t="s">
        <v>488</v>
      </c>
      <c r="C908" s="7">
        <v>213861</v>
      </c>
      <c r="D908" s="9" t="s">
        <v>7</v>
      </c>
      <c r="E908" s="8"/>
    </row>
    <row r="909" spans="1:5" ht="12.75" customHeight="1" x14ac:dyDescent="0.2">
      <c r="A909" s="6" t="s">
        <v>520</v>
      </c>
      <c r="B909" s="6" t="s">
        <v>488</v>
      </c>
      <c r="C909" s="7">
        <v>213862</v>
      </c>
      <c r="D909" s="9" t="s">
        <v>7</v>
      </c>
      <c r="E909" s="8"/>
    </row>
    <row r="910" spans="1:5" ht="12.75" customHeight="1" x14ac:dyDescent="0.2">
      <c r="A910" s="6" t="s">
        <v>521</v>
      </c>
      <c r="B910" s="6" t="s">
        <v>488</v>
      </c>
      <c r="C910" s="7">
        <v>213863</v>
      </c>
      <c r="D910" s="9" t="s">
        <v>7</v>
      </c>
      <c r="E910" s="8"/>
    </row>
    <row r="911" spans="1:5" ht="12.75" customHeight="1" x14ac:dyDescent="0.2">
      <c r="A911" s="6" t="s">
        <v>522</v>
      </c>
      <c r="B911" s="6" t="s">
        <v>488</v>
      </c>
      <c r="C911" s="7">
        <v>213864</v>
      </c>
      <c r="D911" s="9" t="s">
        <v>7</v>
      </c>
      <c r="E911" s="8"/>
    </row>
    <row r="912" spans="1:5" ht="12.75" customHeight="1" x14ac:dyDescent="0.2">
      <c r="A912" s="6" t="s">
        <v>523</v>
      </c>
      <c r="B912" s="6" t="s">
        <v>488</v>
      </c>
      <c r="C912" s="7">
        <v>213866</v>
      </c>
      <c r="D912" s="9" t="s">
        <v>7</v>
      </c>
      <c r="E912" s="8"/>
    </row>
    <row r="913" spans="1:5" ht="12.75" customHeight="1" x14ac:dyDescent="0.2">
      <c r="A913" s="6" t="s">
        <v>524</v>
      </c>
      <c r="B913" s="6" t="s">
        <v>488</v>
      </c>
      <c r="C913" s="7">
        <v>213867</v>
      </c>
      <c r="D913" s="9" t="s">
        <v>7</v>
      </c>
      <c r="E913" s="8"/>
    </row>
    <row r="914" spans="1:5" ht="12.75" customHeight="1" x14ac:dyDescent="0.2">
      <c r="A914" s="6" t="s">
        <v>525</v>
      </c>
      <c r="B914" s="6" t="s">
        <v>488</v>
      </c>
      <c r="C914" s="7">
        <v>213868</v>
      </c>
      <c r="D914" s="9" t="s">
        <v>7</v>
      </c>
      <c r="E914" s="8"/>
    </row>
    <row r="915" spans="1:5" ht="12.75" customHeight="1" x14ac:dyDescent="0.2">
      <c r="A915" s="6" t="s">
        <v>526</v>
      </c>
      <c r="B915" s="6" t="s">
        <v>505</v>
      </c>
      <c r="C915" s="7">
        <v>213869</v>
      </c>
      <c r="D915" s="9" t="s">
        <v>7</v>
      </c>
      <c r="E915" s="8"/>
    </row>
    <row r="916" spans="1:5" ht="12.75" customHeight="1" x14ac:dyDescent="0.2">
      <c r="A916" s="6" t="s">
        <v>527</v>
      </c>
      <c r="B916" s="6" t="s">
        <v>488</v>
      </c>
      <c r="C916" s="7">
        <v>213870</v>
      </c>
      <c r="D916" s="9" t="s">
        <v>7</v>
      </c>
      <c r="E916" s="8"/>
    </row>
    <row r="917" spans="1:5" ht="12.75" customHeight="1" x14ac:dyDescent="0.2">
      <c r="A917" s="6" t="s">
        <v>528</v>
      </c>
      <c r="B917" s="6" t="s">
        <v>488</v>
      </c>
      <c r="C917" s="7">
        <v>213871</v>
      </c>
      <c r="D917" s="9" t="s">
        <v>7</v>
      </c>
      <c r="E917" s="8"/>
    </row>
    <row r="918" spans="1:5" ht="12.75" customHeight="1" x14ac:dyDescent="0.2">
      <c r="A918" s="6" t="s">
        <v>529</v>
      </c>
      <c r="B918" s="6" t="s">
        <v>488</v>
      </c>
      <c r="C918" s="7">
        <v>213872</v>
      </c>
      <c r="D918" s="9" t="s">
        <v>7</v>
      </c>
      <c r="E918" s="8"/>
    </row>
    <row r="919" spans="1:5" ht="12.75" customHeight="1" x14ac:dyDescent="0.2">
      <c r="A919" s="6" t="s">
        <v>530</v>
      </c>
      <c r="B919" s="6" t="s">
        <v>488</v>
      </c>
      <c r="C919" s="7">
        <v>213873</v>
      </c>
      <c r="D919" s="9" t="s">
        <v>7</v>
      </c>
      <c r="E919" s="8"/>
    </row>
    <row r="920" spans="1:5" ht="12.75" customHeight="1" x14ac:dyDescent="0.2">
      <c r="A920" s="6" t="s">
        <v>531</v>
      </c>
      <c r="B920" s="6" t="s">
        <v>353</v>
      </c>
      <c r="C920" s="7">
        <v>213874</v>
      </c>
      <c r="D920" s="9" t="s">
        <v>7</v>
      </c>
      <c r="E920" s="8"/>
    </row>
    <row r="921" spans="1:5" ht="12.75" customHeight="1" x14ac:dyDescent="0.2">
      <c r="A921" s="6" t="s">
        <v>532</v>
      </c>
      <c r="B921" s="6" t="s">
        <v>488</v>
      </c>
      <c r="C921" s="7">
        <v>213876</v>
      </c>
      <c r="D921" s="9" t="s">
        <v>7</v>
      </c>
      <c r="E921" s="8"/>
    </row>
    <row r="922" spans="1:5" ht="12.75" customHeight="1" x14ac:dyDescent="0.2">
      <c r="A922" s="6" t="s">
        <v>533</v>
      </c>
      <c r="B922" s="6" t="s">
        <v>353</v>
      </c>
      <c r="C922" s="7">
        <v>213879</v>
      </c>
      <c r="D922" s="9" t="s">
        <v>7</v>
      </c>
      <c r="E922" s="8"/>
    </row>
    <row r="923" spans="1:5" ht="12.75" customHeight="1" x14ac:dyDescent="0.2">
      <c r="A923" s="6" t="s">
        <v>534</v>
      </c>
      <c r="B923" s="6" t="s">
        <v>353</v>
      </c>
      <c r="C923" s="7">
        <v>213882</v>
      </c>
      <c r="D923" s="9" t="s">
        <v>7</v>
      </c>
      <c r="E923" s="8"/>
    </row>
    <row r="924" spans="1:5" ht="12.75" customHeight="1" x14ac:dyDescent="0.2">
      <c r="A924" s="6" t="s">
        <v>535</v>
      </c>
      <c r="B924" s="6" t="s">
        <v>461</v>
      </c>
      <c r="C924" s="7">
        <v>213887</v>
      </c>
      <c r="D924" s="9" t="s">
        <v>7</v>
      </c>
      <c r="E924" s="8"/>
    </row>
    <row r="925" spans="1:5" ht="12.75" customHeight="1" x14ac:dyDescent="0.2">
      <c r="A925" s="6" t="s">
        <v>536</v>
      </c>
      <c r="B925" s="6" t="s">
        <v>488</v>
      </c>
      <c r="C925" s="7">
        <v>213888</v>
      </c>
      <c r="D925" s="9" t="s">
        <v>7</v>
      </c>
      <c r="E925" s="8"/>
    </row>
    <row r="926" spans="1:5" ht="12.75" customHeight="1" x14ac:dyDescent="0.2">
      <c r="A926" s="6" t="s">
        <v>534</v>
      </c>
      <c r="B926" s="6" t="s">
        <v>488</v>
      </c>
      <c r="C926" s="7">
        <v>213891</v>
      </c>
      <c r="D926" s="9" t="s">
        <v>7</v>
      </c>
      <c r="E926" s="8"/>
    </row>
    <row r="927" spans="1:5" ht="12.75" customHeight="1" x14ac:dyDescent="0.2">
      <c r="A927" s="6" t="s">
        <v>533</v>
      </c>
      <c r="B927" s="6" t="s">
        <v>488</v>
      </c>
      <c r="C927" s="7">
        <v>213893</v>
      </c>
      <c r="D927" s="9" t="s">
        <v>7</v>
      </c>
      <c r="E927" s="8"/>
    </row>
    <row r="928" spans="1:5" ht="12.75" customHeight="1" x14ac:dyDescent="0.2">
      <c r="A928" s="6" t="s">
        <v>536</v>
      </c>
      <c r="B928" s="6" t="s">
        <v>353</v>
      </c>
      <c r="C928" s="7">
        <v>213894</v>
      </c>
      <c r="D928" s="9" t="s">
        <v>7</v>
      </c>
      <c r="E928" s="8"/>
    </row>
    <row r="929" spans="1:5" ht="12.75" customHeight="1" x14ac:dyDescent="0.2">
      <c r="A929" s="6" t="s">
        <v>534</v>
      </c>
      <c r="B929" s="6" t="s">
        <v>461</v>
      </c>
      <c r="C929" s="7">
        <v>213895</v>
      </c>
      <c r="D929" s="9" t="s">
        <v>7</v>
      </c>
      <c r="E929" s="8"/>
    </row>
    <row r="930" spans="1:5" ht="12.75" customHeight="1" x14ac:dyDescent="0.2">
      <c r="A930" s="6" t="s">
        <v>537</v>
      </c>
      <c r="B930" s="6" t="s">
        <v>488</v>
      </c>
      <c r="C930" s="7">
        <v>213897</v>
      </c>
      <c r="D930" s="9" t="s">
        <v>7</v>
      </c>
      <c r="E930" s="8"/>
    </row>
    <row r="931" spans="1:5" ht="12.75" customHeight="1" x14ac:dyDescent="0.2">
      <c r="A931" s="6" t="s">
        <v>535</v>
      </c>
      <c r="B931" s="6" t="s">
        <v>488</v>
      </c>
      <c r="C931" s="7">
        <v>213898</v>
      </c>
      <c r="D931" s="9" t="s">
        <v>7</v>
      </c>
      <c r="E931" s="8"/>
    </row>
    <row r="932" spans="1:5" ht="12.75" customHeight="1" x14ac:dyDescent="0.2">
      <c r="A932" s="6" t="s">
        <v>538</v>
      </c>
      <c r="B932" s="6" t="s">
        <v>488</v>
      </c>
      <c r="C932" s="7">
        <v>213899</v>
      </c>
      <c r="D932" s="9" t="s">
        <v>7</v>
      </c>
      <c r="E932" s="8"/>
    </row>
    <row r="933" spans="1:5" ht="12.75" customHeight="1" x14ac:dyDescent="0.2">
      <c r="A933" s="6" t="s">
        <v>539</v>
      </c>
      <c r="B933" s="6" t="s">
        <v>488</v>
      </c>
      <c r="C933" s="7">
        <v>213905</v>
      </c>
      <c r="D933" s="9" t="s">
        <v>7</v>
      </c>
      <c r="E933" s="8"/>
    </row>
    <row r="934" spans="1:5" ht="12.75" customHeight="1" x14ac:dyDescent="0.2">
      <c r="A934" s="6" t="s">
        <v>540</v>
      </c>
      <c r="B934" s="6" t="s">
        <v>353</v>
      </c>
      <c r="C934" s="7">
        <v>213908</v>
      </c>
      <c r="D934" s="9" t="s">
        <v>7</v>
      </c>
      <c r="E934" s="8"/>
    </row>
    <row r="935" spans="1:5" ht="12.75" customHeight="1" x14ac:dyDescent="0.2">
      <c r="A935" s="6" t="s">
        <v>540</v>
      </c>
      <c r="B935" s="6" t="s">
        <v>461</v>
      </c>
      <c r="C935" s="7">
        <v>213909</v>
      </c>
      <c r="D935" s="9" t="s">
        <v>7</v>
      </c>
      <c r="E935" s="8"/>
    </row>
    <row r="936" spans="1:5" ht="12.75" customHeight="1" x14ac:dyDescent="0.2">
      <c r="A936" s="6" t="s">
        <v>540</v>
      </c>
      <c r="B936" s="6" t="s">
        <v>479</v>
      </c>
      <c r="C936" s="7">
        <v>213910</v>
      </c>
      <c r="D936" s="9" t="s">
        <v>7</v>
      </c>
      <c r="E936" s="8"/>
    </row>
    <row r="937" spans="1:5" ht="12.75" customHeight="1" x14ac:dyDescent="0.2">
      <c r="A937" s="6" t="s">
        <v>540</v>
      </c>
      <c r="B937" s="6" t="s">
        <v>488</v>
      </c>
      <c r="C937" s="7">
        <v>213911</v>
      </c>
      <c r="D937" s="9" t="s">
        <v>7</v>
      </c>
      <c r="E937" s="8"/>
    </row>
    <row r="938" spans="1:5" ht="12.75" customHeight="1" x14ac:dyDescent="0.2">
      <c r="A938" s="6" t="s">
        <v>537</v>
      </c>
      <c r="B938" s="6" t="s">
        <v>353</v>
      </c>
      <c r="C938" s="7">
        <v>213913</v>
      </c>
      <c r="D938" s="9" t="s">
        <v>7</v>
      </c>
      <c r="E938" s="8"/>
    </row>
    <row r="939" spans="1:5" ht="12.75" customHeight="1" x14ac:dyDescent="0.2">
      <c r="A939" s="6" t="s">
        <v>537</v>
      </c>
      <c r="B939" s="6" t="s">
        <v>461</v>
      </c>
      <c r="C939" s="7">
        <v>213914</v>
      </c>
      <c r="D939" s="9" t="s">
        <v>7</v>
      </c>
      <c r="E939" s="8"/>
    </row>
    <row r="940" spans="1:5" ht="12.75" customHeight="1" x14ac:dyDescent="0.2">
      <c r="A940" s="6" t="s">
        <v>541</v>
      </c>
      <c r="B940" s="6" t="s">
        <v>353</v>
      </c>
      <c r="C940" s="7">
        <v>213915</v>
      </c>
      <c r="D940" s="9" t="s">
        <v>7</v>
      </c>
      <c r="E940" s="8"/>
    </row>
    <row r="941" spans="1:5" ht="12.75" customHeight="1" x14ac:dyDescent="0.2">
      <c r="A941" s="6" t="s">
        <v>541</v>
      </c>
      <c r="B941" s="6" t="s">
        <v>488</v>
      </c>
      <c r="C941" s="7">
        <v>213916</v>
      </c>
      <c r="D941" s="9" t="s">
        <v>7</v>
      </c>
      <c r="E941" s="8"/>
    </row>
    <row r="942" spans="1:5" ht="12.75" customHeight="1" x14ac:dyDescent="0.2">
      <c r="A942" s="6" t="s">
        <v>542</v>
      </c>
      <c r="B942" s="6" t="s">
        <v>353</v>
      </c>
      <c r="C942" s="7">
        <v>213917</v>
      </c>
      <c r="D942" s="9" t="s">
        <v>7</v>
      </c>
      <c r="E942" s="8"/>
    </row>
    <row r="943" spans="1:5" ht="12.75" customHeight="1" x14ac:dyDescent="0.2">
      <c r="A943" s="6" t="s">
        <v>542</v>
      </c>
      <c r="B943" s="6" t="s">
        <v>488</v>
      </c>
      <c r="C943" s="7">
        <v>213918</v>
      </c>
      <c r="D943" s="9" t="s">
        <v>7</v>
      </c>
      <c r="E943" s="8"/>
    </row>
    <row r="944" spans="1:5" ht="12.75" customHeight="1" x14ac:dyDescent="0.2">
      <c r="A944" s="6" t="s">
        <v>539</v>
      </c>
      <c r="B944" s="6" t="s">
        <v>353</v>
      </c>
      <c r="C944" s="7">
        <v>213920</v>
      </c>
      <c r="D944" s="9" t="s">
        <v>7</v>
      </c>
      <c r="E944" s="8"/>
    </row>
    <row r="945" spans="1:5" ht="12.75" customHeight="1" x14ac:dyDescent="0.2">
      <c r="A945" s="6" t="s">
        <v>543</v>
      </c>
      <c r="B945" s="6" t="s">
        <v>488</v>
      </c>
      <c r="C945" s="7">
        <v>213921</v>
      </c>
      <c r="D945" s="9" t="s">
        <v>7</v>
      </c>
      <c r="E945" s="8"/>
    </row>
    <row r="946" spans="1:5" ht="12.75" customHeight="1" x14ac:dyDescent="0.2">
      <c r="A946" s="6" t="s">
        <v>543</v>
      </c>
      <c r="B946" s="6" t="s">
        <v>353</v>
      </c>
      <c r="C946" s="7">
        <v>213922</v>
      </c>
      <c r="D946" s="9" t="s">
        <v>7</v>
      </c>
      <c r="E946" s="8"/>
    </row>
    <row r="947" spans="1:5" ht="12.75" customHeight="1" x14ac:dyDescent="0.2">
      <c r="A947" s="6" t="s">
        <v>544</v>
      </c>
      <c r="B947" s="6" t="s">
        <v>488</v>
      </c>
      <c r="C947" s="7">
        <v>213931</v>
      </c>
      <c r="D947" s="9" t="s">
        <v>7</v>
      </c>
      <c r="E947" s="8"/>
    </row>
    <row r="948" spans="1:5" ht="12.75" customHeight="1" x14ac:dyDescent="0.2">
      <c r="A948" s="6" t="s">
        <v>544</v>
      </c>
      <c r="B948" s="6" t="s">
        <v>353</v>
      </c>
      <c r="C948" s="7">
        <v>213932</v>
      </c>
      <c r="D948" s="9" t="s">
        <v>7</v>
      </c>
      <c r="E948" s="8"/>
    </row>
    <row r="949" spans="1:5" ht="12.75" customHeight="1" x14ac:dyDescent="0.2">
      <c r="A949" s="6" t="s">
        <v>545</v>
      </c>
      <c r="B949" s="6" t="s">
        <v>488</v>
      </c>
      <c r="C949" s="7">
        <v>213933</v>
      </c>
      <c r="D949" s="9" t="s">
        <v>7</v>
      </c>
      <c r="E949" s="8"/>
    </row>
    <row r="950" spans="1:5" ht="12.75" customHeight="1" x14ac:dyDescent="0.2">
      <c r="A950" s="6" t="s">
        <v>545</v>
      </c>
      <c r="B950" s="6" t="s">
        <v>353</v>
      </c>
      <c r="C950" s="7">
        <v>213935</v>
      </c>
      <c r="D950" s="9" t="s">
        <v>7</v>
      </c>
      <c r="E950" s="8"/>
    </row>
    <row r="951" spans="1:5" ht="12.75" customHeight="1" x14ac:dyDescent="0.2">
      <c r="A951" s="6" t="s">
        <v>546</v>
      </c>
      <c r="B951" s="6" t="s">
        <v>488</v>
      </c>
      <c r="C951" s="7">
        <v>213937</v>
      </c>
      <c r="D951" s="9" t="s">
        <v>7</v>
      </c>
      <c r="E951" s="8"/>
    </row>
    <row r="952" spans="1:5" ht="12.75" customHeight="1" x14ac:dyDescent="0.2">
      <c r="A952" s="6" t="s">
        <v>547</v>
      </c>
      <c r="B952" s="6" t="s">
        <v>488</v>
      </c>
      <c r="C952" s="7">
        <v>213939</v>
      </c>
      <c r="D952" s="9" t="s">
        <v>7</v>
      </c>
      <c r="E952" s="8"/>
    </row>
    <row r="953" spans="1:5" ht="12.75" customHeight="1" x14ac:dyDescent="0.2">
      <c r="A953" s="6" t="s">
        <v>548</v>
      </c>
      <c r="B953" s="6" t="s">
        <v>488</v>
      </c>
      <c r="C953" s="7">
        <v>213942</v>
      </c>
      <c r="D953" s="9" t="s">
        <v>7</v>
      </c>
      <c r="E953" s="8"/>
    </row>
    <row r="954" spans="1:5" ht="12.75" customHeight="1" x14ac:dyDescent="0.2">
      <c r="A954" s="6" t="s">
        <v>549</v>
      </c>
      <c r="B954" s="6" t="s">
        <v>488</v>
      </c>
      <c r="C954" s="7">
        <v>213943</v>
      </c>
      <c r="D954" s="9" t="s">
        <v>7</v>
      </c>
      <c r="E954" s="8"/>
    </row>
    <row r="955" spans="1:5" ht="12.75" customHeight="1" x14ac:dyDescent="0.2">
      <c r="A955" s="6" t="s">
        <v>550</v>
      </c>
      <c r="B955" s="6" t="s">
        <v>488</v>
      </c>
      <c r="C955" s="7">
        <v>213944</v>
      </c>
      <c r="D955" s="9" t="s">
        <v>7</v>
      </c>
      <c r="E955" s="8"/>
    </row>
    <row r="956" spans="1:5" ht="12.75" customHeight="1" x14ac:dyDescent="0.2">
      <c r="A956" s="6" t="s">
        <v>550</v>
      </c>
      <c r="B956" s="6" t="s">
        <v>461</v>
      </c>
      <c r="C956" s="7">
        <v>213945</v>
      </c>
      <c r="D956" s="9" t="s">
        <v>7</v>
      </c>
      <c r="E956" s="8"/>
    </row>
    <row r="957" spans="1:5" ht="12.75" customHeight="1" x14ac:dyDescent="0.2">
      <c r="A957" s="6" t="s">
        <v>551</v>
      </c>
      <c r="B957" s="6" t="s">
        <v>488</v>
      </c>
      <c r="C957" s="7">
        <v>213947</v>
      </c>
      <c r="D957" s="9" t="s">
        <v>7</v>
      </c>
      <c r="E957" s="8"/>
    </row>
    <row r="958" spans="1:5" ht="12.75" customHeight="1" x14ac:dyDescent="0.2">
      <c r="A958" s="6" t="s">
        <v>551</v>
      </c>
      <c r="B958" s="6" t="s">
        <v>461</v>
      </c>
      <c r="C958" s="7">
        <v>213948</v>
      </c>
      <c r="D958" s="9" t="s">
        <v>7</v>
      </c>
      <c r="E958" s="8"/>
    </row>
    <row r="959" spans="1:5" ht="12.75" customHeight="1" x14ac:dyDescent="0.2">
      <c r="A959" s="6" t="s">
        <v>552</v>
      </c>
      <c r="B959" s="6" t="s">
        <v>488</v>
      </c>
      <c r="C959" s="7">
        <v>213949</v>
      </c>
      <c r="D959" s="9" t="s">
        <v>7</v>
      </c>
      <c r="E959" s="8"/>
    </row>
    <row r="960" spans="1:5" ht="12.75" customHeight="1" x14ac:dyDescent="0.2">
      <c r="A960" s="6" t="s">
        <v>552</v>
      </c>
      <c r="B960" s="6" t="s">
        <v>461</v>
      </c>
      <c r="C960" s="7">
        <v>213950</v>
      </c>
      <c r="D960" s="9" t="s">
        <v>7</v>
      </c>
      <c r="E960" s="8"/>
    </row>
    <row r="961" spans="1:5" ht="12.75" customHeight="1" x14ac:dyDescent="0.2">
      <c r="A961" s="6" t="s">
        <v>553</v>
      </c>
      <c r="B961" s="6" t="s">
        <v>488</v>
      </c>
      <c r="C961" s="7">
        <v>213951</v>
      </c>
      <c r="D961" s="9" t="s">
        <v>7</v>
      </c>
      <c r="E961" s="8"/>
    </row>
    <row r="962" spans="1:5" ht="12.75" customHeight="1" x14ac:dyDescent="0.2">
      <c r="A962" s="6" t="s">
        <v>554</v>
      </c>
      <c r="B962" s="6" t="s">
        <v>488</v>
      </c>
      <c r="C962" s="7">
        <v>213952</v>
      </c>
      <c r="D962" s="9" t="s">
        <v>7</v>
      </c>
      <c r="E962" s="8"/>
    </row>
    <row r="963" spans="1:5" ht="12.75" customHeight="1" x14ac:dyDescent="0.2">
      <c r="A963" s="6" t="s">
        <v>554</v>
      </c>
      <c r="B963" s="6" t="s">
        <v>461</v>
      </c>
      <c r="C963" s="7">
        <v>213953</v>
      </c>
      <c r="D963" s="9" t="s">
        <v>7</v>
      </c>
      <c r="E963" s="8"/>
    </row>
    <row r="964" spans="1:5" ht="12.75" customHeight="1" x14ac:dyDescent="0.2">
      <c r="A964" s="6" t="s">
        <v>555</v>
      </c>
      <c r="B964" s="6" t="s">
        <v>488</v>
      </c>
      <c r="C964" s="7">
        <v>213954</v>
      </c>
      <c r="D964" s="9" t="s">
        <v>7</v>
      </c>
      <c r="E964" s="8"/>
    </row>
    <row r="965" spans="1:5" ht="12.75" customHeight="1" x14ac:dyDescent="0.2">
      <c r="A965" s="6" t="s">
        <v>556</v>
      </c>
      <c r="B965" s="6" t="s">
        <v>505</v>
      </c>
      <c r="C965" s="7">
        <v>213955</v>
      </c>
      <c r="D965" s="9" t="s">
        <v>7</v>
      </c>
      <c r="E965" s="8"/>
    </row>
    <row r="966" spans="1:5" ht="12.75" customHeight="1" x14ac:dyDescent="0.2">
      <c r="A966" s="6" t="s">
        <v>556</v>
      </c>
      <c r="B966" s="6" t="s">
        <v>488</v>
      </c>
      <c r="C966" s="7">
        <v>213956</v>
      </c>
      <c r="D966" s="9" t="s">
        <v>7</v>
      </c>
      <c r="E966" s="8"/>
    </row>
    <row r="967" spans="1:5" ht="12.75" customHeight="1" x14ac:dyDescent="0.2">
      <c r="A967" s="6" t="s">
        <v>557</v>
      </c>
      <c r="B967" s="6" t="s">
        <v>488</v>
      </c>
      <c r="C967" s="7">
        <v>213957</v>
      </c>
      <c r="D967" s="9" t="s">
        <v>7</v>
      </c>
      <c r="E967" s="8"/>
    </row>
    <row r="968" spans="1:5" ht="12.75" customHeight="1" x14ac:dyDescent="0.2">
      <c r="A968" s="6" t="s">
        <v>557</v>
      </c>
      <c r="B968" s="6" t="s">
        <v>461</v>
      </c>
      <c r="C968" s="7">
        <v>213958</v>
      </c>
      <c r="D968" s="9" t="s">
        <v>7</v>
      </c>
      <c r="E968" s="8"/>
    </row>
    <row r="969" spans="1:5" ht="12.75" customHeight="1" x14ac:dyDescent="0.2">
      <c r="A969" s="6" t="s">
        <v>558</v>
      </c>
      <c r="B969" s="6" t="s">
        <v>488</v>
      </c>
      <c r="C969" s="7">
        <v>213959</v>
      </c>
      <c r="D969" s="9" t="s">
        <v>7</v>
      </c>
      <c r="E969" s="8"/>
    </row>
    <row r="970" spans="1:5" ht="12.75" customHeight="1" x14ac:dyDescent="0.2">
      <c r="A970" s="6" t="s">
        <v>559</v>
      </c>
      <c r="B970" s="6" t="s">
        <v>488</v>
      </c>
      <c r="C970" s="7">
        <v>213960</v>
      </c>
      <c r="D970" s="9" t="s">
        <v>7</v>
      </c>
      <c r="E970" s="8"/>
    </row>
    <row r="971" spans="1:5" ht="12.75" customHeight="1" x14ac:dyDescent="0.2">
      <c r="A971" s="6" t="s">
        <v>560</v>
      </c>
      <c r="B971" s="6" t="s">
        <v>488</v>
      </c>
      <c r="C971" s="7">
        <v>213961</v>
      </c>
      <c r="D971" s="9" t="s">
        <v>7</v>
      </c>
      <c r="E971" s="8"/>
    </row>
    <row r="972" spans="1:5" ht="12.75" customHeight="1" x14ac:dyDescent="0.2">
      <c r="A972" s="6" t="s">
        <v>561</v>
      </c>
      <c r="B972" s="6" t="s">
        <v>488</v>
      </c>
      <c r="C972" s="7">
        <v>213962</v>
      </c>
      <c r="D972" s="9" t="s">
        <v>7</v>
      </c>
      <c r="E972" s="8"/>
    </row>
    <row r="973" spans="1:5" ht="12.75" customHeight="1" x14ac:dyDescent="0.2">
      <c r="A973" s="6" t="s">
        <v>562</v>
      </c>
      <c r="B973" s="6" t="s">
        <v>505</v>
      </c>
      <c r="C973" s="7">
        <v>213964</v>
      </c>
      <c r="D973" s="9" t="s">
        <v>7</v>
      </c>
      <c r="E973" s="8"/>
    </row>
    <row r="974" spans="1:5" ht="12.75" customHeight="1" x14ac:dyDescent="0.2">
      <c r="A974" s="6" t="s">
        <v>563</v>
      </c>
      <c r="B974" s="6" t="s">
        <v>505</v>
      </c>
      <c r="C974" s="7">
        <v>213965</v>
      </c>
      <c r="D974" s="9" t="s">
        <v>7</v>
      </c>
      <c r="E974" s="8"/>
    </row>
    <row r="975" spans="1:5" ht="12.75" customHeight="1" x14ac:dyDescent="0.2">
      <c r="A975" s="6" t="s">
        <v>564</v>
      </c>
      <c r="B975" s="6" t="s">
        <v>505</v>
      </c>
      <c r="C975" s="7">
        <v>213966</v>
      </c>
      <c r="D975" s="9" t="s">
        <v>7</v>
      </c>
      <c r="E975" s="8"/>
    </row>
    <row r="976" spans="1:5" ht="12.75" customHeight="1" x14ac:dyDescent="0.2">
      <c r="A976" s="6" t="s">
        <v>565</v>
      </c>
      <c r="B976" s="6" t="s">
        <v>505</v>
      </c>
      <c r="C976" s="7">
        <v>213967</v>
      </c>
      <c r="D976" s="9" t="s">
        <v>7</v>
      </c>
      <c r="E976" s="8"/>
    </row>
    <row r="977" spans="1:5" ht="12.75" customHeight="1" x14ac:dyDescent="0.2">
      <c r="A977" s="6" t="s">
        <v>566</v>
      </c>
      <c r="B977" s="6" t="s">
        <v>505</v>
      </c>
      <c r="C977" s="7">
        <v>213968</v>
      </c>
      <c r="D977" s="9" t="s">
        <v>7</v>
      </c>
      <c r="E977" s="8"/>
    </row>
    <row r="978" spans="1:5" ht="12.75" customHeight="1" x14ac:dyDescent="0.2">
      <c r="A978" s="6" t="s">
        <v>567</v>
      </c>
      <c r="B978" s="6" t="s">
        <v>505</v>
      </c>
      <c r="C978" s="7">
        <v>213969</v>
      </c>
      <c r="D978" s="9" t="s">
        <v>7</v>
      </c>
      <c r="E978" s="8"/>
    </row>
    <row r="979" spans="1:5" ht="12.75" customHeight="1" x14ac:dyDescent="0.2">
      <c r="A979" s="6" t="s">
        <v>568</v>
      </c>
      <c r="B979" s="6" t="s">
        <v>505</v>
      </c>
      <c r="C979" s="7">
        <v>213970</v>
      </c>
      <c r="D979" s="9" t="s">
        <v>7</v>
      </c>
      <c r="E979" s="8"/>
    </row>
    <row r="980" spans="1:5" ht="12.75" customHeight="1" x14ac:dyDescent="0.2">
      <c r="A980" s="6" t="s">
        <v>569</v>
      </c>
      <c r="B980" s="6" t="s">
        <v>488</v>
      </c>
      <c r="C980" s="7">
        <v>213971</v>
      </c>
      <c r="D980" s="9" t="s">
        <v>7</v>
      </c>
      <c r="E980" s="8"/>
    </row>
    <row r="981" spans="1:5" ht="12.75" customHeight="1" x14ac:dyDescent="0.2">
      <c r="A981" s="6" t="s">
        <v>570</v>
      </c>
      <c r="B981" s="6" t="s">
        <v>488</v>
      </c>
      <c r="C981" s="7">
        <v>213973</v>
      </c>
      <c r="D981" s="9" t="s">
        <v>7</v>
      </c>
      <c r="E981" s="8"/>
    </row>
    <row r="982" spans="1:5" ht="12.75" customHeight="1" x14ac:dyDescent="0.2">
      <c r="A982" s="6" t="s">
        <v>571</v>
      </c>
      <c r="B982" s="6" t="s">
        <v>488</v>
      </c>
      <c r="C982" s="7">
        <v>213974</v>
      </c>
      <c r="D982" s="9" t="s">
        <v>7</v>
      </c>
      <c r="E982" s="8"/>
    </row>
    <row r="983" spans="1:5" ht="12.75" customHeight="1" x14ac:dyDescent="0.2">
      <c r="A983" s="6" t="s">
        <v>519</v>
      </c>
      <c r="B983" s="6" t="s">
        <v>488</v>
      </c>
      <c r="C983" s="7">
        <v>213978</v>
      </c>
      <c r="D983" s="9" t="s">
        <v>16</v>
      </c>
      <c r="E983" s="8"/>
    </row>
    <row r="984" spans="1:5" ht="12.75" customHeight="1" x14ac:dyDescent="0.2">
      <c r="A984" s="6" t="s">
        <v>519</v>
      </c>
      <c r="B984" s="6" t="s">
        <v>353</v>
      </c>
      <c r="C984" s="7">
        <v>213979</v>
      </c>
      <c r="D984" s="9" t="s">
        <v>16</v>
      </c>
      <c r="E984" s="8"/>
    </row>
    <row r="985" spans="1:5" ht="12.75" customHeight="1" x14ac:dyDescent="0.2">
      <c r="A985" s="6" t="s">
        <v>572</v>
      </c>
      <c r="B985" s="6" t="s">
        <v>353</v>
      </c>
      <c r="C985" s="7">
        <v>213981</v>
      </c>
      <c r="D985" s="9" t="s">
        <v>16</v>
      </c>
      <c r="E985" s="8"/>
    </row>
    <row r="986" spans="1:5" ht="12.75" customHeight="1" x14ac:dyDescent="0.2">
      <c r="A986" s="6" t="s">
        <v>573</v>
      </c>
      <c r="B986" s="6" t="s">
        <v>488</v>
      </c>
      <c r="C986" s="7">
        <v>213982</v>
      </c>
      <c r="D986" s="9" t="s">
        <v>7</v>
      </c>
      <c r="E986" s="8"/>
    </row>
    <row r="987" spans="1:5" ht="12.75" customHeight="1" x14ac:dyDescent="0.2">
      <c r="A987" s="6" t="s">
        <v>574</v>
      </c>
      <c r="B987" s="6" t="s">
        <v>488</v>
      </c>
      <c r="C987" s="7">
        <v>213983</v>
      </c>
      <c r="D987" s="9" t="s">
        <v>7</v>
      </c>
      <c r="E987" s="8"/>
    </row>
    <row r="988" spans="1:5" ht="12.75" customHeight="1" x14ac:dyDescent="0.2">
      <c r="A988" s="6" t="s">
        <v>571</v>
      </c>
      <c r="B988" s="6" t="s">
        <v>505</v>
      </c>
      <c r="C988" s="7">
        <v>213985</v>
      </c>
      <c r="D988" s="9" t="s">
        <v>7</v>
      </c>
      <c r="E988" s="8"/>
    </row>
    <row r="989" spans="1:5" ht="12.75" customHeight="1" x14ac:dyDescent="0.2">
      <c r="A989" s="6" t="s">
        <v>575</v>
      </c>
      <c r="B989" s="6" t="s">
        <v>488</v>
      </c>
      <c r="C989" s="7">
        <v>213988</v>
      </c>
      <c r="D989" s="9" t="s">
        <v>16</v>
      </c>
      <c r="E989" s="8"/>
    </row>
    <row r="990" spans="1:5" ht="12.75" customHeight="1" x14ac:dyDescent="0.2">
      <c r="A990" s="6" t="s">
        <v>575</v>
      </c>
      <c r="B990" s="6" t="s">
        <v>353</v>
      </c>
      <c r="C990" s="7">
        <v>213989</v>
      </c>
      <c r="D990" s="9" t="s">
        <v>16</v>
      </c>
      <c r="E990" s="8"/>
    </row>
    <row r="991" spans="1:5" ht="12.75" customHeight="1" x14ac:dyDescent="0.2">
      <c r="A991" s="6" t="s">
        <v>576</v>
      </c>
      <c r="B991" s="6" t="s">
        <v>505</v>
      </c>
      <c r="C991" s="7">
        <v>213990</v>
      </c>
      <c r="D991" s="9" t="s">
        <v>7</v>
      </c>
      <c r="E991" s="8"/>
    </row>
    <row r="992" spans="1:5" ht="12.75" customHeight="1" x14ac:dyDescent="0.2">
      <c r="A992" s="6" t="s">
        <v>577</v>
      </c>
      <c r="B992" s="6" t="s">
        <v>353</v>
      </c>
      <c r="C992" s="7">
        <v>213992</v>
      </c>
      <c r="D992" s="9" t="s">
        <v>7</v>
      </c>
      <c r="E992" s="8"/>
    </row>
    <row r="993" spans="1:5" ht="12.75" customHeight="1" x14ac:dyDescent="0.2">
      <c r="A993" s="6" t="s">
        <v>577</v>
      </c>
      <c r="B993" s="6" t="s">
        <v>461</v>
      </c>
      <c r="C993" s="7">
        <v>213993</v>
      </c>
      <c r="D993" s="9" t="s">
        <v>7</v>
      </c>
      <c r="E993" s="8"/>
    </row>
    <row r="994" spans="1:5" ht="12.75" customHeight="1" x14ac:dyDescent="0.2">
      <c r="A994" s="6" t="s">
        <v>577</v>
      </c>
      <c r="B994" s="6" t="s">
        <v>488</v>
      </c>
      <c r="C994" s="7">
        <v>213994</v>
      </c>
      <c r="D994" s="9" t="s">
        <v>7</v>
      </c>
      <c r="E994" s="8"/>
    </row>
    <row r="995" spans="1:5" ht="12.75" customHeight="1" x14ac:dyDescent="0.2">
      <c r="A995" s="6" t="s">
        <v>571</v>
      </c>
      <c r="B995" s="6" t="s">
        <v>353</v>
      </c>
      <c r="C995" s="7">
        <v>213995</v>
      </c>
      <c r="D995" s="9" t="s">
        <v>7</v>
      </c>
      <c r="E995" s="8"/>
    </row>
    <row r="996" spans="1:5" ht="12.75" customHeight="1" x14ac:dyDescent="0.2">
      <c r="A996" s="6" t="s">
        <v>525</v>
      </c>
      <c r="B996" s="6" t="s">
        <v>505</v>
      </c>
      <c r="C996" s="7">
        <v>213996</v>
      </c>
      <c r="D996" s="9" t="s">
        <v>7</v>
      </c>
      <c r="E996" s="8"/>
    </row>
    <row r="997" spans="1:5" ht="12.75" customHeight="1" x14ac:dyDescent="0.2">
      <c r="A997" s="6" t="s">
        <v>578</v>
      </c>
      <c r="B997" s="6" t="s">
        <v>488</v>
      </c>
      <c r="C997" s="7">
        <v>214002</v>
      </c>
      <c r="D997" s="9" t="s">
        <v>16</v>
      </c>
      <c r="E997" s="8"/>
    </row>
    <row r="998" spans="1:5" ht="12.75" customHeight="1" x14ac:dyDescent="0.2">
      <c r="A998" s="6" t="s">
        <v>579</v>
      </c>
      <c r="B998" s="6" t="s">
        <v>488</v>
      </c>
      <c r="C998" s="7">
        <v>214003</v>
      </c>
      <c r="D998" s="9" t="s">
        <v>7</v>
      </c>
      <c r="E998" s="8"/>
    </row>
    <row r="999" spans="1:5" ht="12.75" customHeight="1" x14ac:dyDescent="0.2">
      <c r="A999" s="6" t="s">
        <v>580</v>
      </c>
      <c r="B999" s="6" t="s">
        <v>488</v>
      </c>
      <c r="C999" s="7">
        <v>214004</v>
      </c>
      <c r="D999" s="9" t="s">
        <v>7</v>
      </c>
      <c r="E999" s="8"/>
    </row>
    <row r="1000" spans="1:5" ht="12.75" customHeight="1" x14ac:dyDescent="0.2">
      <c r="A1000" s="6" t="s">
        <v>581</v>
      </c>
      <c r="B1000" s="6" t="s">
        <v>488</v>
      </c>
      <c r="C1000" s="7">
        <v>214005</v>
      </c>
      <c r="D1000" s="9" t="s">
        <v>7</v>
      </c>
      <c r="E1000" s="8"/>
    </row>
    <row r="1001" spans="1:5" ht="12.75" customHeight="1" x14ac:dyDescent="0.2">
      <c r="A1001" s="6" t="s">
        <v>582</v>
      </c>
      <c r="B1001" s="6" t="s">
        <v>488</v>
      </c>
      <c r="C1001" s="7">
        <v>214012</v>
      </c>
      <c r="D1001" s="9" t="s">
        <v>16</v>
      </c>
      <c r="E1001" s="8"/>
    </row>
    <row r="1002" spans="1:5" ht="12.75" customHeight="1" x14ac:dyDescent="0.2">
      <c r="A1002" s="6" t="s">
        <v>583</v>
      </c>
      <c r="B1002" s="6" t="s">
        <v>6</v>
      </c>
      <c r="C1002" s="7">
        <v>214013</v>
      </c>
      <c r="D1002" s="9" t="s">
        <v>16</v>
      </c>
      <c r="E1002" s="8"/>
    </row>
    <row r="1003" spans="1:5" ht="12.75" customHeight="1" x14ac:dyDescent="0.2">
      <c r="A1003" s="6" t="s">
        <v>584</v>
      </c>
      <c r="B1003" s="6" t="s">
        <v>488</v>
      </c>
      <c r="C1003" s="7">
        <v>214016</v>
      </c>
      <c r="D1003" s="9" t="s">
        <v>16</v>
      </c>
      <c r="E1003" s="8"/>
    </row>
    <row r="1004" spans="1:5" ht="12.75" customHeight="1" x14ac:dyDescent="0.2">
      <c r="A1004" s="6" t="s">
        <v>584</v>
      </c>
      <c r="B1004" s="6" t="s">
        <v>15</v>
      </c>
      <c r="C1004" s="7">
        <v>214018</v>
      </c>
      <c r="D1004" s="9" t="s">
        <v>16</v>
      </c>
      <c r="E1004" s="8"/>
    </row>
    <row r="1005" spans="1:5" ht="12.75" customHeight="1" x14ac:dyDescent="0.2">
      <c r="A1005" s="6" t="s">
        <v>585</v>
      </c>
      <c r="B1005" s="6" t="s">
        <v>488</v>
      </c>
      <c r="C1005" s="7">
        <v>214024</v>
      </c>
      <c r="D1005" s="9" t="s">
        <v>7</v>
      </c>
      <c r="E1005" s="8"/>
    </row>
    <row r="1006" spans="1:5" ht="12.75" customHeight="1" x14ac:dyDescent="0.2">
      <c r="A1006" s="6" t="s">
        <v>586</v>
      </c>
      <c r="B1006" s="6" t="s">
        <v>353</v>
      </c>
      <c r="C1006" s="7">
        <v>214025</v>
      </c>
      <c r="D1006" s="9" t="s">
        <v>7</v>
      </c>
      <c r="E1006" s="8"/>
    </row>
    <row r="1007" spans="1:5" ht="12.75" customHeight="1" x14ac:dyDescent="0.2">
      <c r="A1007" s="6" t="s">
        <v>587</v>
      </c>
      <c r="B1007" s="6" t="s">
        <v>488</v>
      </c>
      <c r="C1007" s="7">
        <v>214026</v>
      </c>
      <c r="D1007" s="9" t="s">
        <v>7</v>
      </c>
      <c r="E1007" s="8"/>
    </row>
    <row r="1008" spans="1:5" ht="12.75" customHeight="1" x14ac:dyDescent="0.2">
      <c r="A1008" s="6" t="s">
        <v>588</v>
      </c>
      <c r="B1008" s="6" t="s">
        <v>488</v>
      </c>
      <c r="C1008" s="7">
        <v>214027</v>
      </c>
      <c r="D1008" s="9" t="s">
        <v>16</v>
      </c>
      <c r="E1008" s="8"/>
    </row>
    <row r="1009" spans="1:5" ht="12.75" customHeight="1" x14ac:dyDescent="0.2">
      <c r="A1009" s="6" t="s">
        <v>583</v>
      </c>
      <c r="B1009" s="6" t="s">
        <v>488</v>
      </c>
      <c r="C1009" s="7">
        <v>214028</v>
      </c>
      <c r="D1009" s="9" t="s">
        <v>16</v>
      </c>
      <c r="E1009" s="8"/>
    </row>
    <row r="1010" spans="1:5" ht="12.75" customHeight="1" x14ac:dyDescent="0.2">
      <c r="A1010" s="6" t="s">
        <v>589</v>
      </c>
      <c r="B1010" s="6" t="s">
        <v>488</v>
      </c>
      <c r="C1010" s="7">
        <v>214029</v>
      </c>
      <c r="D1010" s="9" t="s">
        <v>7</v>
      </c>
      <c r="E1010" s="8"/>
    </row>
    <row r="1011" spans="1:5" ht="12.75" customHeight="1" x14ac:dyDescent="0.2">
      <c r="A1011" s="6" t="s">
        <v>590</v>
      </c>
      <c r="B1011" s="6" t="s">
        <v>488</v>
      </c>
      <c r="C1011" s="7">
        <v>214032</v>
      </c>
      <c r="D1011" s="9" t="s">
        <v>7</v>
      </c>
      <c r="E1011" s="8"/>
    </row>
    <row r="1012" spans="1:5" ht="12.75" customHeight="1" x14ac:dyDescent="0.2">
      <c r="A1012" s="6" t="s">
        <v>581</v>
      </c>
      <c r="B1012" s="6" t="s">
        <v>488</v>
      </c>
      <c r="C1012" s="7">
        <v>214038</v>
      </c>
      <c r="D1012" s="9" t="s">
        <v>7</v>
      </c>
      <c r="E1012" s="8"/>
    </row>
    <row r="1013" spans="1:5" ht="12.75" customHeight="1" x14ac:dyDescent="0.2">
      <c r="A1013" s="6" t="s">
        <v>591</v>
      </c>
      <c r="B1013" s="6" t="s">
        <v>353</v>
      </c>
      <c r="C1013" s="7">
        <v>214039</v>
      </c>
      <c r="D1013" s="9" t="s">
        <v>7</v>
      </c>
      <c r="E1013" s="8"/>
    </row>
    <row r="1014" spans="1:5" ht="12.75" customHeight="1" x14ac:dyDescent="0.2">
      <c r="A1014" s="6" t="s">
        <v>592</v>
      </c>
      <c r="B1014" s="6" t="s">
        <v>32</v>
      </c>
      <c r="C1014" s="7">
        <v>214071</v>
      </c>
      <c r="D1014" s="9" t="s">
        <v>16</v>
      </c>
      <c r="E1014" s="8"/>
    </row>
    <row r="1015" spans="1:5" ht="12.75" customHeight="1" x14ac:dyDescent="0.2">
      <c r="A1015" s="6" t="s">
        <v>592</v>
      </c>
      <c r="B1015" s="6" t="s">
        <v>6</v>
      </c>
      <c r="C1015" s="7">
        <v>214072</v>
      </c>
      <c r="D1015" s="9" t="s">
        <v>16</v>
      </c>
      <c r="E1015" s="8"/>
    </row>
    <row r="1016" spans="1:5" ht="12.75" customHeight="1" x14ac:dyDescent="0.2">
      <c r="A1016" s="6" t="s">
        <v>593</v>
      </c>
      <c r="B1016" s="6" t="s">
        <v>6</v>
      </c>
      <c r="C1016" s="7">
        <v>214074</v>
      </c>
      <c r="D1016" s="9" t="s">
        <v>16</v>
      </c>
      <c r="E1016" s="8"/>
    </row>
    <row r="1017" spans="1:5" ht="12.75" customHeight="1" x14ac:dyDescent="0.2">
      <c r="A1017" s="6" t="s">
        <v>593</v>
      </c>
      <c r="B1017" s="6" t="s">
        <v>15</v>
      </c>
      <c r="C1017" s="7">
        <v>214075</v>
      </c>
      <c r="D1017" s="9" t="s">
        <v>16</v>
      </c>
      <c r="E1017" s="8"/>
    </row>
    <row r="1018" spans="1:5" ht="12.75" customHeight="1" x14ac:dyDescent="0.2">
      <c r="A1018" s="6" t="s">
        <v>594</v>
      </c>
      <c r="B1018" s="6" t="s">
        <v>32</v>
      </c>
      <c r="C1018" s="7">
        <v>214076</v>
      </c>
      <c r="D1018" s="9" t="s">
        <v>16</v>
      </c>
      <c r="E1018" s="8"/>
    </row>
    <row r="1019" spans="1:5" ht="12.75" customHeight="1" x14ac:dyDescent="0.2">
      <c r="A1019" s="6" t="s">
        <v>594</v>
      </c>
      <c r="B1019" s="6" t="s">
        <v>15</v>
      </c>
      <c r="C1019" s="7">
        <v>214077</v>
      </c>
      <c r="D1019" s="9" t="s">
        <v>16</v>
      </c>
      <c r="E1019" s="8"/>
    </row>
    <row r="1020" spans="1:5" ht="12.75" customHeight="1" x14ac:dyDescent="0.2">
      <c r="A1020" s="6" t="s">
        <v>595</v>
      </c>
      <c r="B1020" s="6" t="s">
        <v>32</v>
      </c>
      <c r="C1020" s="7">
        <v>214078</v>
      </c>
      <c r="D1020" s="9" t="s">
        <v>16</v>
      </c>
      <c r="E1020" s="8"/>
    </row>
    <row r="1021" spans="1:5" ht="12.75" customHeight="1" x14ac:dyDescent="0.2">
      <c r="A1021" s="6" t="s">
        <v>595</v>
      </c>
      <c r="B1021" s="6" t="s">
        <v>15</v>
      </c>
      <c r="C1021" s="7">
        <v>214079</v>
      </c>
      <c r="D1021" s="9" t="s">
        <v>16</v>
      </c>
      <c r="E1021" s="8"/>
    </row>
    <row r="1022" spans="1:5" ht="12.75" customHeight="1" x14ac:dyDescent="0.2">
      <c r="A1022" s="6" t="s">
        <v>596</v>
      </c>
      <c r="B1022" s="6" t="s">
        <v>488</v>
      </c>
      <c r="C1022" s="7">
        <v>214082</v>
      </c>
      <c r="D1022" s="9" t="s">
        <v>16</v>
      </c>
      <c r="E1022" s="8"/>
    </row>
    <row r="1023" spans="1:5" ht="12.75" customHeight="1" x14ac:dyDescent="0.2">
      <c r="A1023" s="6" t="s">
        <v>596</v>
      </c>
      <c r="B1023" s="6" t="s">
        <v>479</v>
      </c>
      <c r="C1023" s="7">
        <v>214083</v>
      </c>
      <c r="D1023" s="9" t="s">
        <v>16</v>
      </c>
      <c r="E1023" s="8"/>
    </row>
    <row r="1024" spans="1:5" ht="12.75" customHeight="1" x14ac:dyDescent="0.2">
      <c r="A1024" s="6" t="s">
        <v>597</v>
      </c>
      <c r="B1024" s="6" t="s">
        <v>32</v>
      </c>
      <c r="C1024" s="7">
        <v>214084</v>
      </c>
      <c r="D1024" s="9" t="s">
        <v>16</v>
      </c>
      <c r="E1024" s="8"/>
    </row>
    <row r="1025" spans="1:5" ht="12.75" customHeight="1" x14ac:dyDescent="0.2">
      <c r="A1025" s="6" t="s">
        <v>597</v>
      </c>
      <c r="B1025" s="6" t="s">
        <v>15</v>
      </c>
      <c r="C1025" s="7">
        <v>214085</v>
      </c>
      <c r="D1025" s="9" t="s">
        <v>16</v>
      </c>
      <c r="E1025" s="8"/>
    </row>
    <row r="1026" spans="1:5" ht="12.75" customHeight="1" x14ac:dyDescent="0.2">
      <c r="A1026" s="6" t="s">
        <v>598</v>
      </c>
      <c r="B1026" s="6" t="s">
        <v>488</v>
      </c>
      <c r="C1026" s="7">
        <v>214086</v>
      </c>
      <c r="D1026" s="9" t="s">
        <v>16</v>
      </c>
      <c r="E1026" s="8"/>
    </row>
    <row r="1027" spans="1:5" ht="12.75" customHeight="1" x14ac:dyDescent="0.2">
      <c r="A1027" s="6" t="s">
        <v>598</v>
      </c>
      <c r="B1027" s="6" t="s">
        <v>353</v>
      </c>
      <c r="C1027" s="7">
        <v>214087</v>
      </c>
      <c r="D1027" s="9" t="s">
        <v>16</v>
      </c>
      <c r="E1027" s="8"/>
    </row>
    <row r="1028" spans="1:5" ht="12.75" customHeight="1" x14ac:dyDescent="0.2">
      <c r="A1028" s="6" t="s">
        <v>598</v>
      </c>
      <c r="B1028" s="6" t="s">
        <v>32</v>
      </c>
      <c r="C1028" s="7">
        <v>214088</v>
      </c>
      <c r="D1028" s="9" t="s">
        <v>16</v>
      </c>
      <c r="E1028" s="8"/>
    </row>
    <row r="1029" spans="1:5" ht="12.75" customHeight="1" x14ac:dyDescent="0.2">
      <c r="A1029" s="6" t="s">
        <v>598</v>
      </c>
      <c r="B1029" s="6" t="s">
        <v>6</v>
      </c>
      <c r="C1029" s="7">
        <v>214089</v>
      </c>
      <c r="D1029" s="9" t="s">
        <v>16</v>
      </c>
      <c r="E1029" s="8"/>
    </row>
    <row r="1030" spans="1:5" ht="12.75" customHeight="1" x14ac:dyDescent="0.2">
      <c r="A1030" s="6" t="s">
        <v>598</v>
      </c>
      <c r="B1030" s="6" t="s">
        <v>15</v>
      </c>
      <c r="C1030" s="7">
        <v>214090</v>
      </c>
      <c r="D1030" s="9" t="s">
        <v>16</v>
      </c>
      <c r="E1030" s="8"/>
    </row>
    <row r="1031" spans="1:5" ht="12.75" customHeight="1" x14ac:dyDescent="0.2">
      <c r="A1031" s="6" t="s">
        <v>598</v>
      </c>
      <c r="B1031" s="6" t="s">
        <v>136</v>
      </c>
      <c r="C1031" s="7">
        <v>214091</v>
      </c>
      <c r="D1031" s="9" t="s">
        <v>16</v>
      </c>
      <c r="E1031" s="8"/>
    </row>
    <row r="1032" spans="1:5" ht="12.75" customHeight="1" x14ac:dyDescent="0.2">
      <c r="A1032" s="6" t="s">
        <v>599</v>
      </c>
      <c r="B1032" s="6" t="s">
        <v>353</v>
      </c>
      <c r="C1032" s="7">
        <v>214092</v>
      </c>
      <c r="D1032" s="9" t="s">
        <v>16</v>
      </c>
      <c r="E1032" s="8"/>
    </row>
    <row r="1033" spans="1:5" ht="12.75" customHeight="1" x14ac:dyDescent="0.2">
      <c r="A1033" s="6" t="s">
        <v>599</v>
      </c>
      <c r="B1033" s="6" t="s">
        <v>32</v>
      </c>
      <c r="C1033" s="7">
        <v>214093</v>
      </c>
      <c r="D1033" s="9" t="s">
        <v>16</v>
      </c>
      <c r="E1033" s="8"/>
    </row>
    <row r="1034" spans="1:5" ht="12.75" customHeight="1" x14ac:dyDescent="0.2">
      <c r="A1034" s="6" t="s">
        <v>599</v>
      </c>
      <c r="B1034" s="6" t="s">
        <v>15</v>
      </c>
      <c r="C1034" s="7">
        <v>214095</v>
      </c>
      <c r="D1034" s="9" t="s">
        <v>16</v>
      </c>
      <c r="E1034" s="8"/>
    </row>
    <row r="1035" spans="1:5" ht="12.75" customHeight="1" x14ac:dyDescent="0.2">
      <c r="A1035" s="6" t="s">
        <v>600</v>
      </c>
      <c r="B1035" s="6" t="s">
        <v>32</v>
      </c>
      <c r="C1035" s="7">
        <v>214096</v>
      </c>
      <c r="D1035" s="9" t="s">
        <v>16</v>
      </c>
      <c r="E1035" s="8"/>
    </row>
    <row r="1036" spans="1:5" ht="12.75" customHeight="1" x14ac:dyDescent="0.2">
      <c r="A1036" s="6" t="s">
        <v>600</v>
      </c>
      <c r="B1036" s="6" t="s">
        <v>15</v>
      </c>
      <c r="C1036" s="7">
        <v>214097</v>
      </c>
      <c r="D1036" s="9" t="s">
        <v>16</v>
      </c>
      <c r="E1036" s="8"/>
    </row>
    <row r="1037" spans="1:5" ht="12.75" customHeight="1" x14ac:dyDescent="0.2">
      <c r="A1037" s="6" t="s">
        <v>596</v>
      </c>
      <c r="B1037" s="6" t="s">
        <v>32</v>
      </c>
      <c r="C1037" s="7">
        <v>214099</v>
      </c>
      <c r="D1037" s="9" t="s">
        <v>16</v>
      </c>
      <c r="E1037" s="8"/>
    </row>
    <row r="1038" spans="1:5" ht="12.75" customHeight="1" x14ac:dyDescent="0.2">
      <c r="A1038" s="6" t="s">
        <v>596</v>
      </c>
      <c r="B1038" s="6" t="s">
        <v>6</v>
      </c>
      <c r="C1038" s="7">
        <v>214100</v>
      </c>
      <c r="D1038" s="9" t="s">
        <v>16</v>
      </c>
      <c r="E1038" s="8"/>
    </row>
    <row r="1039" spans="1:5" ht="12.75" customHeight="1" x14ac:dyDescent="0.2">
      <c r="A1039" s="6" t="s">
        <v>596</v>
      </c>
      <c r="B1039" s="6" t="s">
        <v>15</v>
      </c>
      <c r="C1039" s="7">
        <v>214101</v>
      </c>
      <c r="D1039" s="9" t="s">
        <v>16</v>
      </c>
      <c r="E1039" s="8"/>
    </row>
    <row r="1040" spans="1:5" ht="12.75" customHeight="1" x14ac:dyDescent="0.2">
      <c r="A1040" s="6" t="s">
        <v>601</v>
      </c>
      <c r="B1040" s="6" t="s">
        <v>353</v>
      </c>
      <c r="C1040" s="7">
        <v>214104</v>
      </c>
      <c r="D1040" s="9" t="s">
        <v>16</v>
      </c>
      <c r="E1040" s="8"/>
    </row>
    <row r="1041" spans="1:5" ht="12.75" customHeight="1" x14ac:dyDescent="0.2">
      <c r="A1041" s="6" t="s">
        <v>602</v>
      </c>
      <c r="B1041" s="6" t="s">
        <v>461</v>
      </c>
      <c r="C1041" s="7">
        <v>214107</v>
      </c>
      <c r="D1041" s="9" t="s">
        <v>16</v>
      </c>
      <c r="E1041" s="8"/>
    </row>
    <row r="1042" spans="1:5" ht="12.75" customHeight="1" x14ac:dyDescent="0.2">
      <c r="A1042" s="6" t="s">
        <v>603</v>
      </c>
      <c r="B1042" s="6" t="s">
        <v>353</v>
      </c>
      <c r="C1042" s="7">
        <v>214108</v>
      </c>
      <c r="D1042" s="9" t="s">
        <v>16</v>
      </c>
      <c r="E1042" s="8"/>
    </row>
    <row r="1043" spans="1:5" ht="12.75" customHeight="1" x14ac:dyDescent="0.2">
      <c r="A1043" s="6" t="s">
        <v>602</v>
      </c>
      <c r="B1043" s="6" t="s">
        <v>353</v>
      </c>
      <c r="C1043" s="7">
        <v>214109</v>
      </c>
      <c r="D1043" s="9" t="s">
        <v>16</v>
      </c>
      <c r="E1043" s="8"/>
    </row>
    <row r="1044" spans="1:5" ht="12.75" customHeight="1" x14ac:dyDescent="0.2">
      <c r="A1044" s="6" t="s">
        <v>602</v>
      </c>
      <c r="B1044" s="6" t="s">
        <v>488</v>
      </c>
      <c r="C1044" s="7">
        <v>214110</v>
      </c>
      <c r="D1044" s="9" t="s">
        <v>16</v>
      </c>
      <c r="E1044" s="8"/>
    </row>
    <row r="1045" spans="1:5" ht="12.75" customHeight="1" x14ac:dyDescent="0.2">
      <c r="A1045" s="6" t="s">
        <v>603</v>
      </c>
      <c r="B1045" s="6" t="s">
        <v>488</v>
      </c>
      <c r="C1045" s="7">
        <v>214111</v>
      </c>
      <c r="D1045" s="9" t="s">
        <v>16</v>
      </c>
      <c r="E1045" s="8"/>
    </row>
    <row r="1046" spans="1:5" ht="12.75" customHeight="1" x14ac:dyDescent="0.2">
      <c r="A1046" s="6" t="s">
        <v>604</v>
      </c>
      <c r="B1046" s="6" t="s">
        <v>488</v>
      </c>
      <c r="C1046" s="7">
        <v>214112</v>
      </c>
      <c r="D1046" s="9" t="s">
        <v>16</v>
      </c>
      <c r="E1046" s="8"/>
    </row>
    <row r="1047" spans="1:5" ht="12.75" customHeight="1" x14ac:dyDescent="0.2">
      <c r="A1047" s="6" t="s">
        <v>604</v>
      </c>
      <c r="B1047" s="6" t="s">
        <v>461</v>
      </c>
      <c r="C1047" s="7">
        <v>214113</v>
      </c>
      <c r="D1047" s="9" t="s">
        <v>16</v>
      </c>
      <c r="E1047" s="8"/>
    </row>
    <row r="1048" spans="1:5" ht="12.75" customHeight="1" x14ac:dyDescent="0.2">
      <c r="A1048" s="6" t="s">
        <v>604</v>
      </c>
      <c r="B1048" s="6" t="s">
        <v>353</v>
      </c>
      <c r="C1048" s="7">
        <v>214114</v>
      </c>
      <c r="D1048" s="9" t="s">
        <v>16</v>
      </c>
      <c r="E1048" s="8"/>
    </row>
    <row r="1049" spans="1:5" ht="12.75" customHeight="1" x14ac:dyDescent="0.2">
      <c r="A1049" s="6" t="s">
        <v>605</v>
      </c>
      <c r="B1049" s="6" t="s">
        <v>461</v>
      </c>
      <c r="C1049" s="7">
        <v>214120</v>
      </c>
      <c r="D1049" s="9" t="s">
        <v>7</v>
      </c>
      <c r="E1049" s="8"/>
    </row>
    <row r="1050" spans="1:5" ht="12.75" customHeight="1" x14ac:dyDescent="0.2">
      <c r="A1050" s="6" t="s">
        <v>606</v>
      </c>
      <c r="B1050" s="6" t="s">
        <v>353</v>
      </c>
      <c r="C1050" s="7">
        <v>214121</v>
      </c>
      <c r="D1050" s="9" t="s">
        <v>7</v>
      </c>
      <c r="E1050" s="8"/>
    </row>
    <row r="1051" spans="1:5" ht="12.75" customHeight="1" x14ac:dyDescent="0.2">
      <c r="A1051" s="6" t="s">
        <v>605</v>
      </c>
      <c r="B1051" s="6" t="s">
        <v>353</v>
      </c>
      <c r="C1051" s="7">
        <v>214124</v>
      </c>
      <c r="D1051" s="9" t="s">
        <v>7</v>
      </c>
      <c r="E1051" s="8"/>
    </row>
    <row r="1052" spans="1:5" ht="12.75" customHeight="1" x14ac:dyDescent="0.2">
      <c r="A1052" s="6" t="s">
        <v>605</v>
      </c>
      <c r="B1052" s="6" t="s">
        <v>488</v>
      </c>
      <c r="C1052" s="7">
        <v>214125</v>
      </c>
      <c r="D1052" s="9" t="s">
        <v>7</v>
      </c>
      <c r="E1052" s="8"/>
    </row>
    <row r="1053" spans="1:5" ht="12.75" customHeight="1" x14ac:dyDescent="0.2">
      <c r="A1053" s="6" t="s">
        <v>606</v>
      </c>
      <c r="B1053" s="6" t="s">
        <v>488</v>
      </c>
      <c r="C1053" s="7">
        <v>214126</v>
      </c>
      <c r="D1053" s="9" t="s">
        <v>7</v>
      </c>
      <c r="E1053" s="8"/>
    </row>
    <row r="1054" spans="1:5" ht="12.75" customHeight="1" x14ac:dyDescent="0.2">
      <c r="A1054" s="6" t="s">
        <v>607</v>
      </c>
      <c r="B1054" s="6" t="s">
        <v>6</v>
      </c>
      <c r="C1054" s="7">
        <v>214133</v>
      </c>
      <c r="D1054" s="9" t="s">
        <v>16</v>
      </c>
      <c r="E1054" s="8"/>
    </row>
    <row r="1055" spans="1:5" ht="12.75" customHeight="1" x14ac:dyDescent="0.2">
      <c r="A1055" s="6" t="s">
        <v>607</v>
      </c>
      <c r="B1055" s="6" t="s">
        <v>15</v>
      </c>
      <c r="C1055" s="7">
        <v>214134</v>
      </c>
      <c r="D1055" s="9" t="s">
        <v>16</v>
      </c>
      <c r="E1055" s="8"/>
    </row>
    <row r="1056" spans="1:5" ht="12.75" customHeight="1" x14ac:dyDescent="0.2">
      <c r="A1056" s="6" t="s">
        <v>608</v>
      </c>
      <c r="B1056" s="6" t="s">
        <v>32</v>
      </c>
      <c r="C1056" s="7">
        <v>214138</v>
      </c>
      <c r="D1056" s="9" t="s">
        <v>16</v>
      </c>
      <c r="E1056" s="8"/>
    </row>
    <row r="1057" spans="1:5" ht="12.75" customHeight="1" x14ac:dyDescent="0.2">
      <c r="A1057" s="6" t="s">
        <v>608</v>
      </c>
      <c r="B1057" s="6" t="s">
        <v>15</v>
      </c>
      <c r="C1057" s="7">
        <v>214139</v>
      </c>
      <c r="D1057" s="9" t="s">
        <v>16</v>
      </c>
      <c r="E1057" s="8"/>
    </row>
    <row r="1058" spans="1:5" ht="12.75" customHeight="1" x14ac:dyDescent="0.2">
      <c r="A1058" s="6" t="s">
        <v>608</v>
      </c>
      <c r="B1058" s="6" t="s">
        <v>136</v>
      </c>
      <c r="C1058" s="7">
        <v>214140</v>
      </c>
      <c r="D1058" s="9" t="s">
        <v>16</v>
      </c>
      <c r="E1058" s="8"/>
    </row>
    <row r="1059" spans="1:5" ht="12.75" customHeight="1" x14ac:dyDescent="0.2">
      <c r="A1059" s="6" t="s">
        <v>609</v>
      </c>
      <c r="B1059" s="6" t="s">
        <v>488</v>
      </c>
      <c r="C1059" s="7">
        <v>214144</v>
      </c>
      <c r="D1059" s="9" t="s">
        <v>16</v>
      </c>
      <c r="E1059" s="8"/>
    </row>
    <row r="1060" spans="1:5" ht="12.75" customHeight="1" x14ac:dyDescent="0.2">
      <c r="A1060" s="6" t="s">
        <v>610</v>
      </c>
      <c r="B1060" s="6" t="s">
        <v>488</v>
      </c>
      <c r="C1060" s="7">
        <v>214145</v>
      </c>
      <c r="D1060" s="9" t="s">
        <v>16</v>
      </c>
      <c r="E1060" s="8"/>
    </row>
    <row r="1061" spans="1:5" ht="12.75" customHeight="1" x14ac:dyDescent="0.2">
      <c r="A1061" s="6" t="s">
        <v>610</v>
      </c>
      <c r="B1061" s="6" t="s">
        <v>32</v>
      </c>
      <c r="C1061" s="7">
        <v>214146</v>
      </c>
      <c r="D1061" s="9" t="s">
        <v>16</v>
      </c>
      <c r="E1061" s="8"/>
    </row>
    <row r="1062" spans="1:5" ht="12.75" customHeight="1" x14ac:dyDescent="0.2">
      <c r="A1062" s="6" t="s">
        <v>610</v>
      </c>
      <c r="B1062" s="6" t="s">
        <v>6</v>
      </c>
      <c r="C1062" s="7">
        <v>214147</v>
      </c>
      <c r="D1062" s="9" t="s">
        <v>16</v>
      </c>
      <c r="E1062" s="8"/>
    </row>
    <row r="1063" spans="1:5" ht="12.75" customHeight="1" x14ac:dyDescent="0.2">
      <c r="A1063" s="6" t="s">
        <v>610</v>
      </c>
      <c r="B1063" s="6" t="s">
        <v>15</v>
      </c>
      <c r="C1063" s="7">
        <v>214148</v>
      </c>
      <c r="D1063" s="9" t="s">
        <v>16</v>
      </c>
      <c r="E1063" s="8"/>
    </row>
    <row r="1064" spans="1:5" ht="12.75" customHeight="1" x14ac:dyDescent="0.2">
      <c r="A1064" s="6" t="s">
        <v>611</v>
      </c>
      <c r="B1064" s="6" t="s">
        <v>32</v>
      </c>
      <c r="C1064" s="7">
        <v>214149</v>
      </c>
      <c r="D1064" s="9" t="s">
        <v>16</v>
      </c>
      <c r="E1064" s="8"/>
    </row>
    <row r="1065" spans="1:5" ht="12.75" customHeight="1" x14ac:dyDescent="0.2">
      <c r="A1065" s="6" t="s">
        <v>612</v>
      </c>
      <c r="B1065" s="6" t="s">
        <v>136</v>
      </c>
      <c r="C1065" s="7">
        <v>214151</v>
      </c>
      <c r="D1065" s="9" t="s">
        <v>16</v>
      </c>
      <c r="E1065" s="8"/>
    </row>
    <row r="1066" spans="1:5" ht="12.75" customHeight="1" x14ac:dyDescent="0.2">
      <c r="A1066" s="6" t="s">
        <v>613</v>
      </c>
      <c r="B1066" s="6" t="s">
        <v>479</v>
      </c>
      <c r="C1066" s="7">
        <v>214152</v>
      </c>
      <c r="D1066" s="9" t="s">
        <v>16</v>
      </c>
      <c r="E1066" s="8"/>
    </row>
    <row r="1067" spans="1:5" ht="12.75" customHeight="1" x14ac:dyDescent="0.2">
      <c r="A1067" s="6" t="s">
        <v>613</v>
      </c>
      <c r="B1067" s="6" t="s">
        <v>32</v>
      </c>
      <c r="C1067" s="7">
        <v>214154</v>
      </c>
      <c r="D1067" s="9" t="s">
        <v>16</v>
      </c>
      <c r="E1067" s="8"/>
    </row>
    <row r="1068" spans="1:5" ht="12.75" customHeight="1" x14ac:dyDescent="0.2">
      <c r="A1068" s="6" t="s">
        <v>613</v>
      </c>
      <c r="B1068" s="6" t="s">
        <v>15</v>
      </c>
      <c r="C1068" s="7">
        <v>214155</v>
      </c>
      <c r="D1068" s="9" t="s">
        <v>16</v>
      </c>
      <c r="E1068" s="8"/>
    </row>
    <row r="1069" spans="1:5" ht="12.75" customHeight="1" x14ac:dyDescent="0.2">
      <c r="A1069" s="6" t="s">
        <v>614</v>
      </c>
      <c r="B1069" s="6" t="s">
        <v>15</v>
      </c>
      <c r="C1069" s="7">
        <v>214170</v>
      </c>
      <c r="D1069" s="9" t="s">
        <v>16</v>
      </c>
      <c r="E1069" s="8"/>
    </row>
    <row r="1070" spans="1:5" ht="12.75" customHeight="1" x14ac:dyDescent="0.2">
      <c r="A1070" s="6" t="s">
        <v>595</v>
      </c>
      <c r="B1070" s="6" t="s">
        <v>136</v>
      </c>
      <c r="C1070" s="7">
        <v>214173</v>
      </c>
      <c r="D1070" s="9" t="s">
        <v>16</v>
      </c>
      <c r="E1070" s="8"/>
    </row>
    <row r="1071" spans="1:5" ht="12.75" customHeight="1" x14ac:dyDescent="0.2">
      <c r="A1071" s="6" t="s">
        <v>615</v>
      </c>
      <c r="B1071" s="6" t="s">
        <v>488</v>
      </c>
      <c r="C1071" s="7">
        <v>214174</v>
      </c>
      <c r="D1071" s="9" t="s">
        <v>16</v>
      </c>
      <c r="E1071" s="8"/>
    </row>
    <row r="1072" spans="1:5" ht="12.75" customHeight="1" x14ac:dyDescent="0.2">
      <c r="A1072" s="6" t="s">
        <v>616</v>
      </c>
      <c r="B1072" s="6" t="s">
        <v>6</v>
      </c>
      <c r="C1072" s="7">
        <v>214181</v>
      </c>
      <c r="D1072" s="9" t="s">
        <v>16</v>
      </c>
      <c r="E1072" s="8"/>
    </row>
    <row r="1073" spans="1:5" ht="12.75" customHeight="1" x14ac:dyDescent="0.2">
      <c r="A1073" s="6" t="s">
        <v>519</v>
      </c>
      <c r="B1073" s="6" t="s">
        <v>6</v>
      </c>
      <c r="C1073" s="7">
        <v>214189</v>
      </c>
      <c r="D1073" s="9" t="s">
        <v>16</v>
      </c>
      <c r="E1073" s="8"/>
    </row>
    <row r="1074" spans="1:5" ht="12.75" customHeight="1" x14ac:dyDescent="0.2">
      <c r="A1074" s="6" t="s">
        <v>617</v>
      </c>
      <c r="B1074" s="6" t="s">
        <v>15</v>
      </c>
      <c r="C1074" s="7">
        <v>214195</v>
      </c>
      <c r="D1074" s="9" t="s">
        <v>16</v>
      </c>
      <c r="E1074" s="8"/>
    </row>
    <row r="1075" spans="1:5" ht="12.75" customHeight="1" x14ac:dyDescent="0.2">
      <c r="A1075" s="6" t="s">
        <v>618</v>
      </c>
      <c r="B1075" s="6" t="s">
        <v>353</v>
      </c>
      <c r="C1075" s="7">
        <v>214225</v>
      </c>
      <c r="D1075" s="9" t="s">
        <v>16</v>
      </c>
      <c r="E1075" s="8"/>
    </row>
    <row r="1076" spans="1:5" ht="12.75" customHeight="1" x14ac:dyDescent="0.2">
      <c r="A1076" s="6" t="s">
        <v>619</v>
      </c>
      <c r="B1076" s="6" t="s">
        <v>15</v>
      </c>
      <c r="C1076" s="7">
        <v>214228</v>
      </c>
      <c r="D1076" s="9" t="s">
        <v>16</v>
      </c>
      <c r="E1076" s="8"/>
    </row>
    <row r="1077" spans="1:5" ht="12.75" customHeight="1" x14ac:dyDescent="0.2">
      <c r="A1077" s="6" t="s">
        <v>620</v>
      </c>
      <c r="B1077" s="6" t="s">
        <v>353</v>
      </c>
      <c r="C1077" s="7">
        <v>214229</v>
      </c>
      <c r="D1077" s="9" t="s">
        <v>7</v>
      </c>
      <c r="E1077" s="8"/>
    </row>
    <row r="1078" spans="1:5" ht="12.75" customHeight="1" x14ac:dyDescent="0.2">
      <c r="A1078" s="6" t="s">
        <v>621</v>
      </c>
      <c r="B1078" s="6" t="s">
        <v>353</v>
      </c>
      <c r="C1078" s="7">
        <v>214243</v>
      </c>
      <c r="D1078" s="9" t="s">
        <v>16</v>
      </c>
      <c r="E1078" s="8"/>
    </row>
    <row r="1079" spans="1:5" ht="12.75" customHeight="1" x14ac:dyDescent="0.2">
      <c r="A1079" s="6" t="s">
        <v>622</v>
      </c>
      <c r="B1079" s="6" t="s">
        <v>479</v>
      </c>
      <c r="C1079" s="7">
        <v>214245</v>
      </c>
      <c r="D1079" s="9" t="s">
        <v>16</v>
      </c>
      <c r="E1079" s="8"/>
    </row>
    <row r="1080" spans="1:5" ht="12.75" customHeight="1" x14ac:dyDescent="0.2">
      <c r="A1080" s="6" t="s">
        <v>622</v>
      </c>
      <c r="B1080" s="6" t="s">
        <v>6</v>
      </c>
      <c r="C1080" s="7">
        <v>214246</v>
      </c>
      <c r="D1080" s="9" t="s">
        <v>16</v>
      </c>
      <c r="E1080" s="8"/>
    </row>
    <row r="1081" spans="1:5" ht="12.75" customHeight="1" x14ac:dyDescent="0.2">
      <c r="A1081" s="6" t="s">
        <v>623</v>
      </c>
      <c r="B1081" s="6" t="s">
        <v>353</v>
      </c>
      <c r="C1081" s="7">
        <v>214247</v>
      </c>
      <c r="D1081" s="9" t="s">
        <v>16</v>
      </c>
      <c r="E1081" s="8"/>
    </row>
    <row r="1082" spans="1:5" ht="12.75" customHeight="1" x14ac:dyDescent="0.2">
      <c r="A1082" s="6" t="s">
        <v>624</v>
      </c>
      <c r="B1082" s="6" t="s">
        <v>353</v>
      </c>
      <c r="C1082" s="7">
        <v>214263</v>
      </c>
      <c r="D1082" s="9" t="s">
        <v>16</v>
      </c>
      <c r="E1082" s="8"/>
    </row>
    <row r="1083" spans="1:5" ht="12.75" customHeight="1" x14ac:dyDescent="0.2">
      <c r="A1083" s="6" t="s">
        <v>625</v>
      </c>
      <c r="B1083" s="6" t="s">
        <v>353</v>
      </c>
      <c r="C1083" s="7">
        <v>214264</v>
      </c>
      <c r="D1083" s="9" t="s">
        <v>16</v>
      </c>
      <c r="E1083" s="8"/>
    </row>
    <row r="1084" spans="1:5" ht="12.75" customHeight="1" x14ac:dyDescent="0.2">
      <c r="A1084" s="6" t="s">
        <v>500</v>
      </c>
      <c r="B1084" s="6" t="s">
        <v>353</v>
      </c>
      <c r="C1084" s="7">
        <v>214297</v>
      </c>
      <c r="D1084" s="9" t="s">
        <v>16</v>
      </c>
      <c r="E1084" s="8"/>
    </row>
    <row r="1085" spans="1:5" ht="12.75" customHeight="1" x14ac:dyDescent="0.2">
      <c r="A1085" s="6" t="s">
        <v>626</v>
      </c>
      <c r="B1085" s="6" t="s">
        <v>353</v>
      </c>
      <c r="C1085" s="7">
        <v>214334</v>
      </c>
      <c r="D1085" s="9" t="s">
        <v>16</v>
      </c>
      <c r="E1085" s="8"/>
    </row>
    <row r="1086" spans="1:5" ht="12.75" customHeight="1" x14ac:dyDescent="0.2">
      <c r="A1086" s="6" t="s">
        <v>627</v>
      </c>
      <c r="B1086" s="6" t="s">
        <v>488</v>
      </c>
      <c r="C1086" s="7">
        <v>215734</v>
      </c>
      <c r="D1086" s="9" t="s">
        <v>16</v>
      </c>
      <c r="E1086" s="8"/>
    </row>
    <row r="1087" spans="1:5" ht="12.75" customHeight="1" x14ac:dyDescent="0.2">
      <c r="A1087" s="6" t="s">
        <v>628</v>
      </c>
      <c r="B1087" s="6" t="s">
        <v>488</v>
      </c>
      <c r="C1087" s="7">
        <v>215735</v>
      </c>
      <c r="D1087" s="9" t="s">
        <v>16</v>
      </c>
      <c r="E1087" s="8"/>
    </row>
    <row r="1088" spans="1:5" ht="12.75" customHeight="1" x14ac:dyDescent="0.2">
      <c r="A1088" s="6" t="s">
        <v>629</v>
      </c>
      <c r="B1088" s="6" t="s">
        <v>15</v>
      </c>
      <c r="C1088" s="7">
        <v>215817</v>
      </c>
      <c r="D1088" s="9" t="s">
        <v>16</v>
      </c>
      <c r="E1088" s="8"/>
    </row>
    <row r="1089" spans="1:5" ht="12.75" customHeight="1" x14ac:dyDescent="0.2">
      <c r="A1089" s="6" t="s">
        <v>630</v>
      </c>
      <c r="B1089" s="6" t="s">
        <v>136</v>
      </c>
      <c r="C1089" s="7">
        <v>215818</v>
      </c>
      <c r="D1089" s="9" t="s">
        <v>7</v>
      </c>
      <c r="E1089" s="8"/>
    </row>
    <row r="1090" spans="1:5" ht="12.75" customHeight="1" x14ac:dyDescent="0.2">
      <c r="A1090" s="6" t="s">
        <v>630</v>
      </c>
      <c r="B1090" s="6" t="s">
        <v>6</v>
      </c>
      <c r="C1090" s="7">
        <v>215819</v>
      </c>
      <c r="D1090" s="9" t="s">
        <v>7</v>
      </c>
      <c r="E1090" s="8"/>
    </row>
    <row r="1091" spans="1:5" ht="12.75" customHeight="1" x14ac:dyDescent="0.2">
      <c r="A1091" s="6" t="s">
        <v>631</v>
      </c>
      <c r="B1091" s="6" t="s">
        <v>32</v>
      </c>
      <c r="C1091" s="7">
        <v>215820</v>
      </c>
      <c r="D1091" s="9" t="s">
        <v>16</v>
      </c>
      <c r="E1091" s="8"/>
    </row>
    <row r="1092" spans="1:5" ht="12.75" customHeight="1" x14ac:dyDescent="0.2">
      <c r="A1092" s="6" t="s">
        <v>632</v>
      </c>
      <c r="B1092" s="6" t="s">
        <v>15</v>
      </c>
      <c r="C1092" s="7">
        <v>215822</v>
      </c>
      <c r="D1092" s="9" t="s">
        <v>16</v>
      </c>
      <c r="E1092" s="8"/>
    </row>
    <row r="1093" spans="1:5" ht="12.75" customHeight="1" x14ac:dyDescent="0.2">
      <c r="A1093" s="6" t="s">
        <v>633</v>
      </c>
      <c r="B1093" s="6" t="s">
        <v>32</v>
      </c>
      <c r="C1093" s="7">
        <v>215824</v>
      </c>
      <c r="D1093" s="9" t="s">
        <v>7</v>
      </c>
      <c r="E1093" s="8"/>
    </row>
    <row r="1094" spans="1:5" ht="12.75" customHeight="1" x14ac:dyDescent="0.2">
      <c r="A1094" s="6" t="s">
        <v>630</v>
      </c>
      <c r="B1094" s="6" t="s">
        <v>32</v>
      </c>
      <c r="C1094" s="7">
        <v>215825</v>
      </c>
      <c r="D1094" s="9" t="s">
        <v>7</v>
      </c>
      <c r="E1094" s="8"/>
    </row>
    <row r="1095" spans="1:5" ht="12.75" customHeight="1" x14ac:dyDescent="0.2">
      <c r="A1095" s="6" t="s">
        <v>632</v>
      </c>
      <c r="B1095" s="6" t="s">
        <v>6</v>
      </c>
      <c r="C1095" s="7">
        <v>215826</v>
      </c>
      <c r="D1095" s="9" t="s">
        <v>16</v>
      </c>
      <c r="E1095" s="8"/>
    </row>
    <row r="1096" spans="1:5" ht="12.75" customHeight="1" x14ac:dyDescent="0.2">
      <c r="A1096" s="6" t="s">
        <v>629</v>
      </c>
      <c r="B1096" s="6" t="s">
        <v>461</v>
      </c>
      <c r="C1096" s="7">
        <v>215827</v>
      </c>
      <c r="D1096" s="9" t="s">
        <v>16</v>
      </c>
      <c r="E1096" s="8"/>
    </row>
    <row r="1097" spans="1:5" ht="12.75" customHeight="1" x14ac:dyDescent="0.2">
      <c r="A1097" s="6" t="s">
        <v>632</v>
      </c>
      <c r="B1097" s="6" t="s">
        <v>32</v>
      </c>
      <c r="C1097" s="7">
        <v>215828</v>
      </c>
      <c r="D1097" s="9" t="s">
        <v>16</v>
      </c>
      <c r="E1097" s="8"/>
    </row>
    <row r="1098" spans="1:5" ht="12.75" customHeight="1" x14ac:dyDescent="0.2">
      <c r="A1098" s="6" t="s">
        <v>631</v>
      </c>
      <c r="B1098" s="6" t="s">
        <v>15</v>
      </c>
      <c r="C1098" s="7">
        <v>215829</v>
      </c>
      <c r="D1098" s="9" t="s">
        <v>16</v>
      </c>
      <c r="E1098" s="8"/>
    </row>
    <row r="1099" spans="1:5" ht="12.75" customHeight="1" x14ac:dyDescent="0.2">
      <c r="A1099" s="6" t="s">
        <v>630</v>
      </c>
      <c r="B1099" s="6" t="s">
        <v>15</v>
      </c>
      <c r="C1099" s="7">
        <v>215833</v>
      </c>
      <c r="D1099" s="9" t="s">
        <v>7</v>
      </c>
      <c r="E1099" s="8"/>
    </row>
    <row r="1100" spans="1:5" ht="12.75" customHeight="1" x14ac:dyDescent="0.2">
      <c r="A1100" s="6" t="s">
        <v>629</v>
      </c>
      <c r="B1100" s="6" t="s">
        <v>488</v>
      </c>
      <c r="C1100" s="7">
        <v>215834</v>
      </c>
      <c r="D1100" s="9" t="s">
        <v>16</v>
      </c>
      <c r="E1100" s="8"/>
    </row>
    <row r="1101" spans="1:5" ht="12.75" customHeight="1" x14ac:dyDescent="0.2">
      <c r="A1101" s="6" t="s">
        <v>630</v>
      </c>
      <c r="B1101" s="6" t="s">
        <v>353</v>
      </c>
      <c r="C1101" s="7">
        <v>215835</v>
      </c>
      <c r="D1101" s="9" t="s">
        <v>7</v>
      </c>
      <c r="E1101" s="8"/>
    </row>
    <row r="1102" spans="1:5" ht="12.75" customHeight="1" x14ac:dyDescent="0.2">
      <c r="A1102" s="6" t="s">
        <v>634</v>
      </c>
      <c r="B1102" s="6" t="s">
        <v>32</v>
      </c>
      <c r="C1102" s="7">
        <v>215837</v>
      </c>
      <c r="D1102" s="9" t="s">
        <v>7</v>
      </c>
      <c r="E1102" s="8"/>
    </row>
    <row r="1103" spans="1:5" ht="12.75" customHeight="1" x14ac:dyDescent="0.2">
      <c r="A1103" s="6" t="s">
        <v>635</v>
      </c>
      <c r="B1103" s="6" t="s">
        <v>15</v>
      </c>
      <c r="C1103" s="7">
        <v>215865</v>
      </c>
      <c r="D1103" s="9" t="s">
        <v>16</v>
      </c>
      <c r="E1103" s="8"/>
    </row>
    <row r="1104" spans="1:5" ht="12.75" customHeight="1" x14ac:dyDescent="0.2">
      <c r="A1104" s="6" t="s">
        <v>636</v>
      </c>
      <c r="B1104" s="6" t="s">
        <v>488</v>
      </c>
      <c r="C1104" s="7">
        <v>216184</v>
      </c>
      <c r="D1104" s="9" t="s">
        <v>16</v>
      </c>
      <c r="E1104" s="8"/>
    </row>
    <row r="1105" spans="1:5" ht="12.75" customHeight="1" x14ac:dyDescent="0.2">
      <c r="A1105" s="6" t="s">
        <v>637</v>
      </c>
      <c r="B1105" s="6" t="s">
        <v>488</v>
      </c>
      <c r="C1105" s="7">
        <v>216186</v>
      </c>
      <c r="D1105" s="9" t="s">
        <v>16</v>
      </c>
      <c r="E1105" s="8"/>
    </row>
    <row r="1106" spans="1:5" ht="12.75" customHeight="1" x14ac:dyDescent="0.2">
      <c r="A1106" s="6" t="s">
        <v>637</v>
      </c>
      <c r="B1106" s="6" t="s">
        <v>353</v>
      </c>
      <c r="C1106" s="7">
        <v>216187</v>
      </c>
      <c r="D1106" s="9" t="s">
        <v>16</v>
      </c>
      <c r="E1106" s="8"/>
    </row>
    <row r="1107" spans="1:5" ht="12.75" customHeight="1" x14ac:dyDescent="0.2">
      <c r="A1107" s="6" t="s">
        <v>619</v>
      </c>
      <c r="B1107" s="6" t="s">
        <v>353</v>
      </c>
      <c r="C1107" s="7">
        <v>216189</v>
      </c>
      <c r="D1107" s="9" t="s">
        <v>16</v>
      </c>
      <c r="E1107" s="8"/>
    </row>
    <row r="1108" spans="1:5" ht="12.75" customHeight="1" x14ac:dyDescent="0.2">
      <c r="A1108" s="6" t="s">
        <v>638</v>
      </c>
      <c r="B1108" s="6" t="s">
        <v>353</v>
      </c>
      <c r="C1108" s="7">
        <v>216242</v>
      </c>
      <c r="D1108" s="9" t="s">
        <v>16</v>
      </c>
      <c r="E1108" s="8"/>
    </row>
    <row r="1109" spans="1:5" ht="12.75" customHeight="1" x14ac:dyDescent="0.2">
      <c r="A1109" s="6" t="s">
        <v>614</v>
      </c>
      <c r="B1109" s="6" t="s">
        <v>488</v>
      </c>
      <c r="C1109" s="7">
        <v>216250</v>
      </c>
      <c r="D1109" s="9" t="s">
        <v>16</v>
      </c>
      <c r="E1109" s="8"/>
    </row>
    <row r="1110" spans="1:5" ht="12.75" customHeight="1" x14ac:dyDescent="0.2">
      <c r="A1110" s="6" t="s">
        <v>614</v>
      </c>
      <c r="B1110" s="6" t="s">
        <v>353</v>
      </c>
      <c r="C1110" s="7">
        <v>216251</v>
      </c>
      <c r="D1110" s="9" t="s">
        <v>16</v>
      </c>
      <c r="E1110" s="8"/>
    </row>
    <row r="1111" spans="1:5" ht="12.75" customHeight="1" x14ac:dyDescent="0.2">
      <c r="A1111" s="6" t="s">
        <v>639</v>
      </c>
      <c r="B1111" s="6" t="s">
        <v>15</v>
      </c>
      <c r="C1111" s="7">
        <v>217710</v>
      </c>
      <c r="D1111" s="9" t="s">
        <v>16</v>
      </c>
      <c r="E1111" s="8"/>
    </row>
    <row r="1112" spans="1:5" ht="12.75" customHeight="1" x14ac:dyDescent="0.2">
      <c r="A1112" s="6" t="s">
        <v>639</v>
      </c>
      <c r="B1112" s="6" t="s">
        <v>6</v>
      </c>
      <c r="C1112" s="7">
        <v>217711</v>
      </c>
      <c r="D1112" s="9" t="s">
        <v>16</v>
      </c>
      <c r="E1112" s="8"/>
    </row>
    <row r="1113" spans="1:5" ht="12.75" customHeight="1" x14ac:dyDescent="0.2">
      <c r="A1113" s="6" t="s">
        <v>640</v>
      </c>
      <c r="B1113" s="6" t="s">
        <v>6</v>
      </c>
      <c r="C1113" s="7">
        <v>218536</v>
      </c>
      <c r="D1113" s="9" t="s">
        <v>16</v>
      </c>
      <c r="E1113" s="8"/>
    </row>
    <row r="1114" spans="1:5" ht="12.75" customHeight="1" x14ac:dyDescent="0.2">
      <c r="A1114" s="6" t="s">
        <v>641</v>
      </c>
      <c r="B1114" s="6" t="s">
        <v>488</v>
      </c>
      <c r="C1114" s="7">
        <v>221345</v>
      </c>
      <c r="D1114" s="9" t="s">
        <v>16</v>
      </c>
      <c r="E1114" s="8"/>
    </row>
    <row r="1115" spans="1:5" ht="12.75" customHeight="1" x14ac:dyDescent="0.2">
      <c r="A1115" s="6" t="s">
        <v>447</v>
      </c>
      <c r="B1115" s="6" t="s">
        <v>32</v>
      </c>
      <c r="C1115" s="7">
        <v>222301</v>
      </c>
      <c r="D1115" s="9" t="s">
        <v>16</v>
      </c>
      <c r="E1115" s="8"/>
    </row>
    <row r="1116" spans="1:5" ht="12.75" customHeight="1" x14ac:dyDescent="0.2">
      <c r="A1116" s="6" t="s">
        <v>642</v>
      </c>
      <c r="B1116" s="6" t="s">
        <v>6</v>
      </c>
      <c r="C1116" s="7">
        <v>223502</v>
      </c>
      <c r="D1116" s="9" t="s">
        <v>7</v>
      </c>
      <c r="E1116" s="8"/>
    </row>
    <row r="1117" spans="1:5" ht="12.75" customHeight="1" x14ac:dyDescent="0.2">
      <c r="A1117" s="6" t="s">
        <v>642</v>
      </c>
      <c r="B1117" s="6" t="s">
        <v>32</v>
      </c>
      <c r="C1117" s="7">
        <v>223503</v>
      </c>
      <c r="D1117" s="9" t="s">
        <v>7</v>
      </c>
      <c r="E1117" s="8"/>
    </row>
    <row r="1118" spans="1:5" ht="12.75" customHeight="1" x14ac:dyDescent="0.2">
      <c r="A1118" s="6" t="s">
        <v>642</v>
      </c>
      <c r="B1118" s="6" t="s">
        <v>488</v>
      </c>
      <c r="C1118" s="7">
        <v>223519</v>
      </c>
      <c r="D1118" s="9" t="s">
        <v>7</v>
      </c>
      <c r="E1118" s="8"/>
    </row>
    <row r="1119" spans="1:5" ht="12.75" customHeight="1" x14ac:dyDescent="0.2">
      <c r="A1119" s="6" t="s">
        <v>642</v>
      </c>
      <c r="B1119" s="6" t="s">
        <v>353</v>
      </c>
      <c r="C1119" s="7">
        <v>223530</v>
      </c>
      <c r="D1119" s="9" t="s">
        <v>7</v>
      </c>
      <c r="E1119" s="8"/>
    </row>
    <row r="1120" spans="1:5" ht="12.75" customHeight="1" x14ac:dyDescent="0.2">
      <c r="A1120" s="6" t="s">
        <v>642</v>
      </c>
      <c r="B1120" s="6" t="s">
        <v>488</v>
      </c>
      <c r="C1120" s="7">
        <v>223626</v>
      </c>
      <c r="D1120" s="9" t="s">
        <v>7</v>
      </c>
      <c r="E1120" s="8"/>
    </row>
    <row r="1121" spans="1:5" ht="12.75" customHeight="1" x14ac:dyDescent="0.2">
      <c r="A1121" s="6" t="s">
        <v>642</v>
      </c>
      <c r="B1121" s="6" t="s">
        <v>353</v>
      </c>
      <c r="C1121" s="7">
        <v>223627</v>
      </c>
      <c r="D1121" s="9" t="s">
        <v>7</v>
      </c>
      <c r="E1121" s="8"/>
    </row>
    <row r="1122" spans="1:5" ht="12.75" customHeight="1" x14ac:dyDescent="0.2">
      <c r="A1122" s="6" t="s">
        <v>449</v>
      </c>
      <c r="B1122" s="6" t="s">
        <v>353</v>
      </c>
      <c r="C1122" s="7">
        <v>223651</v>
      </c>
      <c r="D1122" s="9" t="s">
        <v>16</v>
      </c>
      <c r="E1122" s="8"/>
    </row>
    <row r="1123" spans="1:5" ht="12.75" customHeight="1" x14ac:dyDescent="0.2">
      <c r="A1123" s="6" t="s">
        <v>449</v>
      </c>
      <c r="B1123" s="6" t="s">
        <v>136</v>
      </c>
      <c r="C1123" s="7">
        <v>225399</v>
      </c>
      <c r="D1123" s="9" t="s">
        <v>16</v>
      </c>
      <c r="E1123" s="8"/>
    </row>
    <row r="1124" spans="1:5" ht="12.75" customHeight="1" x14ac:dyDescent="0.2">
      <c r="A1124" s="6" t="s">
        <v>35</v>
      </c>
      <c r="B1124" s="6" t="s">
        <v>32</v>
      </c>
      <c r="C1124" s="7">
        <v>10030901</v>
      </c>
      <c r="D1124" s="9" t="s">
        <v>16</v>
      </c>
      <c r="E1124" s="8"/>
    </row>
    <row r="1125" spans="1:5" ht="12.75" customHeight="1" x14ac:dyDescent="0.2">
      <c r="A1125" s="6" t="s">
        <v>35</v>
      </c>
      <c r="B1125" s="6" t="s">
        <v>15</v>
      </c>
      <c r="C1125" s="7">
        <v>10031101</v>
      </c>
      <c r="D1125" s="9" t="s">
        <v>16</v>
      </c>
      <c r="E1125" s="8"/>
    </row>
    <row r="1126" spans="1:5" ht="12.75" customHeight="1" x14ac:dyDescent="0.2">
      <c r="A1126" s="6" t="s">
        <v>36</v>
      </c>
      <c r="B1126" s="6" t="s">
        <v>32</v>
      </c>
      <c r="C1126" s="7">
        <v>10040901</v>
      </c>
      <c r="D1126" s="9" t="s">
        <v>16</v>
      </c>
      <c r="E1126" s="8"/>
    </row>
    <row r="1127" spans="1:5" ht="12.75" customHeight="1" x14ac:dyDescent="0.2">
      <c r="A1127" s="6" t="s">
        <v>36</v>
      </c>
      <c r="B1127" s="6" t="s">
        <v>15</v>
      </c>
      <c r="C1127" s="7">
        <v>10041101</v>
      </c>
      <c r="D1127" s="9" t="s">
        <v>16</v>
      </c>
      <c r="E1127" s="8"/>
    </row>
    <row r="1128" spans="1:5" ht="12.75" customHeight="1" x14ac:dyDescent="0.2">
      <c r="A1128" s="6" t="s">
        <v>643</v>
      </c>
      <c r="B1128" s="6" t="s">
        <v>32</v>
      </c>
      <c r="C1128" s="7">
        <v>10080901</v>
      </c>
      <c r="D1128" s="9" t="s">
        <v>16</v>
      </c>
      <c r="E1128" s="8"/>
    </row>
    <row r="1129" spans="1:5" ht="12.75" customHeight="1" x14ac:dyDescent="0.2">
      <c r="A1129" s="6" t="s">
        <v>643</v>
      </c>
      <c r="B1129" s="6" t="s">
        <v>15</v>
      </c>
      <c r="C1129" s="7">
        <v>10081101</v>
      </c>
      <c r="D1129" s="9" t="s">
        <v>16</v>
      </c>
      <c r="E1129" s="8"/>
    </row>
    <row r="1130" spans="1:5" ht="12.75" customHeight="1" x14ac:dyDescent="0.2">
      <c r="A1130" s="6" t="s">
        <v>644</v>
      </c>
      <c r="B1130" s="6" t="s">
        <v>136</v>
      </c>
      <c r="C1130" s="7">
        <v>10081201</v>
      </c>
      <c r="D1130" s="9" t="s">
        <v>16</v>
      </c>
      <c r="E1130" s="8"/>
    </row>
    <row r="1131" spans="1:5" ht="12.75" customHeight="1" x14ac:dyDescent="0.2">
      <c r="A1131" s="6" t="s">
        <v>645</v>
      </c>
      <c r="B1131" s="6" t="s">
        <v>32</v>
      </c>
      <c r="C1131" s="7">
        <v>10090901</v>
      </c>
      <c r="D1131" s="9" t="s">
        <v>16</v>
      </c>
      <c r="E1131" s="8"/>
    </row>
    <row r="1132" spans="1:5" ht="12.75" customHeight="1" x14ac:dyDescent="0.2">
      <c r="A1132" s="6" t="s">
        <v>646</v>
      </c>
      <c r="B1132" s="6" t="s">
        <v>15</v>
      </c>
      <c r="C1132" s="7">
        <v>10091101</v>
      </c>
      <c r="D1132" s="9" t="s">
        <v>16</v>
      </c>
      <c r="E1132" s="8"/>
    </row>
    <row r="1133" spans="1:5" ht="12.75" customHeight="1" x14ac:dyDescent="0.2">
      <c r="A1133" s="6" t="s">
        <v>647</v>
      </c>
      <c r="B1133" s="6" t="s">
        <v>136</v>
      </c>
      <c r="C1133" s="7">
        <v>10091201</v>
      </c>
      <c r="D1133" s="9" t="s">
        <v>16</v>
      </c>
      <c r="E1133" s="8"/>
    </row>
    <row r="1134" spans="1:5" ht="12.75" customHeight="1" x14ac:dyDescent="0.2">
      <c r="A1134" s="6" t="s">
        <v>648</v>
      </c>
      <c r="B1134" s="6" t="s">
        <v>32</v>
      </c>
      <c r="C1134" s="7">
        <v>10100901</v>
      </c>
      <c r="D1134" s="9" t="s">
        <v>16</v>
      </c>
      <c r="E1134" s="8"/>
    </row>
    <row r="1135" spans="1:5" ht="12.75" customHeight="1" x14ac:dyDescent="0.2">
      <c r="A1135" s="6" t="s">
        <v>208</v>
      </c>
      <c r="B1135" s="6" t="s">
        <v>15</v>
      </c>
      <c r="C1135" s="7">
        <v>10101101</v>
      </c>
      <c r="D1135" s="9" t="s">
        <v>16</v>
      </c>
      <c r="E1135" s="8"/>
    </row>
    <row r="1136" spans="1:5" ht="12.75" customHeight="1" x14ac:dyDescent="0.2">
      <c r="A1136" s="6" t="s">
        <v>60</v>
      </c>
      <c r="B1136" s="6" t="s">
        <v>32</v>
      </c>
      <c r="C1136" s="7">
        <v>10110901</v>
      </c>
      <c r="D1136" s="9" t="s">
        <v>16</v>
      </c>
      <c r="E1136" s="8"/>
    </row>
    <row r="1137" spans="1:5" ht="12.75" customHeight="1" x14ac:dyDescent="0.2">
      <c r="A1137" s="6" t="s">
        <v>60</v>
      </c>
      <c r="B1137" s="6" t="s">
        <v>15</v>
      </c>
      <c r="C1137" s="7">
        <v>10111101</v>
      </c>
      <c r="D1137" s="9" t="s">
        <v>16</v>
      </c>
      <c r="E1137" s="8"/>
    </row>
    <row r="1138" spans="1:5" ht="12.75" customHeight="1" x14ac:dyDescent="0.2">
      <c r="A1138" s="6" t="s">
        <v>61</v>
      </c>
      <c r="B1138" s="6" t="s">
        <v>32</v>
      </c>
      <c r="C1138" s="7">
        <v>10120901</v>
      </c>
      <c r="D1138" s="9" t="s">
        <v>16</v>
      </c>
      <c r="E1138" s="8"/>
    </row>
    <row r="1139" spans="1:5" ht="12.75" customHeight="1" x14ac:dyDescent="0.2">
      <c r="A1139" s="6" t="s">
        <v>61</v>
      </c>
      <c r="B1139" s="6" t="s">
        <v>15</v>
      </c>
      <c r="C1139" s="7">
        <v>10121101</v>
      </c>
      <c r="D1139" s="9" t="s">
        <v>16</v>
      </c>
      <c r="E1139" s="8"/>
    </row>
    <row r="1140" spans="1:5" ht="12.75" customHeight="1" x14ac:dyDescent="0.2">
      <c r="A1140" s="6" t="s">
        <v>61</v>
      </c>
      <c r="B1140" s="6" t="s">
        <v>136</v>
      </c>
      <c r="C1140" s="7">
        <v>10121201</v>
      </c>
      <c r="D1140" s="9" t="s">
        <v>16</v>
      </c>
      <c r="E1140" s="8"/>
    </row>
    <row r="1141" spans="1:5" ht="12.75" customHeight="1" x14ac:dyDescent="0.2">
      <c r="A1141" s="6" t="s">
        <v>649</v>
      </c>
      <c r="B1141" s="6" t="s">
        <v>32</v>
      </c>
      <c r="C1141" s="7">
        <v>10260901</v>
      </c>
      <c r="D1141" s="9" t="s">
        <v>16</v>
      </c>
      <c r="E1141" s="8"/>
    </row>
    <row r="1142" spans="1:5" ht="12.75" customHeight="1" x14ac:dyDescent="0.2">
      <c r="A1142" s="6" t="s">
        <v>649</v>
      </c>
      <c r="B1142" s="6" t="s">
        <v>15</v>
      </c>
      <c r="C1142" s="7">
        <v>10261101</v>
      </c>
      <c r="D1142" s="9" t="s">
        <v>16</v>
      </c>
      <c r="E1142" s="8"/>
    </row>
    <row r="1143" spans="1:5" ht="12.75" customHeight="1" x14ac:dyDescent="0.2">
      <c r="A1143" s="6" t="s">
        <v>137</v>
      </c>
      <c r="B1143" s="6" t="s">
        <v>32</v>
      </c>
      <c r="C1143" s="7">
        <v>10270901</v>
      </c>
      <c r="D1143" s="9" t="s">
        <v>16</v>
      </c>
      <c r="E1143" s="8"/>
    </row>
    <row r="1144" spans="1:5" ht="12.75" customHeight="1" x14ac:dyDescent="0.2">
      <c r="A1144" s="6" t="s">
        <v>137</v>
      </c>
      <c r="B1144" s="6" t="s">
        <v>32</v>
      </c>
      <c r="C1144" s="7">
        <v>113430</v>
      </c>
      <c r="D1144" s="9" t="s">
        <v>16</v>
      </c>
      <c r="E1144" s="8"/>
    </row>
    <row r="1145" spans="1:5" ht="12.75" customHeight="1" x14ac:dyDescent="0.2">
      <c r="A1145" s="6" t="s">
        <v>137</v>
      </c>
      <c r="B1145" s="6" t="s">
        <v>15</v>
      </c>
      <c r="C1145" s="7">
        <v>10271101</v>
      </c>
      <c r="D1145" s="9" t="s">
        <v>16</v>
      </c>
      <c r="E1145" s="8"/>
    </row>
    <row r="1146" spans="1:5" ht="12.75" customHeight="1" x14ac:dyDescent="0.2">
      <c r="A1146" s="6" t="s">
        <v>137</v>
      </c>
      <c r="B1146" s="6" t="s">
        <v>15</v>
      </c>
      <c r="C1146" s="7">
        <v>113452</v>
      </c>
      <c r="D1146" s="9" t="s">
        <v>16</v>
      </c>
      <c r="E1146" s="8"/>
    </row>
    <row r="1147" spans="1:5" ht="12.75" customHeight="1" x14ac:dyDescent="0.2">
      <c r="A1147" s="6" t="s">
        <v>137</v>
      </c>
      <c r="B1147" s="6" t="s">
        <v>136</v>
      </c>
      <c r="C1147" s="7">
        <v>10271201</v>
      </c>
      <c r="D1147" s="9" t="s">
        <v>16</v>
      </c>
      <c r="E1147" s="8"/>
    </row>
    <row r="1148" spans="1:5" ht="12.75" customHeight="1" x14ac:dyDescent="0.2">
      <c r="A1148" s="6" t="s">
        <v>650</v>
      </c>
      <c r="B1148" s="6" t="s">
        <v>32</v>
      </c>
      <c r="C1148" s="7">
        <v>10460901</v>
      </c>
      <c r="D1148" s="9" t="s">
        <v>16</v>
      </c>
      <c r="E1148" s="8"/>
    </row>
    <row r="1149" spans="1:5" ht="12.75" customHeight="1" x14ac:dyDescent="0.2">
      <c r="A1149" s="6" t="s">
        <v>72</v>
      </c>
      <c r="B1149" s="6" t="s">
        <v>15</v>
      </c>
      <c r="C1149" s="7">
        <v>10461101</v>
      </c>
      <c r="D1149" s="9" t="s">
        <v>16</v>
      </c>
      <c r="E1149" s="8"/>
    </row>
    <row r="1150" spans="1:5" ht="12.75" customHeight="1" x14ac:dyDescent="0.2">
      <c r="A1150" s="6" t="s">
        <v>651</v>
      </c>
      <c r="B1150" s="6" t="s">
        <v>32</v>
      </c>
      <c r="C1150" s="7">
        <v>10520901</v>
      </c>
      <c r="D1150" s="9" t="s">
        <v>16</v>
      </c>
      <c r="E1150" s="8"/>
    </row>
    <row r="1151" spans="1:5" ht="12.75" customHeight="1" x14ac:dyDescent="0.2">
      <c r="A1151" s="6" t="s">
        <v>652</v>
      </c>
      <c r="B1151" s="6" t="s">
        <v>15</v>
      </c>
      <c r="C1151" s="7">
        <v>10521101</v>
      </c>
      <c r="D1151" s="9" t="s">
        <v>16</v>
      </c>
      <c r="E1151" s="8"/>
    </row>
    <row r="1152" spans="1:5" ht="12.75" customHeight="1" x14ac:dyDescent="0.2">
      <c r="A1152" s="6" t="s">
        <v>653</v>
      </c>
      <c r="B1152" s="6" t="s">
        <v>32</v>
      </c>
      <c r="C1152" s="7">
        <v>10550901</v>
      </c>
      <c r="D1152" s="9" t="s">
        <v>16</v>
      </c>
      <c r="E1152" s="8"/>
    </row>
    <row r="1153" spans="1:5" ht="12.75" customHeight="1" x14ac:dyDescent="0.2">
      <c r="A1153" s="6" t="s">
        <v>62</v>
      </c>
      <c r="B1153" s="6" t="s">
        <v>15</v>
      </c>
      <c r="C1153" s="7">
        <v>10551101</v>
      </c>
      <c r="D1153" s="9" t="s">
        <v>16</v>
      </c>
      <c r="E1153" s="8"/>
    </row>
    <row r="1154" spans="1:5" ht="12.75" customHeight="1" x14ac:dyDescent="0.2">
      <c r="A1154" s="6" t="s">
        <v>654</v>
      </c>
      <c r="B1154" s="6" t="s">
        <v>32</v>
      </c>
      <c r="C1154" s="7">
        <v>10780901</v>
      </c>
      <c r="D1154" s="9" t="s">
        <v>16</v>
      </c>
      <c r="E1154" s="8"/>
    </row>
    <row r="1155" spans="1:5" ht="12.75" customHeight="1" x14ac:dyDescent="0.2">
      <c r="A1155" s="6" t="s">
        <v>654</v>
      </c>
      <c r="B1155" s="6" t="s">
        <v>15</v>
      </c>
      <c r="C1155" s="7">
        <v>10781101</v>
      </c>
      <c r="D1155" s="9" t="s">
        <v>16</v>
      </c>
      <c r="E1155" s="8"/>
    </row>
    <row r="1156" spans="1:5" ht="12.75" customHeight="1" x14ac:dyDescent="0.2">
      <c r="A1156" s="6" t="s">
        <v>197</v>
      </c>
      <c r="B1156" s="6" t="s">
        <v>32</v>
      </c>
      <c r="C1156" s="7">
        <v>10470901</v>
      </c>
      <c r="D1156" s="9" t="s">
        <v>16</v>
      </c>
      <c r="E1156" s="8"/>
    </row>
    <row r="1157" spans="1:5" ht="12.75" customHeight="1" x14ac:dyDescent="0.2">
      <c r="A1157" s="6" t="s">
        <v>36</v>
      </c>
      <c r="B1157" s="6" t="s">
        <v>15</v>
      </c>
      <c r="C1157" s="7" t="s">
        <v>655</v>
      </c>
      <c r="D1157" s="9" t="s">
        <v>16</v>
      </c>
      <c r="E1157" s="8"/>
    </row>
    <row r="1158" spans="1:5" ht="12.75" customHeight="1" x14ac:dyDescent="0.2">
      <c r="A1158" s="6" t="s">
        <v>36</v>
      </c>
      <c r="B1158" s="6" t="s">
        <v>32</v>
      </c>
      <c r="C1158" s="7" t="s">
        <v>656</v>
      </c>
      <c r="D1158" s="9" t="s">
        <v>16</v>
      </c>
      <c r="E1158" s="8"/>
    </row>
    <row r="1159" spans="1:5" ht="12.75" customHeight="1" x14ac:dyDescent="0.2">
      <c r="A1159" s="6" t="s">
        <v>37</v>
      </c>
      <c r="B1159" s="6" t="s">
        <v>15</v>
      </c>
      <c r="C1159" s="7" t="s">
        <v>657</v>
      </c>
      <c r="D1159" s="9" t="s">
        <v>16</v>
      </c>
      <c r="E1159" s="8"/>
    </row>
    <row r="1160" spans="1:5" ht="12.75" customHeight="1" x14ac:dyDescent="0.2">
      <c r="A1160" s="6" t="s">
        <v>37</v>
      </c>
      <c r="B1160" s="6" t="s">
        <v>32</v>
      </c>
      <c r="C1160" s="7" t="s">
        <v>658</v>
      </c>
      <c r="D1160" s="9" t="s">
        <v>16</v>
      </c>
      <c r="E1160" s="8"/>
    </row>
    <row r="1161" spans="1:5" ht="12.75" customHeight="1" x14ac:dyDescent="0.2">
      <c r="A1161" s="6" t="s">
        <v>38</v>
      </c>
      <c r="B1161" s="6" t="s">
        <v>15</v>
      </c>
      <c r="C1161" s="7" t="s">
        <v>659</v>
      </c>
      <c r="D1161" s="9" t="s">
        <v>16</v>
      </c>
      <c r="E1161" s="8"/>
    </row>
    <row r="1162" spans="1:5" ht="12.75" customHeight="1" x14ac:dyDescent="0.2">
      <c r="A1162" s="6" t="s">
        <v>39</v>
      </c>
      <c r="B1162" s="6" t="s">
        <v>15</v>
      </c>
      <c r="C1162" s="7" t="s">
        <v>660</v>
      </c>
      <c r="D1162" s="9" t="s">
        <v>16</v>
      </c>
      <c r="E1162" s="8"/>
    </row>
    <row r="1163" spans="1:5" ht="12.75" customHeight="1" x14ac:dyDescent="0.2">
      <c r="A1163" s="6" t="s">
        <v>40</v>
      </c>
      <c r="B1163" s="6" t="s">
        <v>15</v>
      </c>
      <c r="C1163" s="7" t="s">
        <v>661</v>
      </c>
      <c r="D1163" s="9" t="s">
        <v>16</v>
      </c>
      <c r="E1163" s="8"/>
    </row>
    <row r="1164" spans="1:5" ht="12.75" customHeight="1" x14ac:dyDescent="0.2">
      <c r="A1164" s="6" t="s">
        <v>40</v>
      </c>
      <c r="B1164" s="6" t="s">
        <v>32</v>
      </c>
      <c r="C1164" s="7" t="s">
        <v>662</v>
      </c>
      <c r="D1164" s="9" t="s">
        <v>16</v>
      </c>
      <c r="E1164" s="8"/>
    </row>
    <row r="1165" spans="1:5" ht="12.75" customHeight="1" x14ac:dyDescent="0.2">
      <c r="A1165" s="6" t="s">
        <v>41</v>
      </c>
      <c r="B1165" s="6" t="s">
        <v>15</v>
      </c>
      <c r="C1165" s="7" t="s">
        <v>663</v>
      </c>
      <c r="D1165" s="9" t="s">
        <v>16</v>
      </c>
      <c r="E1165" s="8"/>
    </row>
    <row r="1166" spans="1:5" ht="12.75" customHeight="1" x14ac:dyDescent="0.2">
      <c r="A1166" s="6" t="s">
        <v>41</v>
      </c>
      <c r="B1166" s="6" t="s">
        <v>32</v>
      </c>
      <c r="C1166" s="7" t="s">
        <v>664</v>
      </c>
      <c r="D1166" s="9" t="s">
        <v>16</v>
      </c>
      <c r="E1166" s="8"/>
    </row>
    <row r="1167" spans="1:5" ht="12.75" customHeight="1" x14ac:dyDescent="0.2">
      <c r="A1167" s="6" t="s">
        <v>646</v>
      </c>
      <c r="B1167" s="6" t="s">
        <v>15</v>
      </c>
      <c r="C1167" s="7" t="s">
        <v>665</v>
      </c>
      <c r="D1167" s="9" t="s">
        <v>16</v>
      </c>
      <c r="E1167" s="8"/>
    </row>
    <row r="1168" spans="1:5" ht="12.75" customHeight="1" x14ac:dyDescent="0.2">
      <c r="A1168" s="6" t="s">
        <v>643</v>
      </c>
      <c r="B1168" s="6" t="s">
        <v>15</v>
      </c>
      <c r="C1168" s="7" t="s">
        <v>666</v>
      </c>
      <c r="D1168" s="9" t="s">
        <v>16</v>
      </c>
      <c r="E1168" s="8"/>
    </row>
    <row r="1169" spans="1:5" ht="12.75" customHeight="1" x14ac:dyDescent="0.2">
      <c r="A1169" s="6" t="s">
        <v>667</v>
      </c>
      <c r="B1169" s="6" t="s">
        <v>15</v>
      </c>
      <c r="C1169" s="7" t="s">
        <v>668</v>
      </c>
      <c r="D1169" s="9" t="s">
        <v>16</v>
      </c>
      <c r="E1169" s="8"/>
    </row>
    <row r="1170" spans="1:5" ht="12.75" customHeight="1" x14ac:dyDescent="0.2">
      <c r="A1170" s="6" t="s">
        <v>210</v>
      </c>
      <c r="B1170" s="6" t="s">
        <v>15</v>
      </c>
      <c r="C1170" s="7" t="s">
        <v>669</v>
      </c>
      <c r="D1170" s="9" t="s">
        <v>16</v>
      </c>
      <c r="E1170" s="8"/>
    </row>
    <row r="1171" spans="1:5" ht="12.75" customHeight="1" x14ac:dyDescent="0.2">
      <c r="A1171" s="6" t="s">
        <v>670</v>
      </c>
      <c r="B1171" s="6" t="s">
        <v>15</v>
      </c>
      <c r="C1171" s="7" t="s">
        <v>671</v>
      </c>
      <c r="D1171" s="9" t="s">
        <v>16</v>
      </c>
      <c r="E1171" s="8"/>
    </row>
    <row r="1172" spans="1:5" ht="12.75" customHeight="1" x14ac:dyDescent="0.2">
      <c r="A1172" s="6" t="s">
        <v>237</v>
      </c>
      <c r="B1172" s="6" t="s">
        <v>15</v>
      </c>
      <c r="C1172" s="7" t="s">
        <v>672</v>
      </c>
      <c r="D1172" s="9" t="s">
        <v>16</v>
      </c>
      <c r="E1172" s="8"/>
    </row>
    <row r="1173" spans="1:5" ht="12.75" customHeight="1" x14ac:dyDescent="0.2">
      <c r="A1173" s="6" t="s">
        <v>244</v>
      </c>
      <c r="B1173" s="6" t="s">
        <v>15</v>
      </c>
      <c r="C1173" s="7" t="s">
        <v>673</v>
      </c>
      <c r="D1173" s="9" t="s">
        <v>16</v>
      </c>
      <c r="E1173" s="8"/>
    </row>
    <row r="1174" spans="1:5" ht="12.75" customHeight="1" x14ac:dyDescent="0.2">
      <c r="A1174" s="6" t="s">
        <v>244</v>
      </c>
      <c r="B1174" s="6" t="s">
        <v>32</v>
      </c>
      <c r="C1174" s="7" t="s">
        <v>674</v>
      </c>
      <c r="D1174" s="9" t="s">
        <v>16</v>
      </c>
      <c r="E1174" s="8"/>
    </row>
    <row r="1175" spans="1:5" ht="12.75" customHeight="1" x14ac:dyDescent="0.2">
      <c r="A1175" s="6" t="s">
        <v>643</v>
      </c>
      <c r="B1175" s="6" t="s">
        <v>136</v>
      </c>
      <c r="C1175" s="7" t="s">
        <v>675</v>
      </c>
      <c r="D1175" s="9" t="s">
        <v>16</v>
      </c>
      <c r="E1175" s="8"/>
    </row>
    <row r="1176" spans="1:5" ht="12.75" customHeight="1" x14ac:dyDescent="0.2">
      <c r="A1176" s="6" t="s">
        <v>676</v>
      </c>
      <c r="B1176" s="6" t="s">
        <v>15</v>
      </c>
      <c r="C1176" s="7" t="s">
        <v>677</v>
      </c>
      <c r="D1176" s="9" t="s">
        <v>16</v>
      </c>
      <c r="E1176" s="8"/>
    </row>
    <row r="1177" spans="1:5" ht="12.75" customHeight="1" x14ac:dyDescent="0.2">
      <c r="A1177" s="6" t="s">
        <v>667</v>
      </c>
      <c r="B1177" s="6" t="s">
        <v>136</v>
      </c>
      <c r="C1177" s="7" t="s">
        <v>678</v>
      </c>
      <c r="D1177" s="9" t="s">
        <v>16</v>
      </c>
      <c r="E1177" s="8"/>
    </row>
    <row r="1178" spans="1:5" ht="12.75" customHeight="1" x14ac:dyDescent="0.2">
      <c r="A1178" s="6" t="s">
        <v>679</v>
      </c>
      <c r="B1178" s="6" t="s">
        <v>15</v>
      </c>
      <c r="C1178" s="7" t="s">
        <v>680</v>
      </c>
      <c r="D1178" s="9" t="s">
        <v>16</v>
      </c>
      <c r="E1178" s="8"/>
    </row>
    <row r="1179" spans="1:5" ht="12.75" customHeight="1" x14ac:dyDescent="0.2">
      <c r="A1179" s="6" t="s">
        <v>681</v>
      </c>
      <c r="B1179" s="6" t="s">
        <v>15</v>
      </c>
      <c r="C1179" s="7" t="s">
        <v>682</v>
      </c>
      <c r="D1179" s="9" t="s">
        <v>16</v>
      </c>
      <c r="E1179" s="8"/>
    </row>
    <row r="1180" spans="1:5" ht="12.75" customHeight="1" x14ac:dyDescent="0.2">
      <c r="A1180" s="6" t="s">
        <v>681</v>
      </c>
      <c r="B1180" s="6" t="s">
        <v>32</v>
      </c>
      <c r="C1180" s="7" t="s">
        <v>683</v>
      </c>
      <c r="D1180" s="9" t="s">
        <v>16</v>
      </c>
      <c r="E1180" s="8"/>
    </row>
    <row r="1181" spans="1:5" ht="12.75" customHeight="1" x14ac:dyDescent="0.2">
      <c r="A1181" s="6" t="s">
        <v>17</v>
      </c>
      <c r="B1181" s="6" t="s">
        <v>18</v>
      </c>
      <c r="C1181" s="7">
        <v>188854</v>
      </c>
      <c r="D1181" s="9" t="s">
        <v>16</v>
      </c>
      <c r="E1181" s="8"/>
    </row>
    <row r="1182" spans="1:5" ht="12.75" customHeight="1" x14ac:dyDescent="0.2">
      <c r="A1182" s="6" t="s">
        <v>17</v>
      </c>
      <c r="B1182" s="6" t="s">
        <v>19</v>
      </c>
      <c r="C1182" s="7">
        <v>188855</v>
      </c>
      <c r="D1182" s="9" t="s">
        <v>16</v>
      </c>
      <c r="E1182" s="8"/>
    </row>
    <row r="1183" spans="1:5" ht="12.75" customHeight="1" x14ac:dyDescent="0.2">
      <c r="A1183" s="6" t="s">
        <v>20</v>
      </c>
      <c r="B1183" s="6" t="s">
        <v>18</v>
      </c>
      <c r="C1183" s="7">
        <v>190717</v>
      </c>
      <c r="D1183" s="9" t="s">
        <v>16</v>
      </c>
      <c r="E1183" s="8"/>
    </row>
    <row r="1184" spans="1:5" ht="12.75" customHeight="1" x14ac:dyDescent="0.2">
      <c r="A1184" s="6" t="s">
        <v>21</v>
      </c>
      <c r="B1184" s="6" t="s">
        <v>18</v>
      </c>
      <c r="C1184" s="7">
        <v>190718</v>
      </c>
      <c r="D1184" s="9" t="s">
        <v>16</v>
      </c>
      <c r="E1184" s="8"/>
    </row>
    <row r="1185" spans="1:5" ht="12.75" customHeight="1" x14ac:dyDescent="0.2">
      <c r="A1185" s="6" t="s">
        <v>21</v>
      </c>
      <c r="B1185" s="6" t="s">
        <v>22</v>
      </c>
      <c r="C1185" s="7">
        <v>196521</v>
      </c>
      <c r="D1185" s="9" t="s">
        <v>16</v>
      </c>
      <c r="E1185" s="8"/>
    </row>
    <row r="1186" spans="1:5" ht="12.75" customHeight="1" x14ac:dyDescent="0.2">
      <c r="A1186" s="6" t="s">
        <v>21</v>
      </c>
      <c r="B1186" s="6" t="s">
        <v>19</v>
      </c>
      <c r="C1186" s="7">
        <v>196522</v>
      </c>
      <c r="D1186" s="9" t="s">
        <v>16</v>
      </c>
      <c r="E1186" s="8"/>
    </row>
    <row r="1187" spans="1:5" ht="12.75" customHeight="1" x14ac:dyDescent="0.2">
      <c r="A1187" s="6" t="s">
        <v>23</v>
      </c>
      <c r="B1187" s="6" t="s">
        <v>19</v>
      </c>
      <c r="C1187" s="7">
        <v>196524</v>
      </c>
      <c r="D1187" s="9" t="s">
        <v>16</v>
      </c>
      <c r="E1187" s="8"/>
    </row>
    <row r="1188" spans="1:5" ht="12.75" customHeight="1" x14ac:dyDescent="0.2">
      <c r="A1188" s="6" t="s">
        <v>24</v>
      </c>
      <c r="B1188" s="6" t="s">
        <v>18</v>
      </c>
      <c r="C1188" s="7">
        <v>168555</v>
      </c>
      <c r="D1188" s="9" t="s">
        <v>16</v>
      </c>
      <c r="E1188" s="8"/>
    </row>
    <row r="1189" spans="1:5" ht="12.75" customHeight="1" x14ac:dyDescent="0.2">
      <c r="A1189" s="6" t="s">
        <v>24</v>
      </c>
      <c r="B1189" s="6" t="s">
        <v>19</v>
      </c>
      <c r="C1189" s="7">
        <v>168556</v>
      </c>
      <c r="D1189" s="9" t="s">
        <v>16</v>
      </c>
      <c r="E1189" s="8"/>
    </row>
    <row r="1190" spans="1:5" ht="12.75" customHeight="1" x14ac:dyDescent="0.2">
      <c r="A1190" s="6" t="s">
        <v>35</v>
      </c>
      <c r="B1190" s="6" t="s">
        <v>15</v>
      </c>
      <c r="C1190" s="7">
        <v>166506</v>
      </c>
      <c r="D1190" s="9" t="s">
        <v>16</v>
      </c>
      <c r="E1190" s="8"/>
    </row>
    <row r="1191" spans="1:5" ht="12.75" customHeight="1" x14ac:dyDescent="0.2">
      <c r="A1191" s="6" t="s">
        <v>35</v>
      </c>
      <c r="B1191" s="6" t="s">
        <v>32</v>
      </c>
      <c r="C1191" s="7">
        <v>166505</v>
      </c>
      <c r="D1191" s="9" t="s">
        <v>16</v>
      </c>
      <c r="E1191" s="8"/>
    </row>
    <row r="1192" spans="1:5" ht="12.75" customHeight="1" x14ac:dyDescent="0.2">
      <c r="A1192" s="6" t="s">
        <v>36</v>
      </c>
      <c r="B1192" s="6" t="s">
        <v>15</v>
      </c>
      <c r="C1192" s="7">
        <v>166464</v>
      </c>
      <c r="D1192" s="9" t="s">
        <v>16</v>
      </c>
      <c r="E1192" s="8"/>
    </row>
    <row r="1193" spans="1:5" ht="12.75" customHeight="1" x14ac:dyDescent="0.2">
      <c r="A1193" s="6" t="s">
        <v>36</v>
      </c>
      <c r="B1193" s="6" t="s">
        <v>32</v>
      </c>
      <c r="C1193" s="7">
        <v>166463</v>
      </c>
      <c r="D1193" s="9" t="s">
        <v>16</v>
      </c>
      <c r="E1193" s="8"/>
    </row>
    <row r="1194" spans="1:5" ht="12.75" customHeight="1" x14ac:dyDescent="0.2">
      <c r="A1194" s="6" t="s">
        <v>37</v>
      </c>
      <c r="B1194" s="6" t="s">
        <v>15</v>
      </c>
      <c r="C1194" s="7">
        <v>166516</v>
      </c>
      <c r="D1194" s="9" t="s">
        <v>16</v>
      </c>
      <c r="E1194" s="8"/>
    </row>
    <row r="1195" spans="1:5" ht="12.75" customHeight="1" x14ac:dyDescent="0.2">
      <c r="A1195" s="6" t="s">
        <v>37</v>
      </c>
      <c r="B1195" s="6" t="s">
        <v>32</v>
      </c>
      <c r="C1195" s="7">
        <v>166515</v>
      </c>
      <c r="D1195" s="9" t="s">
        <v>16</v>
      </c>
      <c r="E1195" s="8"/>
    </row>
    <row r="1196" spans="1:5" ht="12.75" customHeight="1" x14ac:dyDescent="0.2">
      <c r="A1196" s="6" t="s">
        <v>38</v>
      </c>
      <c r="B1196" s="6" t="s">
        <v>15</v>
      </c>
      <c r="C1196" s="7">
        <v>166531</v>
      </c>
      <c r="D1196" s="9" t="s">
        <v>16</v>
      </c>
      <c r="E1196" s="8"/>
    </row>
    <row r="1197" spans="1:5" ht="12.75" customHeight="1" x14ac:dyDescent="0.2">
      <c r="A1197" s="6" t="s">
        <v>38</v>
      </c>
      <c r="B1197" s="6" t="s">
        <v>32</v>
      </c>
      <c r="C1197" s="7">
        <v>166530</v>
      </c>
      <c r="D1197" s="9" t="s">
        <v>16</v>
      </c>
      <c r="E1197" s="8"/>
    </row>
    <row r="1198" spans="1:5" ht="12.75" customHeight="1" x14ac:dyDescent="0.2">
      <c r="A1198" s="6" t="s">
        <v>39</v>
      </c>
      <c r="B1198" s="6" t="s">
        <v>15</v>
      </c>
      <c r="C1198" s="7">
        <v>166811</v>
      </c>
      <c r="D1198" s="9" t="s">
        <v>16</v>
      </c>
      <c r="E1198" s="8"/>
    </row>
    <row r="1199" spans="1:5" ht="12.75" customHeight="1" x14ac:dyDescent="0.2">
      <c r="A1199" s="6" t="s">
        <v>39</v>
      </c>
      <c r="B1199" s="6" t="s">
        <v>32</v>
      </c>
      <c r="C1199" s="7">
        <v>166810</v>
      </c>
      <c r="D1199" s="9" t="s">
        <v>16</v>
      </c>
      <c r="E1199" s="8"/>
    </row>
    <row r="1200" spans="1:5" ht="12.75" customHeight="1" x14ac:dyDescent="0.2">
      <c r="A1200" s="6" t="s">
        <v>40</v>
      </c>
      <c r="B1200" s="6" t="s">
        <v>15</v>
      </c>
      <c r="C1200" s="7">
        <v>166522</v>
      </c>
      <c r="D1200" s="9" t="s">
        <v>16</v>
      </c>
      <c r="E1200" s="8"/>
    </row>
    <row r="1201" spans="1:5" ht="12.75" customHeight="1" x14ac:dyDescent="0.2">
      <c r="A1201" s="6" t="s">
        <v>40</v>
      </c>
      <c r="B1201" s="6" t="s">
        <v>32</v>
      </c>
      <c r="C1201" s="7">
        <v>166521</v>
      </c>
      <c r="D1201" s="9" t="s">
        <v>16</v>
      </c>
      <c r="E1201" s="8"/>
    </row>
    <row r="1202" spans="1:5" ht="12.75" customHeight="1" x14ac:dyDescent="0.2">
      <c r="A1202" s="6" t="s">
        <v>41</v>
      </c>
      <c r="B1202" s="6" t="s">
        <v>15</v>
      </c>
      <c r="C1202" s="7">
        <v>166533</v>
      </c>
      <c r="D1202" s="9" t="s">
        <v>16</v>
      </c>
      <c r="E1202" s="8"/>
    </row>
    <row r="1203" spans="1:5" ht="12.75" customHeight="1" x14ac:dyDescent="0.2">
      <c r="A1203" s="6" t="s">
        <v>42</v>
      </c>
      <c r="B1203" s="6" t="s">
        <v>15</v>
      </c>
      <c r="C1203" s="7">
        <v>166524</v>
      </c>
      <c r="D1203" s="9" t="s">
        <v>16</v>
      </c>
      <c r="E1203" s="8"/>
    </row>
    <row r="1204" spans="1:5" ht="12.75" customHeight="1" x14ac:dyDescent="0.2">
      <c r="A1204" s="6" t="s">
        <v>42</v>
      </c>
      <c r="B1204" s="6" t="s">
        <v>32</v>
      </c>
      <c r="C1204" s="7">
        <v>166523</v>
      </c>
      <c r="D1204" s="9" t="s">
        <v>16</v>
      </c>
      <c r="E1204" s="8"/>
    </row>
    <row r="1205" spans="1:5" ht="12.75" customHeight="1" x14ac:dyDescent="0.2">
      <c r="A1205" s="6" t="s">
        <v>43</v>
      </c>
      <c r="B1205" s="6" t="s">
        <v>15</v>
      </c>
      <c r="C1205" s="7">
        <v>166526</v>
      </c>
      <c r="D1205" s="9" t="s">
        <v>16</v>
      </c>
      <c r="E1205" s="8"/>
    </row>
    <row r="1206" spans="1:5" ht="12.75" customHeight="1" x14ac:dyDescent="0.2">
      <c r="A1206" s="6" t="s">
        <v>57</v>
      </c>
      <c r="B1206" s="6" t="s">
        <v>15</v>
      </c>
      <c r="C1206" s="7">
        <v>211102</v>
      </c>
      <c r="D1206" s="9" t="s">
        <v>16</v>
      </c>
      <c r="E1206" s="8"/>
    </row>
    <row r="1207" spans="1:5" ht="12.75" customHeight="1" x14ac:dyDescent="0.2">
      <c r="A1207" s="6" t="s">
        <v>58</v>
      </c>
      <c r="B1207" s="6" t="s">
        <v>15</v>
      </c>
      <c r="C1207" s="7">
        <v>166520</v>
      </c>
      <c r="D1207" s="9" t="s">
        <v>16</v>
      </c>
      <c r="E1207" s="8"/>
    </row>
    <row r="1208" spans="1:5" ht="12.75" customHeight="1" x14ac:dyDescent="0.2">
      <c r="A1208" s="6" t="s">
        <v>58</v>
      </c>
      <c r="B1208" s="6" t="s">
        <v>32</v>
      </c>
      <c r="C1208" s="7">
        <v>166518</v>
      </c>
      <c r="D1208" s="9" t="s">
        <v>16</v>
      </c>
      <c r="E1208" s="8"/>
    </row>
    <row r="1209" spans="1:5" ht="12.75" customHeight="1" x14ac:dyDescent="0.2">
      <c r="A1209" s="6" t="s">
        <v>60</v>
      </c>
      <c r="B1209" s="6" t="s">
        <v>15</v>
      </c>
      <c r="C1209" s="7">
        <v>166509</v>
      </c>
      <c r="D1209" s="9" t="s">
        <v>16</v>
      </c>
      <c r="E1209" s="8"/>
    </row>
    <row r="1210" spans="1:5" ht="12.75" customHeight="1" x14ac:dyDescent="0.2">
      <c r="A1210" s="6" t="s">
        <v>60</v>
      </c>
      <c r="B1210" s="6" t="s">
        <v>32</v>
      </c>
      <c r="C1210" s="7">
        <v>166508</v>
      </c>
      <c r="D1210" s="9" t="s">
        <v>16</v>
      </c>
      <c r="E1210" s="8"/>
    </row>
    <row r="1211" spans="1:5" ht="12.75" customHeight="1" x14ac:dyDescent="0.2">
      <c r="A1211" s="6" t="s">
        <v>61</v>
      </c>
      <c r="B1211" s="6" t="s">
        <v>15</v>
      </c>
      <c r="C1211" s="7">
        <v>166512</v>
      </c>
      <c r="D1211" s="9" t="s">
        <v>16</v>
      </c>
      <c r="E1211" s="8"/>
    </row>
    <row r="1212" spans="1:5" ht="12.75" customHeight="1" x14ac:dyDescent="0.2">
      <c r="A1212" s="6" t="s">
        <v>61</v>
      </c>
      <c r="B1212" s="6" t="s">
        <v>32</v>
      </c>
      <c r="C1212" s="7">
        <v>166510</v>
      </c>
      <c r="D1212" s="9" t="s">
        <v>16</v>
      </c>
      <c r="E1212" s="8"/>
    </row>
    <row r="1213" spans="1:5" ht="12.75" customHeight="1" x14ac:dyDescent="0.2">
      <c r="A1213" s="6" t="s">
        <v>62</v>
      </c>
      <c r="B1213" s="6" t="s">
        <v>15</v>
      </c>
      <c r="C1213" s="7">
        <v>166514</v>
      </c>
      <c r="D1213" s="9" t="s">
        <v>16</v>
      </c>
      <c r="E1213" s="8"/>
    </row>
    <row r="1214" spans="1:5" ht="12.75" customHeight="1" x14ac:dyDescent="0.2">
      <c r="A1214" s="6" t="s">
        <v>62</v>
      </c>
      <c r="B1214" s="6" t="s">
        <v>32</v>
      </c>
      <c r="C1214" s="7">
        <v>166513</v>
      </c>
      <c r="D1214" s="9" t="s">
        <v>16</v>
      </c>
      <c r="E1214" s="8"/>
    </row>
    <row r="1215" spans="1:5" ht="12.75" customHeight="1" x14ac:dyDescent="0.2">
      <c r="A1215" s="6" t="s">
        <v>67</v>
      </c>
      <c r="B1215" s="6" t="s">
        <v>32</v>
      </c>
      <c r="C1215" s="7">
        <v>166805</v>
      </c>
      <c r="D1215" s="9" t="s">
        <v>16</v>
      </c>
      <c r="E1215" s="8"/>
    </row>
    <row r="1216" spans="1:5" ht="12.75" customHeight="1" x14ac:dyDescent="0.2">
      <c r="A1216" s="6" t="s">
        <v>68</v>
      </c>
      <c r="B1216" s="6" t="s">
        <v>15</v>
      </c>
      <c r="C1216" s="7">
        <v>166483</v>
      </c>
      <c r="D1216" s="9" t="s">
        <v>16</v>
      </c>
      <c r="E1216" s="8"/>
    </row>
    <row r="1217" spans="1:5" ht="12.75" customHeight="1" x14ac:dyDescent="0.2">
      <c r="A1217" s="6" t="s">
        <v>68</v>
      </c>
      <c r="B1217" s="6" t="s">
        <v>6</v>
      </c>
      <c r="C1217" s="7">
        <v>197078</v>
      </c>
      <c r="D1217" s="9" t="s">
        <v>16</v>
      </c>
      <c r="E1217" s="8"/>
    </row>
    <row r="1218" spans="1:5" ht="12.75" customHeight="1" x14ac:dyDescent="0.2">
      <c r="A1218" s="6" t="s">
        <v>70</v>
      </c>
      <c r="B1218" s="6" t="s">
        <v>15</v>
      </c>
      <c r="C1218" s="7">
        <v>166477</v>
      </c>
      <c r="D1218" s="9" t="s">
        <v>16</v>
      </c>
      <c r="E1218" s="8"/>
    </row>
    <row r="1219" spans="1:5" ht="12.75" customHeight="1" x14ac:dyDescent="0.2">
      <c r="A1219" s="6" t="s">
        <v>72</v>
      </c>
      <c r="B1219" s="6" t="s">
        <v>32</v>
      </c>
      <c r="C1219" s="7">
        <v>166798</v>
      </c>
      <c r="D1219" s="9" t="s">
        <v>16</v>
      </c>
      <c r="E1219" s="8"/>
    </row>
    <row r="1220" spans="1:5" ht="12.75" customHeight="1" x14ac:dyDescent="0.2">
      <c r="A1220" s="6" t="s">
        <v>73</v>
      </c>
      <c r="B1220" s="6" t="s">
        <v>15</v>
      </c>
      <c r="C1220" s="7">
        <v>167110</v>
      </c>
      <c r="D1220" s="9" t="s">
        <v>16</v>
      </c>
      <c r="E1220" s="8"/>
    </row>
    <row r="1221" spans="1:5" ht="12.75" customHeight="1" x14ac:dyDescent="0.2">
      <c r="A1221" s="6" t="s">
        <v>73</v>
      </c>
      <c r="B1221" s="6" t="s">
        <v>32</v>
      </c>
      <c r="C1221" s="7">
        <v>165999</v>
      </c>
      <c r="D1221" s="9" t="s">
        <v>16</v>
      </c>
      <c r="E1221" s="8"/>
    </row>
    <row r="1222" spans="1:5" ht="12.75" customHeight="1" x14ac:dyDescent="0.2">
      <c r="A1222" s="6" t="s">
        <v>67</v>
      </c>
      <c r="B1222" s="6" t="s">
        <v>15</v>
      </c>
      <c r="C1222" s="7">
        <v>166806</v>
      </c>
      <c r="D1222" s="9" t="s">
        <v>16</v>
      </c>
      <c r="E1222" s="8"/>
    </row>
    <row r="1223" spans="1:5" ht="12.75" customHeight="1" x14ac:dyDescent="0.2">
      <c r="A1223" s="6" t="s">
        <v>92</v>
      </c>
      <c r="B1223" s="6" t="s">
        <v>15</v>
      </c>
      <c r="C1223" s="7">
        <v>168836</v>
      </c>
      <c r="D1223" s="9" t="s">
        <v>16</v>
      </c>
      <c r="E1223" s="8"/>
    </row>
    <row r="1224" spans="1:5" ht="12.75" customHeight="1" x14ac:dyDescent="0.2">
      <c r="A1224" s="6" t="s">
        <v>43</v>
      </c>
      <c r="B1224" s="6" t="s">
        <v>32</v>
      </c>
      <c r="C1224" s="7">
        <v>166525</v>
      </c>
      <c r="D1224" s="9" t="s">
        <v>16</v>
      </c>
      <c r="E1224" s="8"/>
    </row>
    <row r="1225" spans="1:5" ht="12.75" customHeight="1" x14ac:dyDescent="0.2">
      <c r="A1225" s="6" t="s">
        <v>41</v>
      </c>
      <c r="B1225" s="6" t="s">
        <v>32</v>
      </c>
      <c r="C1225" s="7">
        <v>166532</v>
      </c>
      <c r="D1225" s="9" t="s">
        <v>16</v>
      </c>
      <c r="E1225" s="8"/>
    </row>
    <row r="1226" spans="1:5" ht="12.75" customHeight="1" x14ac:dyDescent="0.2">
      <c r="A1226" s="6" t="s">
        <v>23</v>
      </c>
      <c r="B1226" s="6" t="s">
        <v>18</v>
      </c>
      <c r="C1226" s="7">
        <v>190719</v>
      </c>
      <c r="D1226" s="9" t="s">
        <v>16</v>
      </c>
      <c r="E1226" s="8"/>
    </row>
    <row r="1227" spans="1:5" ht="12.75" customHeight="1" x14ac:dyDescent="0.2">
      <c r="A1227" s="6" t="s">
        <v>153</v>
      </c>
      <c r="B1227" s="6" t="s">
        <v>15</v>
      </c>
      <c r="C1227" s="7">
        <v>166793</v>
      </c>
      <c r="D1227" s="9" t="s">
        <v>16</v>
      </c>
      <c r="E1227" s="8"/>
    </row>
    <row r="1228" spans="1:5" ht="12.75" customHeight="1" x14ac:dyDescent="0.2">
      <c r="A1228" s="6" t="s">
        <v>153</v>
      </c>
      <c r="B1228" s="6" t="s">
        <v>32</v>
      </c>
      <c r="C1228" s="7">
        <v>166792</v>
      </c>
      <c r="D1228" s="9" t="s">
        <v>16</v>
      </c>
      <c r="E1228" s="8"/>
    </row>
    <row r="1229" spans="1:5" ht="12.75" customHeight="1" x14ac:dyDescent="0.2">
      <c r="A1229" s="6" t="s">
        <v>70</v>
      </c>
      <c r="B1229" s="6" t="s">
        <v>6</v>
      </c>
      <c r="C1229" s="7">
        <v>197102</v>
      </c>
      <c r="D1229" s="9" t="s">
        <v>16</v>
      </c>
      <c r="E1229" s="8"/>
    </row>
    <row r="1230" spans="1:5" ht="12.75" customHeight="1" x14ac:dyDescent="0.2">
      <c r="A1230" s="6" t="s">
        <v>20</v>
      </c>
      <c r="B1230" s="6" t="s">
        <v>19</v>
      </c>
      <c r="C1230" s="7">
        <v>196459</v>
      </c>
      <c r="D1230" s="9" t="s">
        <v>16</v>
      </c>
      <c r="E1230" s="8"/>
    </row>
    <row r="1231" spans="1:5" ht="12.75" customHeight="1" x14ac:dyDescent="0.2">
      <c r="A1231" s="6" t="s">
        <v>165</v>
      </c>
      <c r="B1231" s="6" t="s">
        <v>18</v>
      </c>
      <c r="C1231" s="7">
        <v>195062</v>
      </c>
      <c r="D1231" s="9" t="s">
        <v>16</v>
      </c>
      <c r="E1231" s="8"/>
    </row>
    <row r="1232" spans="1:5" ht="12.75" customHeight="1" x14ac:dyDescent="0.2">
      <c r="A1232" s="6" t="s">
        <v>165</v>
      </c>
      <c r="B1232" s="6" t="s">
        <v>19</v>
      </c>
      <c r="C1232" s="7">
        <v>195063</v>
      </c>
      <c r="D1232" s="9" t="s">
        <v>16</v>
      </c>
      <c r="E1232" s="8"/>
    </row>
    <row r="1233" spans="1:5" ht="12.75" customHeight="1" x14ac:dyDescent="0.2">
      <c r="A1233" s="6" t="s">
        <v>21</v>
      </c>
      <c r="B1233" s="6" t="s">
        <v>167</v>
      </c>
      <c r="C1233" s="7">
        <v>196520</v>
      </c>
      <c r="D1233" s="9" t="s">
        <v>16</v>
      </c>
      <c r="E1233" s="8"/>
    </row>
    <row r="1234" spans="1:5" ht="12.75" customHeight="1" x14ac:dyDescent="0.2">
      <c r="A1234" s="6" t="s">
        <v>17</v>
      </c>
      <c r="B1234" s="6" t="s">
        <v>167</v>
      </c>
      <c r="C1234" s="7">
        <v>188857</v>
      </c>
      <c r="D1234" s="9" t="s">
        <v>16</v>
      </c>
      <c r="E1234" s="8"/>
    </row>
    <row r="1235" spans="1:5" ht="12.75" customHeight="1" x14ac:dyDescent="0.2">
      <c r="A1235" s="6" t="s">
        <v>165</v>
      </c>
      <c r="B1235" s="6" t="s">
        <v>167</v>
      </c>
      <c r="C1235" s="7">
        <v>195064</v>
      </c>
      <c r="D1235" s="9" t="s">
        <v>16</v>
      </c>
      <c r="E1235" s="8"/>
    </row>
    <row r="1236" spans="1:5" ht="12.75" customHeight="1" x14ac:dyDescent="0.2">
      <c r="A1236" s="6" t="s">
        <v>20</v>
      </c>
      <c r="B1236" s="6" t="s">
        <v>167</v>
      </c>
      <c r="C1236" s="7">
        <v>196458</v>
      </c>
      <c r="D1236" s="9" t="s">
        <v>16</v>
      </c>
      <c r="E1236" s="8"/>
    </row>
    <row r="1237" spans="1:5" ht="12.75" customHeight="1" x14ac:dyDescent="0.2">
      <c r="A1237" s="6" t="s">
        <v>23</v>
      </c>
      <c r="B1237" s="6" t="s">
        <v>167</v>
      </c>
      <c r="C1237" s="7">
        <v>196523</v>
      </c>
      <c r="D1237" s="9" t="s">
        <v>16</v>
      </c>
      <c r="E1237" s="8"/>
    </row>
    <row r="1238" spans="1:5" ht="12.75" customHeight="1" x14ac:dyDescent="0.2">
      <c r="A1238" s="6" t="s">
        <v>24</v>
      </c>
      <c r="B1238" s="6" t="s">
        <v>167</v>
      </c>
      <c r="C1238" s="7">
        <v>196525</v>
      </c>
      <c r="D1238" s="9" t="s">
        <v>16</v>
      </c>
      <c r="E1238" s="8"/>
    </row>
    <row r="1239" spans="1:5" ht="12.75" customHeight="1" x14ac:dyDescent="0.2">
      <c r="A1239" s="6" t="s">
        <v>78</v>
      </c>
      <c r="B1239" s="6" t="s">
        <v>18</v>
      </c>
      <c r="C1239" s="7">
        <v>204234</v>
      </c>
      <c r="D1239" s="9" t="s">
        <v>16</v>
      </c>
      <c r="E1239" s="8"/>
    </row>
    <row r="1240" spans="1:5" ht="12.75" customHeight="1" x14ac:dyDescent="0.2">
      <c r="A1240" s="6" t="s">
        <v>182</v>
      </c>
      <c r="B1240" s="6" t="s">
        <v>18</v>
      </c>
      <c r="C1240" s="7">
        <v>209684</v>
      </c>
      <c r="D1240" s="9" t="s">
        <v>16</v>
      </c>
      <c r="E1240" s="8"/>
    </row>
    <row r="1241" spans="1:5" ht="12.75" customHeight="1" x14ac:dyDescent="0.2">
      <c r="A1241" s="6" t="s">
        <v>182</v>
      </c>
      <c r="B1241" s="6" t="s">
        <v>19</v>
      </c>
      <c r="C1241" s="7">
        <v>209685</v>
      </c>
      <c r="D1241" s="9" t="s">
        <v>16</v>
      </c>
      <c r="E1241" s="8"/>
    </row>
    <row r="1242" spans="1:5" ht="12.75" customHeight="1" x14ac:dyDescent="0.2">
      <c r="A1242" s="6" t="s">
        <v>182</v>
      </c>
      <c r="B1242" s="6" t="s">
        <v>167</v>
      </c>
      <c r="C1242" s="7">
        <v>209686</v>
      </c>
      <c r="D1242" s="9" t="s">
        <v>16</v>
      </c>
      <c r="E1242" s="8"/>
    </row>
    <row r="1243" spans="1:5" ht="12.75" customHeight="1" x14ac:dyDescent="0.2">
      <c r="A1243" s="6" t="s">
        <v>199</v>
      </c>
      <c r="B1243" s="6" t="s">
        <v>15</v>
      </c>
      <c r="C1243" s="7">
        <v>174754</v>
      </c>
      <c r="D1243" s="9" t="s">
        <v>16</v>
      </c>
      <c r="E1243" s="8"/>
    </row>
    <row r="1244" spans="1:5" ht="12.75" customHeight="1" x14ac:dyDescent="0.2">
      <c r="A1244" s="6" t="s">
        <v>203</v>
      </c>
      <c r="B1244" s="6" t="s">
        <v>15</v>
      </c>
      <c r="C1244" s="7">
        <v>195325</v>
      </c>
      <c r="D1244" s="9" t="s">
        <v>16</v>
      </c>
      <c r="E1244" s="8"/>
    </row>
    <row r="1245" spans="1:5" ht="12.75" customHeight="1" x14ac:dyDescent="0.2">
      <c r="A1245" s="6" t="s">
        <v>208</v>
      </c>
      <c r="B1245" s="6" t="s">
        <v>15</v>
      </c>
      <c r="C1245" s="7">
        <v>173646</v>
      </c>
      <c r="D1245" s="9" t="s">
        <v>16</v>
      </c>
      <c r="E1245" s="8"/>
    </row>
    <row r="1246" spans="1:5" ht="12.75" customHeight="1" x14ac:dyDescent="0.2">
      <c r="A1246" s="6" t="s">
        <v>208</v>
      </c>
      <c r="B1246" s="6" t="s">
        <v>32</v>
      </c>
      <c r="C1246" s="7">
        <v>173645</v>
      </c>
      <c r="D1246" s="9" t="s">
        <v>16</v>
      </c>
      <c r="E1246" s="8"/>
    </row>
    <row r="1247" spans="1:5" ht="12.75" customHeight="1" x14ac:dyDescent="0.2">
      <c r="A1247" s="6" t="s">
        <v>217</v>
      </c>
      <c r="B1247" s="6" t="s">
        <v>15</v>
      </c>
      <c r="C1247" s="7">
        <v>170320</v>
      </c>
      <c r="D1247" s="9" t="s">
        <v>16</v>
      </c>
      <c r="E1247" s="8"/>
    </row>
    <row r="1248" spans="1:5" ht="12.75" customHeight="1" x14ac:dyDescent="0.2">
      <c r="A1248" s="6" t="s">
        <v>217</v>
      </c>
      <c r="B1248" s="6" t="s">
        <v>6</v>
      </c>
      <c r="C1248" s="7">
        <v>197103</v>
      </c>
      <c r="D1248" s="9" t="s">
        <v>16</v>
      </c>
      <c r="E1248" s="8"/>
    </row>
    <row r="1249" spans="1:5" ht="12.75" customHeight="1" x14ac:dyDescent="0.2">
      <c r="A1249" s="6" t="s">
        <v>233</v>
      </c>
      <c r="B1249" s="6" t="s">
        <v>15</v>
      </c>
      <c r="C1249" s="7">
        <v>171471</v>
      </c>
      <c r="D1249" s="9" t="s">
        <v>16</v>
      </c>
      <c r="E1249" s="8"/>
    </row>
    <row r="1250" spans="1:5" ht="12.75" customHeight="1" x14ac:dyDescent="0.2">
      <c r="A1250" s="6" t="s">
        <v>199</v>
      </c>
      <c r="B1250" s="6" t="s">
        <v>32</v>
      </c>
      <c r="C1250" s="7">
        <v>174755</v>
      </c>
      <c r="D1250" s="9" t="s">
        <v>16</v>
      </c>
      <c r="E1250" s="8"/>
    </row>
    <row r="1251" spans="1:5" ht="12.75" customHeight="1" x14ac:dyDescent="0.2">
      <c r="A1251" s="6" t="s">
        <v>21</v>
      </c>
      <c r="B1251" s="6" t="s">
        <v>11</v>
      </c>
      <c r="C1251" s="7">
        <v>206701</v>
      </c>
      <c r="D1251" s="9" t="s">
        <v>16</v>
      </c>
      <c r="E1251" s="8"/>
    </row>
    <row r="1252" spans="1:5" ht="12.75" customHeight="1" x14ac:dyDescent="0.2">
      <c r="A1252" s="6" t="s">
        <v>23</v>
      </c>
      <c r="B1252" s="6" t="s">
        <v>11</v>
      </c>
      <c r="C1252" s="7">
        <v>166651</v>
      </c>
      <c r="D1252" s="9" t="s">
        <v>16</v>
      </c>
      <c r="E1252" s="8"/>
    </row>
    <row r="1253" spans="1:5" ht="12.75" customHeight="1" x14ac:dyDescent="0.2">
      <c r="A1253" s="6" t="s">
        <v>264</v>
      </c>
      <c r="B1253" s="6" t="s">
        <v>15</v>
      </c>
      <c r="C1253" s="7">
        <v>187703</v>
      </c>
      <c r="D1253" s="9" t="s">
        <v>16</v>
      </c>
      <c r="E1253" s="8"/>
    </row>
    <row r="1254" spans="1:5" ht="12.75" customHeight="1" x14ac:dyDescent="0.2">
      <c r="A1254" s="6" t="s">
        <v>264</v>
      </c>
      <c r="B1254" s="6" t="s">
        <v>32</v>
      </c>
      <c r="C1254" s="7">
        <v>187704</v>
      </c>
      <c r="D1254" s="9" t="s">
        <v>16</v>
      </c>
      <c r="E1254" s="8"/>
    </row>
    <row r="1255" spans="1:5" ht="12.75" customHeight="1" x14ac:dyDescent="0.2">
      <c r="A1255" s="6" t="s">
        <v>203</v>
      </c>
      <c r="B1255" s="6" t="s">
        <v>6</v>
      </c>
      <c r="C1255" s="7">
        <v>195326</v>
      </c>
      <c r="D1255" s="9" t="s">
        <v>16</v>
      </c>
      <c r="E1255" s="8"/>
    </row>
    <row r="1256" spans="1:5" ht="12.75" customHeight="1" x14ac:dyDescent="0.2">
      <c r="A1256" s="6" t="s">
        <v>355</v>
      </c>
      <c r="B1256" s="6" t="s">
        <v>6</v>
      </c>
      <c r="C1256" s="7">
        <v>197100</v>
      </c>
      <c r="D1256" s="9" t="s">
        <v>7</v>
      </c>
      <c r="E1256" s="8"/>
    </row>
    <row r="1257" spans="1:5" ht="12.75" customHeight="1" x14ac:dyDescent="0.2">
      <c r="A1257" s="6" t="s">
        <v>356</v>
      </c>
      <c r="B1257" s="6" t="s">
        <v>6</v>
      </c>
      <c r="C1257" s="7">
        <v>197106</v>
      </c>
      <c r="D1257" s="9" t="s">
        <v>7</v>
      </c>
      <c r="E1257" s="8"/>
    </row>
    <row r="1258" spans="1:5" ht="12.75" customHeight="1" x14ac:dyDescent="0.2">
      <c r="A1258" s="6" t="s">
        <v>356</v>
      </c>
      <c r="B1258" s="6" t="s">
        <v>15</v>
      </c>
      <c r="C1258" s="7">
        <v>196134</v>
      </c>
      <c r="D1258" s="9" t="s">
        <v>7</v>
      </c>
      <c r="E1258" s="8"/>
    </row>
    <row r="1259" spans="1:5" ht="12.75" customHeight="1" x14ac:dyDescent="0.2">
      <c r="A1259" s="6" t="s">
        <v>358</v>
      </c>
      <c r="B1259" s="6" t="s">
        <v>6</v>
      </c>
      <c r="C1259" s="7">
        <v>197105</v>
      </c>
      <c r="D1259" s="9" t="s">
        <v>7</v>
      </c>
      <c r="E1259" s="8"/>
    </row>
    <row r="1260" spans="1:5" ht="12.75" customHeight="1" x14ac:dyDescent="0.2">
      <c r="A1260" s="6" t="s">
        <v>355</v>
      </c>
      <c r="B1260" s="6" t="s">
        <v>15</v>
      </c>
      <c r="C1260" s="7">
        <v>196116</v>
      </c>
      <c r="D1260" s="9" t="s">
        <v>7</v>
      </c>
      <c r="E1260" s="8"/>
    </row>
    <row r="1261" spans="1:5" ht="12.75" customHeight="1" x14ac:dyDescent="0.2">
      <c r="A1261" s="6" t="s">
        <v>358</v>
      </c>
      <c r="B1261" s="6" t="s">
        <v>15</v>
      </c>
      <c r="C1261" s="7">
        <v>196148</v>
      </c>
      <c r="D1261" s="9" t="s">
        <v>7</v>
      </c>
      <c r="E1261" s="8"/>
    </row>
    <row r="1262" spans="1:5" ht="12.75" customHeight="1" x14ac:dyDescent="0.2">
      <c r="A1262" s="6" t="s">
        <v>364</v>
      </c>
      <c r="B1262" s="6" t="s">
        <v>6</v>
      </c>
      <c r="C1262" s="7">
        <v>211434</v>
      </c>
      <c r="D1262" s="9" t="s">
        <v>7</v>
      </c>
      <c r="E1262" s="8"/>
    </row>
    <row r="1263" spans="1:5" ht="12.75" customHeight="1" x14ac:dyDescent="0.2">
      <c r="A1263" s="6" t="s">
        <v>364</v>
      </c>
      <c r="B1263" s="6" t="s">
        <v>15</v>
      </c>
      <c r="C1263" s="7">
        <v>211435</v>
      </c>
      <c r="D1263" s="9" t="s">
        <v>7</v>
      </c>
      <c r="E1263" s="8"/>
    </row>
    <row r="1264" spans="1:5" ht="12.75" customHeight="1" x14ac:dyDescent="0.2">
      <c r="A1264" s="6" t="s">
        <v>413</v>
      </c>
      <c r="B1264" s="6" t="s">
        <v>15</v>
      </c>
      <c r="C1264" s="7">
        <v>203550</v>
      </c>
      <c r="D1264" s="9" t="s">
        <v>16</v>
      </c>
      <c r="E1264" s="8"/>
    </row>
    <row r="1265" spans="1:5" ht="12.75" customHeight="1" x14ac:dyDescent="0.2">
      <c r="A1265" s="6" t="s">
        <v>413</v>
      </c>
      <c r="B1265" s="6" t="s">
        <v>6</v>
      </c>
      <c r="C1265" s="7">
        <v>203552</v>
      </c>
      <c r="D1265" s="9" t="s">
        <v>16</v>
      </c>
      <c r="E1265" s="8"/>
    </row>
    <row r="1266" spans="1:5" ht="12.75" customHeight="1" x14ac:dyDescent="0.2">
      <c r="A1266" s="6" t="s">
        <v>414</v>
      </c>
      <c r="B1266" s="6" t="s">
        <v>15</v>
      </c>
      <c r="C1266" s="7">
        <v>203556</v>
      </c>
      <c r="D1266" s="9" t="s">
        <v>16</v>
      </c>
      <c r="E1266" s="8"/>
    </row>
    <row r="1267" spans="1:5" ht="12.75" customHeight="1" x14ac:dyDescent="0.2">
      <c r="A1267" s="6" t="s">
        <v>414</v>
      </c>
      <c r="B1267" s="6" t="s">
        <v>6</v>
      </c>
      <c r="C1267" s="7">
        <v>203558</v>
      </c>
      <c r="D1267" s="9" t="s">
        <v>16</v>
      </c>
      <c r="E1267" s="8"/>
    </row>
    <row r="1268" spans="1:5" ht="12.75" customHeight="1" x14ac:dyDescent="0.2">
      <c r="A1268" s="6" t="s">
        <v>415</v>
      </c>
      <c r="B1268" s="6" t="s">
        <v>6</v>
      </c>
      <c r="C1268" s="7">
        <v>203555</v>
      </c>
      <c r="D1268" s="9" t="s">
        <v>16</v>
      </c>
      <c r="E1268" s="8"/>
    </row>
    <row r="1269" spans="1:5" ht="12.75" customHeight="1" x14ac:dyDescent="0.2">
      <c r="A1269" s="6" t="s">
        <v>415</v>
      </c>
      <c r="B1269" s="6" t="s">
        <v>15</v>
      </c>
      <c r="C1269" s="7">
        <v>203553</v>
      </c>
      <c r="D1269" s="9" t="s">
        <v>16</v>
      </c>
      <c r="E1269" s="8"/>
    </row>
    <row r="1270" spans="1:5" ht="12.75" customHeight="1" x14ac:dyDescent="0.2">
      <c r="A1270" s="6" t="s">
        <v>416</v>
      </c>
      <c r="B1270" s="6" t="s">
        <v>6</v>
      </c>
      <c r="C1270" s="7">
        <v>203544</v>
      </c>
      <c r="D1270" s="9" t="s">
        <v>7</v>
      </c>
      <c r="E1270" s="8"/>
    </row>
    <row r="1271" spans="1:5" ht="12.75" customHeight="1" x14ac:dyDescent="0.2">
      <c r="A1271" s="6" t="s">
        <v>416</v>
      </c>
      <c r="B1271" s="6" t="s">
        <v>15</v>
      </c>
      <c r="C1271" s="7">
        <v>203542</v>
      </c>
      <c r="D1271" s="9" t="s">
        <v>7</v>
      </c>
      <c r="E1271" s="8"/>
    </row>
    <row r="1272" spans="1:5" ht="12.75" customHeight="1" x14ac:dyDescent="0.2">
      <c r="A1272" s="6" t="s">
        <v>417</v>
      </c>
      <c r="B1272" s="6" t="s">
        <v>6</v>
      </c>
      <c r="C1272" s="7">
        <v>203547</v>
      </c>
      <c r="D1272" s="9" t="s">
        <v>7</v>
      </c>
      <c r="E1272" s="8"/>
    </row>
    <row r="1273" spans="1:5" ht="12.75" customHeight="1" x14ac:dyDescent="0.2">
      <c r="A1273" s="6" t="s">
        <v>417</v>
      </c>
      <c r="B1273" s="6" t="s">
        <v>15</v>
      </c>
      <c r="C1273" s="7">
        <v>203545</v>
      </c>
      <c r="D1273" s="9" t="s">
        <v>7</v>
      </c>
      <c r="E1273" s="8"/>
    </row>
    <row r="1274" spans="1:5" ht="12.75" customHeight="1" x14ac:dyDescent="0.2">
      <c r="A1274" s="6" t="s">
        <v>437</v>
      </c>
      <c r="B1274" s="6" t="s">
        <v>15</v>
      </c>
      <c r="C1274" s="7">
        <v>209573</v>
      </c>
      <c r="D1274" s="9" t="s">
        <v>16</v>
      </c>
      <c r="E1274" s="8"/>
    </row>
    <row r="1275" spans="1:5" ht="12.75" customHeight="1" x14ac:dyDescent="0.2">
      <c r="A1275" s="6" t="s">
        <v>437</v>
      </c>
      <c r="B1275" s="6" t="s">
        <v>32</v>
      </c>
      <c r="C1275" s="7">
        <v>209575</v>
      </c>
      <c r="D1275" s="9" t="s">
        <v>16</v>
      </c>
      <c r="E1275" s="8"/>
    </row>
    <row r="1276" spans="1:5" ht="12.75" customHeight="1" x14ac:dyDescent="0.2">
      <c r="A1276" s="6" t="s">
        <v>445</v>
      </c>
      <c r="B1276" s="6" t="s">
        <v>32</v>
      </c>
      <c r="C1276" s="7">
        <v>209643</v>
      </c>
      <c r="D1276" s="9" t="s">
        <v>16</v>
      </c>
      <c r="E1276" s="8"/>
    </row>
    <row r="1277" spans="1:5" ht="12.75" customHeight="1" x14ac:dyDescent="0.2">
      <c r="A1277" s="6" t="s">
        <v>462</v>
      </c>
      <c r="B1277" s="6" t="s">
        <v>461</v>
      </c>
      <c r="C1277" s="7">
        <v>216566</v>
      </c>
      <c r="D1277" s="9" t="s">
        <v>16</v>
      </c>
      <c r="E1277" s="8"/>
    </row>
    <row r="1278" spans="1:5" ht="12.75" customHeight="1" x14ac:dyDescent="0.2">
      <c r="A1278" s="6" t="s">
        <v>463</v>
      </c>
      <c r="B1278" s="6" t="s">
        <v>461</v>
      </c>
      <c r="C1278" s="7">
        <v>216565</v>
      </c>
      <c r="D1278" s="9" t="s">
        <v>16</v>
      </c>
      <c r="E1278" s="8"/>
    </row>
    <row r="1279" spans="1:5" ht="12.75" customHeight="1" x14ac:dyDescent="0.2">
      <c r="A1279" s="6" t="s">
        <v>464</v>
      </c>
      <c r="B1279" s="6" t="s">
        <v>353</v>
      </c>
      <c r="C1279" s="7">
        <v>216607</v>
      </c>
      <c r="D1279" s="9" t="s">
        <v>16</v>
      </c>
      <c r="E1279" s="8"/>
    </row>
    <row r="1280" spans="1:5" ht="12.75" customHeight="1" x14ac:dyDescent="0.2">
      <c r="A1280" s="6" t="s">
        <v>462</v>
      </c>
      <c r="B1280" s="6" t="s">
        <v>353</v>
      </c>
      <c r="C1280" s="7">
        <v>216606</v>
      </c>
      <c r="D1280" s="9" t="s">
        <v>16</v>
      </c>
      <c r="E1280" s="8"/>
    </row>
    <row r="1281" spans="1:5" ht="12.75" customHeight="1" x14ac:dyDescent="0.2">
      <c r="A1281" s="6" t="s">
        <v>463</v>
      </c>
      <c r="B1281" s="6" t="s">
        <v>353</v>
      </c>
      <c r="C1281" s="7">
        <v>216605</v>
      </c>
      <c r="D1281" s="9" t="s">
        <v>16</v>
      </c>
      <c r="E1281" s="8"/>
    </row>
    <row r="1282" spans="1:5" ht="12.75" customHeight="1" x14ac:dyDescent="0.2">
      <c r="A1282" s="6" t="s">
        <v>469</v>
      </c>
      <c r="B1282" s="6" t="s">
        <v>353</v>
      </c>
      <c r="C1282" s="7">
        <v>216634</v>
      </c>
      <c r="D1282" s="9" t="s">
        <v>16</v>
      </c>
      <c r="E1282" s="8"/>
    </row>
    <row r="1283" spans="1:5" ht="12.75" customHeight="1" x14ac:dyDescent="0.2">
      <c r="A1283" s="6" t="s">
        <v>469</v>
      </c>
      <c r="B1283" s="6" t="s">
        <v>461</v>
      </c>
      <c r="C1283" s="7">
        <v>216635</v>
      </c>
      <c r="D1283" s="9" t="s">
        <v>16</v>
      </c>
      <c r="E1283" s="8"/>
    </row>
    <row r="1284" spans="1:5" ht="12.75" customHeight="1" x14ac:dyDescent="0.2">
      <c r="A1284" s="6" t="s">
        <v>475</v>
      </c>
      <c r="B1284" s="6" t="s">
        <v>353</v>
      </c>
      <c r="C1284" s="7">
        <v>216609</v>
      </c>
      <c r="D1284" s="9" t="s">
        <v>16</v>
      </c>
      <c r="E1284" s="8"/>
    </row>
    <row r="1285" spans="1:5" ht="12.75" customHeight="1" x14ac:dyDescent="0.2">
      <c r="A1285" s="6" t="s">
        <v>462</v>
      </c>
      <c r="B1285" s="6" t="s">
        <v>488</v>
      </c>
      <c r="C1285" s="7">
        <v>216591</v>
      </c>
      <c r="D1285" s="9" t="s">
        <v>16</v>
      </c>
      <c r="E1285" s="8"/>
    </row>
    <row r="1286" spans="1:5" ht="12.75" customHeight="1" x14ac:dyDescent="0.2">
      <c r="A1286" s="6" t="s">
        <v>463</v>
      </c>
      <c r="B1286" s="6" t="s">
        <v>488</v>
      </c>
      <c r="C1286" s="7">
        <v>216594</v>
      </c>
      <c r="D1286" s="9" t="s">
        <v>16</v>
      </c>
      <c r="E1286" s="8"/>
    </row>
    <row r="1287" spans="1:5" ht="12.75" customHeight="1" x14ac:dyDescent="0.2">
      <c r="A1287" s="6" t="s">
        <v>475</v>
      </c>
      <c r="B1287" s="6" t="s">
        <v>488</v>
      </c>
      <c r="C1287" s="7">
        <v>216599</v>
      </c>
      <c r="D1287" s="9" t="s">
        <v>16</v>
      </c>
      <c r="E1287" s="8"/>
    </row>
    <row r="1288" spans="1:5" ht="12.75" customHeight="1" x14ac:dyDescent="0.2">
      <c r="A1288" s="6" t="s">
        <v>464</v>
      </c>
      <c r="B1288" s="6" t="s">
        <v>488</v>
      </c>
      <c r="C1288" s="7">
        <v>216592</v>
      </c>
      <c r="D1288" s="9" t="s">
        <v>16</v>
      </c>
      <c r="E1288" s="8"/>
    </row>
    <row r="1289" spans="1:5" ht="12.75" customHeight="1" x14ac:dyDescent="0.2">
      <c r="A1289" s="6" t="s">
        <v>469</v>
      </c>
      <c r="B1289" s="6" t="s">
        <v>488</v>
      </c>
      <c r="C1289" s="7">
        <v>216633</v>
      </c>
      <c r="D1289" s="9" t="s">
        <v>16</v>
      </c>
      <c r="E1289" s="8"/>
    </row>
    <row r="1290" spans="1:5" ht="12.75" customHeight="1" x14ac:dyDescent="0.2">
      <c r="A1290" s="6" t="s">
        <v>494</v>
      </c>
      <c r="B1290" s="6" t="s">
        <v>15</v>
      </c>
      <c r="C1290" s="7">
        <v>216624</v>
      </c>
      <c r="D1290" s="9" t="s">
        <v>16</v>
      </c>
      <c r="E1290" s="8"/>
    </row>
    <row r="1291" spans="1:5" ht="12.75" customHeight="1" x14ac:dyDescent="0.2">
      <c r="A1291" s="6" t="s">
        <v>494</v>
      </c>
      <c r="B1291" s="6" t="s">
        <v>488</v>
      </c>
      <c r="C1291" s="7">
        <v>216625</v>
      </c>
      <c r="D1291" s="9" t="s">
        <v>16</v>
      </c>
      <c r="E1291" s="8"/>
    </row>
    <row r="1292" spans="1:5" ht="12.75" customHeight="1" x14ac:dyDescent="0.2">
      <c r="A1292" s="6" t="s">
        <v>494</v>
      </c>
      <c r="B1292" s="6" t="s">
        <v>353</v>
      </c>
      <c r="C1292" s="7">
        <v>216626</v>
      </c>
      <c r="D1292" s="9" t="s">
        <v>16</v>
      </c>
      <c r="E1292" s="8"/>
    </row>
    <row r="1293" spans="1:5" ht="12.75" customHeight="1" x14ac:dyDescent="0.2">
      <c r="A1293" s="6" t="s">
        <v>494</v>
      </c>
      <c r="B1293" s="6" t="s">
        <v>461</v>
      </c>
      <c r="C1293" s="7">
        <v>216627</v>
      </c>
      <c r="D1293" s="9" t="s">
        <v>16</v>
      </c>
      <c r="E1293" s="8"/>
    </row>
    <row r="1294" spans="1:5" ht="12.75" customHeight="1" x14ac:dyDescent="0.2">
      <c r="A1294" s="6" t="s">
        <v>533</v>
      </c>
      <c r="B1294" s="6" t="s">
        <v>353</v>
      </c>
      <c r="C1294" s="7">
        <v>216821</v>
      </c>
      <c r="D1294" s="9" t="s">
        <v>7</v>
      </c>
      <c r="E1294" s="8"/>
    </row>
    <row r="1295" spans="1:5" ht="12.75" customHeight="1" x14ac:dyDescent="0.2">
      <c r="A1295" s="6" t="s">
        <v>536</v>
      </c>
      <c r="B1295" s="6" t="s">
        <v>488</v>
      </c>
      <c r="C1295" s="7">
        <v>216642</v>
      </c>
      <c r="D1295" s="9" t="s">
        <v>7</v>
      </c>
      <c r="E1295" s="8"/>
    </row>
    <row r="1296" spans="1:5" ht="12.75" customHeight="1" x14ac:dyDescent="0.2">
      <c r="A1296" s="6" t="s">
        <v>533</v>
      </c>
      <c r="B1296" s="6" t="s">
        <v>488</v>
      </c>
      <c r="C1296" s="7">
        <v>216653</v>
      </c>
      <c r="D1296" s="9" t="s">
        <v>7</v>
      </c>
      <c r="E1296" s="8"/>
    </row>
    <row r="1297" spans="1:5" ht="12.75" customHeight="1" x14ac:dyDescent="0.2">
      <c r="A1297" s="6" t="s">
        <v>536</v>
      </c>
      <c r="B1297" s="6" t="s">
        <v>353</v>
      </c>
      <c r="C1297" s="7">
        <v>217558</v>
      </c>
      <c r="D1297" s="9" t="s">
        <v>7</v>
      </c>
      <c r="E1297" s="8"/>
    </row>
    <row r="1298" spans="1:5" ht="12.75" customHeight="1" x14ac:dyDescent="0.2">
      <c r="A1298" s="6" t="s">
        <v>684</v>
      </c>
      <c r="B1298" s="6" t="s">
        <v>461</v>
      </c>
      <c r="C1298" s="7">
        <v>216643</v>
      </c>
      <c r="D1298" s="9" t="s">
        <v>7</v>
      </c>
      <c r="E1298" s="8"/>
    </row>
    <row r="1299" spans="1:5" ht="12.75" customHeight="1" x14ac:dyDescent="0.2">
      <c r="A1299" s="6" t="s">
        <v>537</v>
      </c>
      <c r="B1299" s="6" t="s">
        <v>488</v>
      </c>
      <c r="C1299" s="7">
        <v>217555</v>
      </c>
      <c r="D1299" s="9" t="s">
        <v>7</v>
      </c>
      <c r="E1299" s="8"/>
    </row>
    <row r="1300" spans="1:5" ht="12.75" customHeight="1" x14ac:dyDescent="0.2">
      <c r="A1300" s="6" t="s">
        <v>538</v>
      </c>
      <c r="B1300" s="6" t="s">
        <v>488</v>
      </c>
      <c r="C1300" s="7">
        <v>216640</v>
      </c>
      <c r="D1300" s="9" t="s">
        <v>7</v>
      </c>
      <c r="E1300" s="8"/>
    </row>
    <row r="1301" spans="1:5" ht="12.75" customHeight="1" x14ac:dyDescent="0.2">
      <c r="A1301" s="6" t="s">
        <v>540</v>
      </c>
      <c r="B1301" s="6" t="s">
        <v>353</v>
      </c>
      <c r="C1301" s="7">
        <v>216651</v>
      </c>
      <c r="D1301" s="9" t="s">
        <v>7</v>
      </c>
      <c r="E1301" s="8"/>
    </row>
    <row r="1302" spans="1:5" ht="12.75" customHeight="1" x14ac:dyDescent="0.2">
      <c r="A1302" s="6" t="s">
        <v>540</v>
      </c>
      <c r="B1302" s="6" t="s">
        <v>461</v>
      </c>
      <c r="C1302" s="7">
        <v>216650</v>
      </c>
      <c r="D1302" s="9" t="s">
        <v>7</v>
      </c>
      <c r="E1302" s="8"/>
    </row>
    <row r="1303" spans="1:5" ht="12.75" customHeight="1" x14ac:dyDescent="0.2">
      <c r="A1303" s="6" t="s">
        <v>540</v>
      </c>
      <c r="B1303" s="6" t="s">
        <v>488</v>
      </c>
      <c r="C1303" s="7">
        <v>216649</v>
      </c>
      <c r="D1303" s="9" t="s">
        <v>7</v>
      </c>
      <c r="E1303" s="8"/>
    </row>
    <row r="1304" spans="1:5" ht="12.75" customHeight="1" x14ac:dyDescent="0.2">
      <c r="A1304" s="6" t="s">
        <v>537</v>
      </c>
      <c r="B1304" s="6" t="s">
        <v>353</v>
      </c>
      <c r="C1304" s="7">
        <v>217556</v>
      </c>
      <c r="D1304" s="9" t="s">
        <v>7</v>
      </c>
      <c r="E1304" s="8"/>
    </row>
    <row r="1305" spans="1:5" ht="12.75" customHeight="1" x14ac:dyDescent="0.2">
      <c r="A1305" s="6" t="s">
        <v>537</v>
      </c>
      <c r="B1305" s="6" t="s">
        <v>461</v>
      </c>
      <c r="C1305" s="7">
        <v>217557</v>
      </c>
      <c r="D1305" s="9" t="s">
        <v>7</v>
      </c>
      <c r="E1305" s="8"/>
    </row>
    <row r="1306" spans="1:5" ht="12.75" customHeight="1" x14ac:dyDescent="0.2">
      <c r="A1306" s="6" t="s">
        <v>542</v>
      </c>
      <c r="B1306" s="6" t="s">
        <v>353</v>
      </c>
      <c r="C1306" s="7">
        <v>216646</v>
      </c>
      <c r="D1306" s="9" t="s">
        <v>7</v>
      </c>
      <c r="E1306" s="8"/>
    </row>
    <row r="1307" spans="1:5" ht="12.75" customHeight="1" x14ac:dyDescent="0.2">
      <c r="A1307" s="6" t="s">
        <v>542</v>
      </c>
      <c r="B1307" s="6" t="s">
        <v>488</v>
      </c>
      <c r="C1307" s="7">
        <v>216683</v>
      </c>
      <c r="D1307" s="9" t="s">
        <v>7</v>
      </c>
      <c r="E1307" s="8"/>
    </row>
    <row r="1308" spans="1:5" ht="12.75" customHeight="1" x14ac:dyDescent="0.2">
      <c r="A1308" s="6" t="s">
        <v>545</v>
      </c>
      <c r="B1308" s="6" t="s">
        <v>488</v>
      </c>
      <c r="C1308" s="7">
        <v>216688</v>
      </c>
      <c r="D1308" s="9" t="s">
        <v>7</v>
      </c>
      <c r="E1308" s="8"/>
    </row>
    <row r="1309" spans="1:5" ht="12.75" customHeight="1" x14ac:dyDescent="0.2">
      <c r="A1309" s="6" t="s">
        <v>545</v>
      </c>
      <c r="B1309" s="6" t="s">
        <v>353</v>
      </c>
      <c r="C1309" s="7">
        <v>216689</v>
      </c>
      <c r="D1309" s="9" t="s">
        <v>7</v>
      </c>
      <c r="E1309" s="8"/>
    </row>
    <row r="1310" spans="1:5" ht="12.75" customHeight="1" x14ac:dyDescent="0.2">
      <c r="A1310" s="6" t="s">
        <v>602</v>
      </c>
      <c r="B1310" s="6" t="s">
        <v>461</v>
      </c>
      <c r="C1310" s="7">
        <v>216676</v>
      </c>
      <c r="D1310" s="9" t="s">
        <v>16</v>
      </c>
      <c r="E1310" s="8"/>
    </row>
    <row r="1311" spans="1:5" ht="12.75" customHeight="1" x14ac:dyDescent="0.2">
      <c r="A1311" s="6" t="s">
        <v>603</v>
      </c>
      <c r="B1311" s="6" t="s">
        <v>353</v>
      </c>
      <c r="C1311" s="7">
        <v>216681</v>
      </c>
      <c r="D1311" s="9" t="s">
        <v>16</v>
      </c>
      <c r="E1311" s="8"/>
    </row>
    <row r="1312" spans="1:5" ht="12.75" customHeight="1" x14ac:dyDescent="0.2">
      <c r="A1312" s="6" t="s">
        <v>602</v>
      </c>
      <c r="B1312" s="6" t="s">
        <v>353</v>
      </c>
      <c r="C1312" s="7">
        <v>216675</v>
      </c>
      <c r="D1312" s="9" t="s">
        <v>16</v>
      </c>
      <c r="E1312" s="8"/>
    </row>
    <row r="1313" spans="1:5" ht="12.75" customHeight="1" x14ac:dyDescent="0.2">
      <c r="A1313" s="6" t="s">
        <v>602</v>
      </c>
      <c r="B1313" s="6" t="s">
        <v>488</v>
      </c>
      <c r="C1313" s="7">
        <v>216674</v>
      </c>
      <c r="D1313" s="9" t="s">
        <v>16</v>
      </c>
      <c r="E1313" s="8"/>
    </row>
    <row r="1314" spans="1:5" ht="12.75" customHeight="1" x14ac:dyDescent="0.2">
      <c r="A1314" s="6" t="s">
        <v>603</v>
      </c>
      <c r="B1314" s="6" t="s">
        <v>488</v>
      </c>
      <c r="C1314" s="7">
        <v>216680</v>
      </c>
      <c r="D1314" s="9" t="s">
        <v>16</v>
      </c>
      <c r="E1314" s="8"/>
    </row>
    <row r="1315" spans="1:5" ht="12.75" customHeight="1" x14ac:dyDescent="0.2">
      <c r="A1315" s="6" t="s">
        <v>604</v>
      </c>
      <c r="B1315" s="6" t="s">
        <v>488</v>
      </c>
      <c r="C1315" s="7">
        <v>216677</v>
      </c>
      <c r="D1315" s="9" t="s">
        <v>16</v>
      </c>
      <c r="E1315" s="8"/>
    </row>
    <row r="1316" spans="1:5" ht="12.75" customHeight="1" x14ac:dyDescent="0.2">
      <c r="A1316" s="6" t="s">
        <v>604</v>
      </c>
      <c r="B1316" s="6" t="s">
        <v>461</v>
      </c>
      <c r="C1316" s="7">
        <v>216679</v>
      </c>
      <c r="D1316" s="9" t="s">
        <v>16</v>
      </c>
      <c r="E1316" s="8"/>
    </row>
    <row r="1317" spans="1:5" ht="12.75" customHeight="1" x14ac:dyDescent="0.2">
      <c r="A1317" s="6" t="s">
        <v>604</v>
      </c>
      <c r="B1317" s="6" t="s">
        <v>353</v>
      </c>
      <c r="C1317" s="7">
        <v>216678</v>
      </c>
      <c r="D1317" s="9" t="s">
        <v>16</v>
      </c>
      <c r="E1317" s="8"/>
    </row>
    <row r="1318" spans="1:5" ht="12.75" customHeight="1" x14ac:dyDescent="0.2">
      <c r="A1318" s="6" t="s">
        <v>605</v>
      </c>
      <c r="B1318" s="6" t="s">
        <v>461</v>
      </c>
      <c r="C1318" s="7">
        <v>216670</v>
      </c>
      <c r="D1318" s="9" t="s">
        <v>7</v>
      </c>
      <c r="E1318" s="8"/>
    </row>
    <row r="1319" spans="1:5" ht="12.75" customHeight="1" x14ac:dyDescent="0.2">
      <c r="A1319" s="6" t="s">
        <v>606</v>
      </c>
      <c r="B1319" s="6" t="s">
        <v>353</v>
      </c>
      <c r="C1319" s="7">
        <v>216672</v>
      </c>
      <c r="D1319" s="9" t="s">
        <v>7</v>
      </c>
      <c r="E1319" s="8"/>
    </row>
    <row r="1320" spans="1:5" ht="12.75" customHeight="1" x14ac:dyDescent="0.2">
      <c r="A1320" s="6" t="s">
        <v>605</v>
      </c>
      <c r="B1320" s="6" t="s">
        <v>353</v>
      </c>
      <c r="C1320" s="7">
        <v>216667</v>
      </c>
      <c r="D1320" s="9" t="s">
        <v>7</v>
      </c>
      <c r="E1320" s="8"/>
    </row>
    <row r="1321" spans="1:5" ht="12.75" customHeight="1" x14ac:dyDescent="0.2">
      <c r="A1321" s="6" t="s">
        <v>605</v>
      </c>
      <c r="B1321" s="6" t="s">
        <v>488</v>
      </c>
      <c r="C1321" s="7">
        <v>216669</v>
      </c>
      <c r="D1321" s="9" t="s">
        <v>7</v>
      </c>
      <c r="E1321" s="8"/>
    </row>
    <row r="1322" spans="1:5" ht="12.75" customHeight="1" x14ac:dyDescent="0.2">
      <c r="A1322" s="6" t="s">
        <v>606</v>
      </c>
      <c r="B1322" s="6" t="s">
        <v>488</v>
      </c>
      <c r="C1322" s="7">
        <v>216671</v>
      </c>
      <c r="D1322" s="9" t="s">
        <v>7</v>
      </c>
      <c r="E1322" s="8"/>
    </row>
    <row r="1323" spans="1:5" ht="12.75" customHeight="1" x14ac:dyDescent="0.2">
      <c r="A1323" s="6" t="s">
        <v>137</v>
      </c>
      <c r="B1323" s="6" t="s">
        <v>32</v>
      </c>
      <c r="C1323" s="7">
        <v>166795</v>
      </c>
      <c r="D1323" s="9" t="s">
        <v>16</v>
      </c>
      <c r="E1323" s="8"/>
    </row>
    <row r="1324" spans="1:5" ht="12.75" customHeight="1" x14ac:dyDescent="0.2">
      <c r="A1324" s="6" t="s">
        <v>61</v>
      </c>
      <c r="B1324" s="6" t="s">
        <v>15</v>
      </c>
      <c r="C1324" s="7">
        <v>190668</v>
      </c>
      <c r="D1324" s="9" t="s">
        <v>16</v>
      </c>
      <c r="E1324" s="8"/>
    </row>
    <row r="1325" spans="1:5" ht="12.75" customHeight="1" x14ac:dyDescent="0.2">
      <c r="A1325" s="6" t="s">
        <v>70</v>
      </c>
      <c r="B1325" s="6" t="s">
        <v>15</v>
      </c>
      <c r="C1325" s="7">
        <v>197110</v>
      </c>
      <c r="D1325" s="9" t="s">
        <v>16</v>
      </c>
      <c r="E1325" s="8"/>
    </row>
    <row r="1326" spans="1:5" ht="12.75" customHeight="1" x14ac:dyDescent="0.2">
      <c r="A1326" s="6" t="s">
        <v>356</v>
      </c>
      <c r="B1326" s="6" t="s">
        <v>15</v>
      </c>
      <c r="C1326" s="7">
        <v>197095</v>
      </c>
      <c r="D1326" s="9" t="s">
        <v>7</v>
      </c>
      <c r="E1326" s="8"/>
    </row>
    <row r="1327" spans="1:5" ht="12.75" customHeight="1" x14ac:dyDescent="0.2">
      <c r="A1327" s="6" t="s">
        <v>358</v>
      </c>
      <c r="B1327" s="6" t="s">
        <v>15</v>
      </c>
      <c r="C1327" s="7">
        <v>196158</v>
      </c>
      <c r="D1327" s="9" t="s">
        <v>7</v>
      </c>
      <c r="E1327" s="8"/>
    </row>
    <row r="1328" spans="1:5" ht="12.75" customHeight="1" x14ac:dyDescent="0.2">
      <c r="A1328" s="6" t="s">
        <v>414</v>
      </c>
      <c r="B1328" s="6" t="s">
        <v>15</v>
      </c>
      <c r="C1328" s="7">
        <v>203557</v>
      </c>
      <c r="D1328" s="9" t="s">
        <v>16</v>
      </c>
      <c r="E1328" s="8"/>
    </row>
    <row r="1329" spans="1:5" ht="12.75" customHeight="1" x14ac:dyDescent="0.2">
      <c r="A1329" s="6" t="s">
        <v>455</v>
      </c>
      <c r="B1329" s="6" t="s">
        <v>32</v>
      </c>
      <c r="C1329" s="7">
        <v>134149</v>
      </c>
      <c r="D1329" s="9" t="s">
        <v>16</v>
      </c>
      <c r="E1329" s="8"/>
    </row>
    <row r="1330" spans="1:5" ht="12.75" customHeight="1" x14ac:dyDescent="0.2">
      <c r="A1330" s="6" t="s">
        <v>460</v>
      </c>
      <c r="B1330" s="6" t="s">
        <v>685</v>
      </c>
      <c r="C1330" s="7">
        <v>148594</v>
      </c>
      <c r="D1330" s="9" t="s">
        <v>16</v>
      </c>
      <c r="E1330" s="8"/>
    </row>
    <row r="1331" spans="1:5" ht="12.75" customHeight="1" x14ac:dyDescent="0.2">
      <c r="A1331" s="6" t="s">
        <v>464</v>
      </c>
      <c r="B1331" s="6" t="s">
        <v>353</v>
      </c>
      <c r="C1331" s="7">
        <v>148644</v>
      </c>
      <c r="D1331" s="9" t="s">
        <v>16</v>
      </c>
      <c r="E1331" s="8"/>
    </row>
    <row r="1332" spans="1:5" ht="12.75" customHeight="1" x14ac:dyDescent="0.2">
      <c r="A1332" s="6" t="s">
        <v>462</v>
      </c>
      <c r="B1332" s="6" t="s">
        <v>353</v>
      </c>
      <c r="C1332" s="7">
        <v>148645</v>
      </c>
      <c r="D1332" s="9" t="s">
        <v>16</v>
      </c>
      <c r="E1332" s="8"/>
    </row>
    <row r="1333" spans="1:5" ht="12.75" customHeight="1" x14ac:dyDescent="0.2">
      <c r="A1333" s="6" t="s">
        <v>463</v>
      </c>
      <c r="B1333" s="6" t="s">
        <v>353</v>
      </c>
      <c r="C1333" s="7">
        <v>148650</v>
      </c>
      <c r="D1333" s="9" t="s">
        <v>16</v>
      </c>
      <c r="E1333" s="8"/>
    </row>
    <row r="1334" spans="1:5" ht="12.75" customHeight="1" x14ac:dyDescent="0.2">
      <c r="A1334" s="6" t="s">
        <v>460</v>
      </c>
      <c r="B1334" s="6" t="s">
        <v>273</v>
      </c>
      <c r="C1334" s="7">
        <v>166048</v>
      </c>
      <c r="D1334" s="9" t="s">
        <v>16</v>
      </c>
      <c r="E1334" s="8"/>
    </row>
    <row r="1335" spans="1:5" ht="12.75" customHeight="1" x14ac:dyDescent="0.2">
      <c r="A1335" s="6" t="s">
        <v>495</v>
      </c>
      <c r="B1335" s="6" t="s">
        <v>273</v>
      </c>
      <c r="C1335" s="7">
        <v>172764</v>
      </c>
      <c r="D1335" s="9" t="s">
        <v>16</v>
      </c>
      <c r="E1335" s="8"/>
    </row>
    <row r="1336" spans="1:5" ht="12.75" customHeight="1" x14ac:dyDescent="0.2">
      <c r="A1336" s="6" t="s">
        <v>465</v>
      </c>
      <c r="B1336" s="6" t="s">
        <v>420</v>
      </c>
      <c r="C1336" s="7">
        <v>181942</v>
      </c>
      <c r="D1336" s="9" t="s">
        <v>16</v>
      </c>
      <c r="E1336" s="8"/>
    </row>
    <row r="1337" spans="1:5" ht="12.75" customHeight="1" x14ac:dyDescent="0.2">
      <c r="A1337" s="6" t="s">
        <v>527</v>
      </c>
      <c r="B1337" s="6" t="s">
        <v>273</v>
      </c>
      <c r="C1337" s="7">
        <v>194747</v>
      </c>
      <c r="D1337" s="9" t="s">
        <v>7</v>
      </c>
      <c r="E1337" s="8"/>
    </row>
    <row r="1338" spans="1:5" ht="12.75" customHeight="1" x14ac:dyDescent="0.2">
      <c r="A1338" s="6" t="s">
        <v>571</v>
      </c>
      <c r="B1338" s="6" t="s">
        <v>273</v>
      </c>
      <c r="C1338" s="7">
        <v>195003</v>
      </c>
      <c r="D1338" s="9" t="s">
        <v>7</v>
      </c>
      <c r="E1338" s="8"/>
    </row>
    <row r="1339" spans="1:5" ht="12.75" customHeight="1" x14ac:dyDescent="0.2">
      <c r="A1339" s="6" t="s">
        <v>577</v>
      </c>
      <c r="B1339" s="6" t="s">
        <v>273</v>
      </c>
      <c r="C1339" s="7">
        <v>195414</v>
      </c>
      <c r="D1339" s="9" t="s">
        <v>7</v>
      </c>
      <c r="E1339" s="8"/>
    </row>
    <row r="1340" spans="1:5" ht="12.75" customHeight="1" x14ac:dyDescent="0.2">
      <c r="A1340" s="6" t="s">
        <v>593</v>
      </c>
      <c r="B1340" s="6" t="s">
        <v>15</v>
      </c>
      <c r="C1340" s="7">
        <v>201239</v>
      </c>
      <c r="D1340" s="9" t="s">
        <v>16</v>
      </c>
      <c r="E1340" s="8"/>
    </row>
    <row r="1341" spans="1:5" ht="12.75" customHeight="1" x14ac:dyDescent="0.2">
      <c r="A1341" s="6" t="s">
        <v>596</v>
      </c>
      <c r="B1341" s="6" t="s">
        <v>273</v>
      </c>
      <c r="C1341" s="7">
        <v>201278</v>
      </c>
      <c r="D1341" s="9" t="s">
        <v>16</v>
      </c>
      <c r="E1341" s="8"/>
    </row>
    <row r="1342" spans="1:5" ht="12.75" customHeight="1" x14ac:dyDescent="0.2">
      <c r="A1342" s="6" t="s">
        <v>598</v>
      </c>
      <c r="B1342" s="6" t="s">
        <v>273</v>
      </c>
      <c r="C1342" s="7">
        <v>201282</v>
      </c>
      <c r="D1342" s="9" t="s">
        <v>16</v>
      </c>
      <c r="E1342" s="8"/>
    </row>
    <row r="1343" spans="1:5" ht="12.75" customHeight="1" x14ac:dyDescent="0.2">
      <c r="A1343" s="6" t="s">
        <v>600</v>
      </c>
      <c r="B1343" s="6" t="s">
        <v>32</v>
      </c>
      <c r="C1343" s="7">
        <v>201292</v>
      </c>
      <c r="D1343" s="9" t="s">
        <v>16</v>
      </c>
      <c r="E1343" s="8"/>
    </row>
    <row r="1344" spans="1:5" ht="12.75" customHeight="1" x14ac:dyDescent="0.2">
      <c r="A1344" s="6" t="s">
        <v>600</v>
      </c>
      <c r="B1344" s="6" t="s">
        <v>15</v>
      </c>
      <c r="C1344" s="7">
        <v>201293</v>
      </c>
      <c r="D1344" s="9" t="s">
        <v>16</v>
      </c>
      <c r="E1344" s="8"/>
    </row>
    <row r="1345" spans="1:5" ht="12.75" customHeight="1" x14ac:dyDescent="0.2">
      <c r="A1345" s="6" t="s">
        <v>603</v>
      </c>
      <c r="B1345" s="6" t="s">
        <v>273</v>
      </c>
      <c r="C1345" s="7">
        <v>201534</v>
      </c>
      <c r="D1345" s="9" t="s">
        <v>16</v>
      </c>
      <c r="E1345" s="8"/>
    </row>
    <row r="1346" spans="1:5" ht="12.75" customHeight="1" x14ac:dyDescent="0.2">
      <c r="A1346" s="6" t="s">
        <v>610</v>
      </c>
      <c r="B1346" s="6" t="s">
        <v>15</v>
      </c>
      <c r="C1346" s="7">
        <v>201659</v>
      </c>
      <c r="D1346" s="9" t="s">
        <v>16</v>
      </c>
      <c r="E1346" s="8"/>
    </row>
    <row r="1347" spans="1:5" ht="12.75" customHeight="1" x14ac:dyDescent="0.2">
      <c r="A1347" s="6" t="s">
        <v>629</v>
      </c>
      <c r="B1347" s="6" t="s">
        <v>15</v>
      </c>
      <c r="C1347" s="7">
        <v>110720</v>
      </c>
      <c r="D1347" s="9" t="s">
        <v>16</v>
      </c>
      <c r="E1347" s="8"/>
    </row>
    <row r="1348" spans="1:5" ht="12.75" customHeight="1" x14ac:dyDescent="0.2">
      <c r="A1348" s="6" t="s">
        <v>636</v>
      </c>
      <c r="B1348" s="6" t="s">
        <v>273</v>
      </c>
      <c r="C1348" s="7">
        <v>193627</v>
      </c>
      <c r="D1348" s="9" t="s">
        <v>16</v>
      </c>
      <c r="E1348" s="8"/>
    </row>
    <row r="1349" spans="1:5" ht="12.75" customHeight="1" x14ac:dyDescent="0.2">
      <c r="A1349" s="6" t="s">
        <v>199</v>
      </c>
      <c r="B1349" s="6" t="s">
        <v>15</v>
      </c>
      <c r="C1349" s="7">
        <v>10291101</v>
      </c>
      <c r="D1349" s="9" t="s">
        <v>16</v>
      </c>
      <c r="E1349" s="8"/>
    </row>
    <row r="1350" spans="1:5" ht="12.75" customHeight="1" x14ac:dyDescent="0.2">
      <c r="A1350" s="6" t="s">
        <v>686</v>
      </c>
      <c r="B1350" s="6" t="s">
        <v>15</v>
      </c>
      <c r="C1350" s="7">
        <v>166797</v>
      </c>
      <c r="D1350" s="9" t="s">
        <v>16</v>
      </c>
      <c r="E1350" s="8"/>
    </row>
    <row r="1351" spans="1:5" ht="12.75" customHeight="1" x14ac:dyDescent="0.2">
      <c r="A1351" s="6" t="s">
        <v>687</v>
      </c>
      <c r="B1351" s="6" t="s">
        <v>32</v>
      </c>
      <c r="C1351" s="7">
        <v>201284</v>
      </c>
      <c r="D1351" s="9" t="s">
        <v>16</v>
      </c>
      <c r="E1351" s="8"/>
    </row>
    <row r="1352" spans="1:5" ht="12.75" customHeight="1" x14ac:dyDescent="0.2">
      <c r="A1352" s="6" t="s">
        <v>193</v>
      </c>
      <c r="B1352" s="6" t="s">
        <v>15</v>
      </c>
      <c r="C1352" s="7" t="s">
        <v>688</v>
      </c>
      <c r="D1352" s="9" t="s">
        <v>16</v>
      </c>
      <c r="E1352" s="8"/>
    </row>
  </sheetData>
  <autoFilter ref="A1:D1352" xr:uid="{00000000-0009-0000-0000-000000000000}"/>
  <pageMargins left="0.70866141732283472" right="0.70866141732283472" top="0.74803149606299213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1355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4.5" defaultRowHeight="15" customHeight="1" outlineLevelCol="1" x14ac:dyDescent="0.2"/>
  <cols>
    <col min="1" max="1" width="31" customWidth="1"/>
    <col min="2" max="2" width="7.83203125" customWidth="1"/>
    <col min="3" max="3" width="9.6640625" customWidth="1"/>
    <col min="4" max="4" width="8.5" hidden="1" customWidth="1" outlineLevel="1"/>
    <col min="5" max="5" width="7.5" hidden="1" customWidth="1" outlineLevel="1"/>
    <col min="6" max="6" width="12.33203125" hidden="1" customWidth="1" outlineLevel="1"/>
    <col min="7" max="7" width="16.1640625" customWidth="1" collapsed="1"/>
    <col min="8" max="22" width="16.1640625" customWidth="1"/>
  </cols>
  <sheetData>
    <row r="1" spans="1:22" ht="37.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0" t="s">
        <v>689</v>
      </c>
      <c r="G1" s="11" t="s">
        <v>690</v>
      </c>
      <c r="H1" s="11" t="s">
        <v>691</v>
      </c>
      <c r="I1" s="11" t="s">
        <v>692</v>
      </c>
      <c r="J1" s="12" t="s">
        <v>693</v>
      </c>
      <c r="K1" s="12" t="s">
        <v>694</v>
      </c>
      <c r="L1" s="12" t="s">
        <v>695</v>
      </c>
      <c r="M1" s="12" t="s">
        <v>696</v>
      </c>
      <c r="N1" s="12" t="s">
        <v>697</v>
      </c>
      <c r="O1" s="12" t="s">
        <v>694</v>
      </c>
      <c r="P1" s="12" t="s">
        <v>696</v>
      </c>
      <c r="Q1" s="12" t="s">
        <v>697</v>
      </c>
      <c r="R1" s="12" t="s">
        <v>698</v>
      </c>
      <c r="S1" s="12" t="s">
        <v>699</v>
      </c>
      <c r="T1" s="12" t="s">
        <v>700</v>
      </c>
      <c r="U1" s="12" t="s">
        <v>701</v>
      </c>
      <c r="V1" s="12" t="s">
        <v>702</v>
      </c>
    </row>
    <row r="2" spans="1:22" ht="12.75" customHeight="1" x14ac:dyDescent="0.2">
      <c r="A2" s="6"/>
      <c r="B2" s="6"/>
      <c r="C2" s="7"/>
      <c r="D2" s="8"/>
      <c r="E2" s="9"/>
      <c r="F2" s="10" t="s">
        <v>703</v>
      </c>
      <c r="G2" s="11" t="s">
        <v>704</v>
      </c>
      <c r="H2" s="11" t="s">
        <v>704</v>
      </c>
      <c r="I2" s="11" t="s">
        <v>705</v>
      </c>
      <c r="J2" s="12" t="s">
        <v>706</v>
      </c>
      <c r="K2" s="12" t="s">
        <v>706</v>
      </c>
      <c r="L2" s="12" t="s">
        <v>706</v>
      </c>
      <c r="M2" s="12" t="s">
        <v>706</v>
      </c>
      <c r="N2" s="12" t="s">
        <v>706</v>
      </c>
      <c r="O2" s="12" t="s">
        <v>705</v>
      </c>
      <c r="P2" s="12" t="s">
        <v>705</v>
      </c>
      <c r="Q2" s="12" t="s">
        <v>705</v>
      </c>
      <c r="R2" s="12" t="s">
        <v>705</v>
      </c>
      <c r="S2" s="12" t="s">
        <v>705</v>
      </c>
      <c r="T2" s="12" t="s">
        <v>705</v>
      </c>
      <c r="U2" s="12" t="s">
        <v>705</v>
      </c>
      <c r="V2" s="12" t="s">
        <v>705</v>
      </c>
    </row>
    <row r="3" spans="1:22" ht="12.75" customHeight="1" x14ac:dyDescent="0.2">
      <c r="A3" s="6"/>
      <c r="B3" s="6"/>
      <c r="C3" s="7"/>
      <c r="D3" s="8"/>
      <c r="E3" s="9"/>
      <c r="F3" s="13"/>
      <c r="G3" s="14"/>
      <c r="H3" s="14">
        <v>0.55000000000000004</v>
      </c>
      <c r="I3" s="14"/>
      <c r="J3" s="15"/>
      <c r="K3" s="16"/>
      <c r="L3" s="17">
        <v>0.19</v>
      </c>
      <c r="M3" s="18">
        <v>500</v>
      </c>
      <c r="N3" s="18">
        <v>500</v>
      </c>
      <c r="O3" s="16"/>
      <c r="P3" s="16"/>
      <c r="Q3" s="16"/>
      <c r="R3" s="17">
        <v>0.12</v>
      </c>
      <c r="S3" s="16"/>
      <c r="T3" s="16"/>
      <c r="U3" s="16"/>
      <c r="V3" s="16"/>
    </row>
    <row r="4" spans="1:22" ht="13.5" customHeight="1" x14ac:dyDescent="0.2">
      <c r="A4" s="19"/>
      <c r="B4" s="19"/>
      <c r="C4" s="19"/>
      <c r="D4" s="20"/>
      <c r="E4" s="21"/>
      <c r="F4" s="22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2.75" customHeight="1" x14ac:dyDescent="0.2">
      <c r="A5" s="6" t="s">
        <v>60</v>
      </c>
      <c r="B5" s="6" t="s">
        <v>136</v>
      </c>
      <c r="C5" s="7">
        <v>112703</v>
      </c>
      <c r="D5" s="8">
        <v>358964.39999999997</v>
      </c>
      <c r="E5" s="9" t="s">
        <v>16</v>
      </c>
      <c r="F5" s="23">
        <v>1000</v>
      </c>
      <c r="G5" s="24">
        <v>-0.01</v>
      </c>
      <c r="H5" s="14">
        <f t="shared" ref="H5:H259" si="0">H$3+G5</f>
        <v>0.54</v>
      </c>
      <c r="I5" s="25">
        <f ca="1">IFERROR(__xludf.DUMMYFUNCTION("ROUND(D5*GOOGLEFINANCE(""RUBKZT"")*H5)"),1512641)</f>
        <v>1512641</v>
      </c>
      <c r="J5" s="26">
        <f ca="1">IFERROR(__xludf.DUMMYFUNCTION("ROUND(I5*GOOGLEFINANCE(""KZTEUR""))"),3168)</f>
        <v>3168</v>
      </c>
      <c r="K5" s="26">
        <f t="shared" ref="K5:K259" ca="1" si="1">ROUND(J5/F5*1000,0)</f>
        <v>3168</v>
      </c>
      <c r="L5" s="26">
        <f t="shared" ref="L5:L259" ca="1" si="2">K5*L$3</f>
        <v>601.91999999999996</v>
      </c>
      <c r="M5" s="26">
        <f t="shared" ref="M5:N5" si="3">M$3</f>
        <v>500</v>
      </c>
      <c r="N5" s="26">
        <f t="shared" si="3"/>
        <v>500</v>
      </c>
      <c r="O5" s="26">
        <f ca="1">IFERROR(__xludf.DUMMYFUNCTION("ROUND(GOOGLEFINANCE(""Currency:EURKZT"")*K5)"),1512941)</f>
        <v>1512941</v>
      </c>
      <c r="P5" s="26">
        <f ca="1">IFERROR(__xludf.DUMMYFUNCTION("ROUND(GOOGLEFINANCE(""Currency:EURKZT"")*M5)"),238785)</f>
        <v>238785</v>
      </c>
      <c r="Q5" s="26">
        <f ca="1">IFERROR(__xludf.DUMMYFUNCTION("ROUND(GOOGLEFINANCE(""Currency:EURKZT"")*N5)"),238785)</f>
        <v>238785</v>
      </c>
      <c r="R5" s="26">
        <f t="shared" ref="R5:R259" ca="1" si="4">ROUND(O5*R$3,0)</f>
        <v>181553</v>
      </c>
      <c r="S5" s="26">
        <f t="shared" ref="S5:S259" ca="1" si="5">SUM(O5:R5)</f>
        <v>2172064</v>
      </c>
      <c r="T5" s="26">
        <f ca="1">IFERROR(__xludf.DUMMYFUNCTION("ROUND(GOOGLEFINANCE(""Currency:EURKZT"")*L5+S5)"),2459523)</f>
        <v>2459523</v>
      </c>
      <c r="U5" s="26">
        <f ca="1">IFERROR(__xludf.DUMMYFUNCTION("D5*GOOGLEFINANCE(""RUBKZT"")*1000/F5"),2801186.89845446)</f>
        <v>2801186.8984544598</v>
      </c>
      <c r="V5" s="27">
        <f t="shared" ref="V5:V259" ca="1" si="6">(U5-T5)/T5</f>
        <v>0.138914699498423</v>
      </c>
    </row>
    <row r="6" spans="1:22" ht="12.75" customHeight="1" x14ac:dyDescent="0.2">
      <c r="A6" s="6" t="s">
        <v>61</v>
      </c>
      <c r="B6" s="6" t="s">
        <v>136</v>
      </c>
      <c r="C6" s="7">
        <v>112704</v>
      </c>
      <c r="D6" s="8">
        <v>371970</v>
      </c>
      <c r="E6" s="9" t="s">
        <v>16</v>
      </c>
      <c r="F6" s="23">
        <v>1000</v>
      </c>
      <c r="G6" s="24">
        <v>-0.01</v>
      </c>
      <c r="H6" s="14">
        <f t="shared" si="0"/>
        <v>0.54</v>
      </c>
      <c r="I6" s="25">
        <f ca="1">IFERROR(__xludf.DUMMYFUNCTION("ROUND(D6*GOOGLEFINANCE(""RUBKZT"")*H6)"),1567445)</f>
        <v>1567445</v>
      </c>
      <c r="J6" s="26">
        <f ca="1">IFERROR(__xludf.DUMMYFUNCTION("ROUND(I6*GOOGLEFINANCE(""KZTEUR""))"),3283)</f>
        <v>3283</v>
      </c>
      <c r="K6" s="26">
        <f t="shared" ca="1" si="1"/>
        <v>3283</v>
      </c>
      <c r="L6" s="26">
        <f t="shared" ca="1" si="2"/>
        <v>623.77</v>
      </c>
      <c r="M6" s="26">
        <f t="shared" ref="M6:N6" si="7">M$3</f>
        <v>500</v>
      </c>
      <c r="N6" s="26">
        <f t="shared" si="7"/>
        <v>500</v>
      </c>
      <c r="O6" s="26">
        <f ca="1">IFERROR(__xludf.DUMMYFUNCTION("ROUND(GOOGLEFINANCE(""Currency:EURKZT"")*K6)"),1567861)</f>
        <v>1567861</v>
      </c>
      <c r="P6" s="26">
        <f ca="1">IFERROR(__xludf.DUMMYFUNCTION("ROUND(GOOGLEFINANCE(""Currency:EURKZT"")*M6)"),238785)</f>
        <v>238785</v>
      </c>
      <c r="Q6" s="26">
        <f ca="1">IFERROR(__xludf.DUMMYFUNCTION("ROUND(GOOGLEFINANCE(""Currency:EURKZT"")*N6)"),238785)</f>
        <v>238785</v>
      </c>
      <c r="R6" s="26">
        <f t="shared" ca="1" si="4"/>
        <v>188143</v>
      </c>
      <c r="S6" s="26">
        <f t="shared" ca="1" si="5"/>
        <v>2233574</v>
      </c>
      <c r="T6" s="26">
        <f ca="1">IFERROR(__xludf.DUMMYFUNCTION("ROUND(GOOGLEFINANCE(""Currency:EURKZT"")*L6+S6)"),2531468)</f>
        <v>2531468</v>
      </c>
      <c r="U6" s="26">
        <f ca="1">IFERROR(__xludf.DUMMYFUNCTION("D6*GOOGLEFINANCE(""RUBKZT"")*1000/F6"),2902676.39525844)</f>
        <v>2902676.3952584402</v>
      </c>
      <c r="V6" s="27">
        <f t="shared" ca="1" si="6"/>
        <v>0.14663760128843825</v>
      </c>
    </row>
    <row r="7" spans="1:22" ht="12.75" customHeight="1" x14ac:dyDescent="0.2">
      <c r="A7" s="6" t="s">
        <v>62</v>
      </c>
      <c r="B7" s="6" t="s">
        <v>136</v>
      </c>
      <c r="C7" s="7">
        <v>112705</v>
      </c>
      <c r="D7" s="8">
        <v>384501.6</v>
      </c>
      <c r="E7" s="9" t="s">
        <v>16</v>
      </c>
      <c r="F7" s="23">
        <v>1000</v>
      </c>
      <c r="G7" s="25"/>
      <c r="H7" s="14">
        <f t="shared" si="0"/>
        <v>0.55000000000000004</v>
      </c>
      <c r="I7" s="25">
        <f ca="1">IFERROR(__xludf.DUMMYFUNCTION("ROUND(D7*GOOGLEFINANCE(""RUBKZT"")*H7)"),1650257)</f>
        <v>1650257</v>
      </c>
      <c r="J7" s="26">
        <f ca="1">IFERROR(__xludf.DUMMYFUNCTION("ROUND(I7*GOOGLEFINANCE(""KZTEUR""))"),3456)</f>
        <v>3456</v>
      </c>
      <c r="K7" s="26">
        <f t="shared" ca="1" si="1"/>
        <v>3456</v>
      </c>
      <c r="L7" s="26">
        <f t="shared" ca="1" si="2"/>
        <v>656.64</v>
      </c>
      <c r="M7" s="26">
        <f t="shared" ref="M7:N7" si="8">M$3</f>
        <v>500</v>
      </c>
      <c r="N7" s="26">
        <f t="shared" si="8"/>
        <v>500</v>
      </c>
      <c r="O7" s="26">
        <f ca="1">IFERROR(__xludf.DUMMYFUNCTION("ROUND(GOOGLEFINANCE(""Currency:EURKZT"")*K7)"),1650481)</f>
        <v>1650481</v>
      </c>
      <c r="P7" s="26">
        <f ca="1">IFERROR(__xludf.DUMMYFUNCTION("ROUND(GOOGLEFINANCE(""Currency:EURKZT"")*M7)"),238785)</f>
        <v>238785</v>
      </c>
      <c r="Q7" s="26">
        <f ca="1">IFERROR(__xludf.DUMMYFUNCTION("ROUND(GOOGLEFINANCE(""Currency:EURKZT"")*N7)"),238785)</f>
        <v>238785</v>
      </c>
      <c r="R7" s="26">
        <f t="shared" ca="1" si="4"/>
        <v>198058</v>
      </c>
      <c r="S7" s="26">
        <f t="shared" ca="1" si="5"/>
        <v>2326109</v>
      </c>
      <c r="T7" s="26">
        <f ca="1">IFERROR(__xludf.DUMMYFUNCTION("ROUND(GOOGLEFINANCE(""Currency:EURKZT"")*L7+S7)"),2639700)</f>
        <v>2639700</v>
      </c>
      <c r="U7" s="26">
        <f ca="1">IFERROR(__xludf.DUMMYFUNCTION("D7*GOOGLEFINANCE(""RUBKZT"")*1000/F7"),3000467.02223056)</f>
        <v>3000467.02223056</v>
      </c>
      <c r="V7" s="27">
        <f t="shared" ca="1" si="6"/>
        <v>0.13666970573571238</v>
      </c>
    </row>
    <row r="8" spans="1:22" ht="12.75" customHeight="1" x14ac:dyDescent="0.2">
      <c r="A8" s="6" t="s">
        <v>98</v>
      </c>
      <c r="B8" s="6" t="s">
        <v>136</v>
      </c>
      <c r="C8" s="7">
        <v>112720</v>
      </c>
      <c r="D8" s="8">
        <v>822393.6</v>
      </c>
      <c r="E8" s="9" t="s">
        <v>16</v>
      </c>
      <c r="F8" s="23">
        <v>1000</v>
      </c>
      <c r="G8" s="24">
        <v>0.06</v>
      </c>
      <c r="H8" s="14">
        <f t="shared" si="0"/>
        <v>0.6100000000000001</v>
      </c>
      <c r="I8" s="25">
        <f ca="1">IFERROR(__xludf.DUMMYFUNCTION("ROUND(D8*GOOGLEFINANCE(""RUBKZT"")*H8)"),3914716)</f>
        <v>3914716</v>
      </c>
      <c r="J8" s="26">
        <f ca="1">IFERROR(__xludf.DUMMYFUNCTION("ROUND(I8*GOOGLEFINANCE(""KZTEUR""))"),8199)</f>
        <v>8199</v>
      </c>
      <c r="K8" s="26">
        <f t="shared" ca="1" si="1"/>
        <v>8199</v>
      </c>
      <c r="L8" s="26">
        <f t="shared" ca="1" si="2"/>
        <v>1557.81</v>
      </c>
      <c r="M8" s="26">
        <f t="shared" ref="M8:N8" si="9">M$3</f>
        <v>500</v>
      </c>
      <c r="N8" s="26">
        <f t="shared" si="9"/>
        <v>500</v>
      </c>
      <c r="O8" s="26">
        <f ca="1">IFERROR(__xludf.DUMMYFUNCTION("ROUND(GOOGLEFINANCE(""Currency:EURKZT"")*K8)"),3915593)</f>
        <v>3915593</v>
      </c>
      <c r="P8" s="26">
        <f ca="1">IFERROR(__xludf.DUMMYFUNCTION("ROUND(GOOGLEFINANCE(""Currency:EURKZT"")*M8)"),238785)</f>
        <v>238785</v>
      </c>
      <c r="Q8" s="26">
        <f ca="1">IFERROR(__xludf.DUMMYFUNCTION("ROUND(GOOGLEFINANCE(""Currency:EURKZT"")*N8)"),238785)</f>
        <v>238785</v>
      </c>
      <c r="R8" s="26">
        <f t="shared" ca="1" si="4"/>
        <v>469871</v>
      </c>
      <c r="S8" s="26">
        <f t="shared" ca="1" si="5"/>
        <v>4863034</v>
      </c>
      <c r="T8" s="26">
        <f ca="1">IFERROR(__xludf.DUMMYFUNCTION("ROUND(GOOGLEFINANCE(""Currency:EURKZT"")*L8+S8)"),5606997)</f>
        <v>5606997</v>
      </c>
      <c r="U8" s="26">
        <f ca="1">IFERROR(__xludf.DUMMYFUNCTION("D8*GOOGLEFINANCE(""RUBKZT"")*1000/F8"),6417567.25093854)</f>
        <v>6417567.2509385403</v>
      </c>
      <c r="V8" s="27">
        <f t="shared" ca="1" si="6"/>
        <v>0.14456406003758168</v>
      </c>
    </row>
    <row r="9" spans="1:22" ht="12.75" customHeight="1" x14ac:dyDescent="0.2">
      <c r="A9" s="6" t="s">
        <v>137</v>
      </c>
      <c r="B9" s="6" t="s">
        <v>136</v>
      </c>
      <c r="C9" s="7">
        <v>134333</v>
      </c>
      <c r="D9" s="8">
        <v>361814.39999999997</v>
      </c>
      <c r="E9" s="9" t="s">
        <v>16</v>
      </c>
      <c r="F9" s="23">
        <v>1000</v>
      </c>
      <c r="G9" s="24">
        <v>-0.01</v>
      </c>
      <c r="H9" s="14">
        <f t="shared" si="0"/>
        <v>0.54</v>
      </c>
      <c r="I9" s="25">
        <f ca="1">IFERROR(__xludf.DUMMYFUNCTION("ROUND(D9*GOOGLEFINANCE(""RUBKZT"")*H9)"),1524651)</f>
        <v>1524651</v>
      </c>
      <c r="J9" s="26">
        <f ca="1">IFERROR(__xludf.DUMMYFUNCTION("ROUND(I9*GOOGLEFINANCE(""KZTEUR""))"),3193)</f>
        <v>3193</v>
      </c>
      <c r="K9" s="26">
        <f t="shared" ca="1" si="1"/>
        <v>3193</v>
      </c>
      <c r="L9" s="26">
        <f t="shared" ca="1" si="2"/>
        <v>606.66999999999996</v>
      </c>
      <c r="M9" s="26">
        <f t="shared" ref="M9:N9" si="10">M$3</f>
        <v>500</v>
      </c>
      <c r="N9" s="26">
        <f t="shared" si="10"/>
        <v>500</v>
      </c>
      <c r="O9" s="26">
        <f ca="1">IFERROR(__xludf.DUMMYFUNCTION("ROUND(GOOGLEFINANCE(""Currency:EURKZT"")*K9)"),1524880)</f>
        <v>1524880</v>
      </c>
      <c r="P9" s="26">
        <f ca="1">IFERROR(__xludf.DUMMYFUNCTION("ROUND(GOOGLEFINANCE(""Currency:EURKZT"")*M9)"),238785)</f>
        <v>238785</v>
      </c>
      <c r="Q9" s="26">
        <f ca="1">IFERROR(__xludf.DUMMYFUNCTION("ROUND(GOOGLEFINANCE(""Currency:EURKZT"")*N9)"),238785)</f>
        <v>238785</v>
      </c>
      <c r="R9" s="26">
        <f t="shared" ca="1" si="4"/>
        <v>182986</v>
      </c>
      <c r="S9" s="26">
        <f t="shared" ca="1" si="5"/>
        <v>2185436</v>
      </c>
      <c r="T9" s="26">
        <f ca="1">IFERROR(__xludf.DUMMYFUNCTION("ROUND(GOOGLEFINANCE(""Currency:EURKZT"")*L9+S9)"),2475163)</f>
        <v>2475163</v>
      </c>
      <c r="U9" s="26">
        <f ca="1">IFERROR(__xludf.DUMMYFUNCTION("D9*GOOGLEFINANCE(""RUBKZT"")*1000/F9"),2823426.93858266)</f>
        <v>2823426.9385826602</v>
      </c>
      <c r="V9" s="27">
        <f t="shared" ca="1" si="6"/>
        <v>0.14070343592832479</v>
      </c>
    </row>
    <row r="10" spans="1:22" ht="12.75" customHeight="1" x14ac:dyDescent="0.2">
      <c r="A10" s="6" t="s">
        <v>188</v>
      </c>
      <c r="B10" s="6" t="s">
        <v>136</v>
      </c>
      <c r="C10" s="7">
        <v>148771</v>
      </c>
      <c r="D10" s="8">
        <v>367755.6</v>
      </c>
      <c r="E10" s="9" t="s">
        <v>16</v>
      </c>
      <c r="F10" s="23">
        <v>1000</v>
      </c>
      <c r="G10" s="24">
        <v>-0.01</v>
      </c>
      <c r="H10" s="14">
        <f t="shared" si="0"/>
        <v>0.54</v>
      </c>
      <c r="I10" s="25">
        <f ca="1">IFERROR(__xludf.DUMMYFUNCTION("ROUND(D10*GOOGLEFINANCE(""RUBKZT"")*H10)"),1549686)</f>
        <v>1549686</v>
      </c>
      <c r="J10" s="26">
        <f ca="1">IFERROR(__xludf.DUMMYFUNCTION("ROUND(I10*GOOGLEFINANCE(""KZTEUR""))"),3246)</f>
        <v>3246</v>
      </c>
      <c r="K10" s="26">
        <f t="shared" ca="1" si="1"/>
        <v>3246</v>
      </c>
      <c r="L10" s="26">
        <f t="shared" ca="1" si="2"/>
        <v>616.74</v>
      </c>
      <c r="M10" s="26">
        <f t="shared" ref="M10:N10" si="11">M$3</f>
        <v>500</v>
      </c>
      <c r="N10" s="26">
        <f t="shared" si="11"/>
        <v>500</v>
      </c>
      <c r="O10" s="26">
        <f ca="1">IFERROR(__xludf.DUMMYFUNCTION("ROUND(GOOGLEFINANCE(""Currency:EURKZT"")*K10)"),1550191)</f>
        <v>1550191</v>
      </c>
      <c r="P10" s="26">
        <f ca="1">IFERROR(__xludf.DUMMYFUNCTION("ROUND(GOOGLEFINANCE(""Currency:EURKZT"")*M10)"),238785)</f>
        <v>238785</v>
      </c>
      <c r="Q10" s="26">
        <f ca="1">IFERROR(__xludf.DUMMYFUNCTION("ROUND(GOOGLEFINANCE(""Currency:EURKZT"")*N10)"),238785)</f>
        <v>238785</v>
      </c>
      <c r="R10" s="26">
        <f t="shared" ca="1" si="4"/>
        <v>186023</v>
      </c>
      <c r="S10" s="26">
        <f t="shared" ca="1" si="5"/>
        <v>2213784</v>
      </c>
      <c r="T10" s="26">
        <f ca="1">IFERROR(__xludf.DUMMYFUNCTION("ROUND(GOOGLEFINANCE(""Currency:EURKZT"")*L10+S10)"),2508320)</f>
        <v>2508320</v>
      </c>
      <c r="U10" s="26">
        <f ca="1">IFERROR(__xludf.DUMMYFUNCTION("D10*GOOGLEFINANCE(""RUBKZT"")*1000/F10"),2869789.22855097)</f>
        <v>2869789.2285509701</v>
      </c>
      <c r="V10" s="27">
        <f t="shared" ca="1" si="6"/>
        <v>0.14410809966470389</v>
      </c>
    </row>
    <row r="11" spans="1:22" ht="12.75" customHeight="1" x14ac:dyDescent="0.2">
      <c r="A11" s="6" t="s">
        <v>198</v>
      </c>
      <c r="B11" s="6" t="s">
        <v>136</v>
      </c>
      <c r="C11" s="7">
        <v>149359</v>
      </c>
      <c r="D11" s="8">
        <v>281623.2</v>
      </c>
      <c r="E11" s="9" t="s">
        <v>16</v>
      </c>
      <c r="F11" s="23">
        <v>1000</v>
      </c>
      <c r="G11" s="24">
        <v>-0.05</v>
      </c>
      <c r="H11" s="14">
        <f t="shared" si="0"/>
        <v>0.5</v>
      </c>
      <c r="I11" s="25">
        <f ca="1">IFERROR(__xludf.DUMMYFUNCTION("ROUND(D11*GOOGLEFINANCE(""RUBKZT"")*H11)"),1098827)</f>
        <v>1098827</v>
      </c>
      <c r="J11" s="26">
        <f ca="1">IFERROR(__xludf.DUMMYFUNCTION("ROUND(I11*GOOGLEFINANCE(""KZTEUR""))"),2301)</f>
        <v>2301</v>
      </c>
      <c r="K11" s="26">
        <f t="shared" ca="1" si="1"/>
        <v>2301</v>
      </c>
      <c r="L11" s="26">
        <f t="shared" ca="1" si="2"/>
        <v>437.19</v>
      </c>
      <c r="M11" s="26">
        <f t="shared" ref="M11:N11" si="12">M$3</f>
        <v>500</v>
      </c>
      <c r="N11" s="26">
        <f t="shared" si="12"/>
        <v>500</v>
      </c>
      <c r="O11" s="26">
        <f ca="1">IFERROR(__xludf.DUMMYFUNCTION("ROUND(GOOGLEFINANCE(""Currency:EURKZT"")*K11)"),1098888)</f>
        <v>1098888</v>
      </c>
      <c r="P11" s="26">
        <f ca="1">IFERROR(__xludf.DUMMYFUNCTION("ROUND(GOOGLEFINANCE(""Currency:EURKZT"")*M11)"),238785)</f>
        <v>238785</v>
      </c>
      <c r="Q11" s="26">
        <f ca="1">IFERROR(__xludf.DUMMYFUNCTION("ROUND(GOOGLEFINANCE(""Currency:EURKZT"")*N11)"),238785)</f>
        <v>238785</v>
      </c>
      <c r="R11" s="26">
        <f t="shared" ca="1" si="4"/>
        <v>131867</v>
      </c>
      <c r="S11" s="26">
        <f t="shared" ca="1" si="5"/>
        <v>1708325</v>
      </c>
      <c r="T11" s="26">
        <f ca="1">IFERROR(__xludf.DUMMYFUNCTION("ROUND(GOOGLEFINANCE(""Currency:EURKZT"")*L11+S11)"),1917114)</f>
        <v>1917114</v>
      </c>
      <c r="U11" s="26">
        <f ca="1">IFERROR(__xludf.DUMMYFUNCTION("D11*GOOGLEFINANCE(""RUBKZT"")*1000/F11"),2197653.07685336)</f>
        <v>2197653.07685336</v>
      </c>
      <c r="V11" s="27">
        <f t="shared" ca="1" si="6"/>
        <v>0.14633406091310169</v>
      </c>
    </row>
    <row r="12" spans="1:22" ht="12.75" customHeight="1" x14ac:dyDescent="0.2">
      <c r="A12" s="6" t="s">
        <v>199</v>
      </c>
      <c r="B12" s="6" t="s">
        <v>136</v>
      </c>
      <c r="C12" s="7">
        <v>156061</v>
      </c>
      <c r="D12" s="8">
        <v>425881.2</v>
      </c>
      <c r="E12" s="9" t="s">
        <v>16</v>
      </c>
      <c r="F12" s="23">
        <v>1000</v>
      </c>
      <c r="G12" s="25"/>
      <c r="H12" s="14">
        <f t="shared" si="0"/>
        <v>0.55000000000000004</v>
      </c>
      <c r="I12" s="25">
        <f ca="1">IFERROR(__xludf.DUMMYFUNCTION("ROUND(D12*GOOGLEFINANCE(""RUBKZT"")*H12)"),1827856)</f>
        <v>1827856</v>
      </c>
      <c r="J12" s="26">
        <f ca="1">IFERROR(__xludf.DUMMYFUNCTION("ROUND(I12*GOOGLEFINANCE(""KZTEUR""))"),3828)</f>
        <v>3828</v>
      </c>
      <c r="K12" s="26">
        <f t="shared" ca="1" si="1"/>
        <v>3828</v>
      </c>
      <c r="L12" s="26">
        <f t="shared" ca="1" si="2"/>
        <v>727.32</v>
      </c>
      <c r="M12" s="26">
        <f t="shared" ref="M12:N12" si="13">M$3</f>
        <v>500</v>
      </c>
      <c r="N12" s="26">
        <f t="shared" si="13"/>
        <v>500</v>
      </c>
      <c r="O12" s="26">
        <f ca="1">IFERROR(__xludf.DUMMYFUNCTION("ROUND(GOOGLEFINANCE(""Currency:EURKZT"")*K12)"),1828136)</f>
        <v>1828136</v>
      </c>
      <c r="P12" s="26">
        <f ca="1">IFERROR(__xludf.DUMMYFUNCTION("ROUND(GOOGLEFINANCE(""Currency:EURKZT"")*M12)"),238785)</f>
        <v>238785</v>
      </c>
      <c r="Q12" s="26">
        <f ca="1">IFERROR(__xludf.DUMMYFUNCTION("ROUND(GOOGLEFINANCE(""Currency:EURKZT"")*N12)"),238785)</f>
        <v>238785</v>
      </c>
      <c r="R12" s="26">
        <f t="shared" ca="1" si="4"/>
        <v>219376</v>
      </c>
      <c r="S12" s="26">
        <f t="shared" ca="1" si="5"/>
        <v>2525082</v>
      </c>
      <c r="T12" s="26">
        <f ca="1">IFERROR(__xludf.DUMMYFUNCTION("ROUND(GOOGLEFINANCE(""Currency:EURKZT"")*L12+S12)"),2872428)</f>
        <v>2872428</v>
      </c>
      <c r="U12" s="26">
        <f ca="1">IFERROR(__xludf.DUMMYFUNCTION("D12*GOOGLEFINANCE(""RUBKZT"")*1000/F12"),3323373.67643718)</f>
        <v>3323373.67643718</v>
      </c>
      <c r="V12" s="27">
        <f t="shared" ca="1" si="6"/>
        <v>0.15699111568233565</v>
      </c>
    </row>
    <row r="13" spans="1:22" ht="12.75" customHeight="1" x14ac:dyDescent="0.2">
      <c r="A13" s="6" t="s">
        <v>213</v>
      </c>
      <c r="B13" s="6" t="s">
        <v>136</v>
      </c>
      <c r="C13" s="7">
        <v>156302</v>
      </c>
      <c r="D13" s="8">
        <v>435024</v>
      </c>
      <c r="E13" s="9" t="s">
        <v>16</v>
      </c>
      <c r="F13" s="23">
        <v>1000</v>
      </c>
      <c r="G13" s="25"/>
      <c r="H13" s="14">
        <f t="shared" si="0"/>
        <v>0.55000000000000004</v>
      </c>
      <c r="I13" s="25">
        <f ca="1">IFERROR(__xludf.DUMMYFUNCTION("ROUND(D13*GOOGLEFINANCE(""RUBKZT"")*H13)"),1867096)</f>
        <v>1867096</v>
      </c>
      <c r="J13" s="26">
        <f ca="1">IFERROR(__xludf.DUMMYFUNCTION("ROUND(I13*GOOGLEFINANCE(""KZTEUR""))"),3910)</f>
        <v>3910</v>
      </c>
      <c r="K13" s="26">
        <f t="shared" ca="1" si="1"/>
        <v>3910</v>
      </c>
      <c r="L13" s="26">
        <f t="shared" ca="1" si="2"/>
        <v>742.9</v>
      </c>
      <c r="M13" s="26">
        <f t="shared" ref="M13:N13" si="14">M$3</f>
        <v>500</v>
      </c>
      <c r="N13" s="26">
        <f t="shared" si="14"/>
        <v>500</v>
      </c>
      <c r="O13" s="26">
        <f ca="1">IFERROR(__xludf.DUMMYFUNCTION("ROUND(GOOGLEFINANCE(""Currency:EURKZT"")*K13)"),1867297)</f>
        <v>1867297</v>
      </c>
      <c r="P13" s="26">
        <f ca="1">IFERROR(__xludf.DUMMYFUNCTION("ROUND(GOOGLEFINANCE(""Currency:EURKZT"")*M13)"),238785)</f>
        <v>238785</v>
      </c>
      <c r="Q13" s="26">
        <f ca="1">IFERROR(__xludf.DUMMYFUNCTION("ROUND(GOOGLEFINANCE(""Currency:EURKZT"")*N13)"),238785)</f>
        <v>238785</v>
      </c>
      <c r="R13" s="26">
        <f t="shared" ca="1" si="4"/>
        <v>224076</v>
      </c>
      <c r="S13" s="26">
        <f t="shared" ca="1" si="5"/>
        <v>2568943</v>
      </c>
      <c r="T13" s="26">
        <f ca="1">IFERROR(__xludf.DUMMYFUNCTION("ROUND(GOOGLEFINANCE(""Currency:EURKZT"")*L13+S13)"),2923729)</f>
        <v>2923729</v>
      </c>
      <c r="U13" s="26">
        <f ca="1">IFERROR(__xludf.DUMMYFUNCTION("D13*GOOGLEFINANCE(""RUBKZT"")*1000/F13"),3394719.72516844)</f>
        <v>3394719.72516844</v>
      </c>
      <c r="V13" s="27">
        <f t="shared" ca="1" si="6"/>
        <v>0.16109246964012056</v>
      </c>
    </row>
    <row r="14" spans="1:22" ht="12.75" customHeight="1" x14ac:dyDescent="0.2">
      <c r="A14" s="6" t="s">
        <v>215</v>
      </c>
      <c r="B14" s="6" t="s">
        <v>136</v>
      </c>
      <c r="C14" s="7">
        <v>156354</v>
      </c>
      <c r="D14" s="8">
        <v>586425.59999999998</v>
      </c>
      <c r="E14" s="9" t="s">
        <v>16</v>
      </c>
      <c r="F14" s="23">
        <v>1000</v>
      </c>
      <c r="G14" s="25"/>
      <c r="H14" s="14">
        <f t="shared" si="0"/>
        <v>0.55000000000000004</v>
      </c>
      <c r="I14" s="25">
        <f ca="1">IFERROR(__xludf.DUMMYFUNCTION("ROUND(D14*GOOGLEFINANCE(""RUBKZT"")*H14)"),2516902)</f>
        <v>2516902</v>
      </c>
      <c r="J14" s="26">
        <f ca="1">IFERROR(__xludf.DUMMYFUNCTION("ROUND(I14*GOOGLEFINANCE(""KZTEUR""))"),5271)</f>
        <v>5271</v>
      </c>
      <c r="K14" s="26">
        <f t="shared" ca="1" si="1"/>
        <v>5271</v>
      </c>
      <c r="L14" s="26">
        <f t="shared" ca="1" si="2"/>
        <v>1001.49</v>
      </c>
      <c r="M14" s="26">
        <f t="shared" ref="M14:N14" si="15">M$3</f>
        <v>500</v>
      </c>
      <c r="N14" s="26">
        <f t="shared" si="15"/>
        <v>500</v>
      </c>
      <c r="O14" s="26">
        <f ca="1">IFERROR(__xludf.DUMMYFUNCTION("ROUND(GOOGLEFINANCE(""Currency:EURKZT"")*K14)"),2517269)</f>
        <v>2517269</v>
      </c>
      <c r="P14" s="26">
        <f ca="1">IFERROR(__xludf.DUMMYFUNCTION("ROUND(GOOGLEFINANCE(""Currency:EURKZT"")*M14)"),238785)</f>
        <v>238785</v>
      </c>
      <c r="Q14" s="26">
        <f ca="1">IFERROR(__xludf.DUMMYFUNCTION("ROUND(GOOGLEFINANCE(""Currency:EURKZT"")*N14)"),238785)</f>
        <v>238785</v>
      </c>
      <c r="R14" s="26">
        <f t="shared" ca="1" si="4"/>
        <v>302072</v>
      </c>
      <c r="S14" s="26">
        <f t="shared" ca="1" si="5"/>
        <v>3296911</v>
      </c>
      <c r="T14" s="26">
        <f ca="1">IFERROR(__xludf.DUMMYFUNCTION("ROUND(GOOGLEFINANCE(""Currency:EURKZT"")*L14+S14)"),3775192)</f>
        <v>3775192</v>
      </c>
      <c r="U14" s="26">
        <f ca="1">IFERROR(__xludf.DUMMYFUNCTION("D14*GOOGLEFINANCE(""RUBKZT"")*1000/F14"),4576185.57059781)</f>
        <v>4576185.5705978097</v>
      </c>
      <c r="V14" s="27">
        <f t="shared" ca="1" si="6"/>
        <v>0.21217293599843656</v>
      </c>
    </row>
    <row r="15" spans="1:22" ht="12.75" customHeight="1" x14ac:dyDescent="0.2">
      <c r="A15" s="6" t="s">
        <v>73</v>
      </c>
      <c r="B15" s="6" t="s">
        <v>136</v>
      </c>
      <c r="C15" s="7">
        <v>156820</v>
      </c>
      <c r="D15" s="8">
        <v>435670.8</v>
      </c>
      <c r="E15" s="9" t="s">
        <v>16</v>
      </c>
      <c r="F15" s="23">
        <v>1000</v>
      </c>
      <c r="G15" s="25"/>
      <c r="H15" s="14">
        <f t="shared" si="0"/>
        <v>0.55000000000000004</v>
      </c>
      <c r="I15" s="25">
        <f ca="1">IFERROR(__xludf.DUMMYFUNCTION("ROUND(D15*GOOGLEFINANCE(""RUBKZT"")*H15)"),1869872)</f>
        <v>1869872</v>
      </c>
      <c r="J15" s="26">
        <f ca="1">IFERROR(__xludf.DUMMYFUNCTION("ROUND(I15*GOOGLEFINANCE(""KZTEUR""))"),3916)</f>
        <v>3916</v>
      </c>
      <c r="K15" s="26">
        <f t="shared" ca="1" si="1"/>
        <v>3916</v>
      </c>
      <c r="L15" s="26">
        <f t="shared" ca="1" si="2"/>
        <v>744.04</v>
      </c>
      <c r="M15" s="26">
        <f t="shared" ref="M15:N15" si="16">M$3</f>
        <v>500</v>
      </c>
      <c r="N15" s="26">
        <f t="shared" si="16"/>
        <v>500</v>
      </c>
      <c r="O15" s="26">
        <f ca="1">IFERROR(__xludf.DUMMYFUNCTION("ROUND(GOOGLEFINANCE(""Currency:EURKZT"")*K15)"),1870163)</f>
        <v>1870163</v>
      </c>
      <c r="P15" s="26">
        <f ca="1">IFERROR(__xludf.DUMMYFUNCTION("ROUND(GOOGLEFINANCE(""Currency:EURKZT"")*M15)"),238785)</f>
        <v>238785</v>
      </c>
      <c r="Q15" s="26">
        <f ca="1">IFERROR(__xludf.DUMMYFUNCTION("ROUND(GOOGLEFINANCE(""Currency:EURKZT"")*N15)"),238785)</f>
        <v>238785</v>
      </c>
      <c r="R15" s="26">
        <f t="shared" ca="1" si="4"/>
        <v>224420</v>
      </c>
      <c r="S15" s="26">
        <f t="shared" ca="1" si="5"/>
        <v>2572153</v>
      </c>
      <c r="T15" s="26">
        <f ca="1">IFERROR(__xludf.DUMMYFUNCTION("ROUND(GOOGLEFINANCE(""Currency:EURKZT"")*L15+S15)"),2927484)</f>
        <v>2927484</v>
      </c>
      <c r="U15" s="26">
        <f ca="1">IFERROR(__xludf.DUMMYFUNCTION("D15*GOOGLEFINANCE(""RUBKZT"")*1000/F15"),3399767.04374912)</f>
        <v>3399767.0437491201</v>
      </c>
      <c r="V15" s="27">
        <f t="shared" ca="1" si="6"/>
        <v>0.16132728436743637</v>
      </c>
    </row>
    <row r="16" spans="1:22" ht="12.75" customHeight="1" x14ac:dyDescent="0.2">
      <c r="A16" s="6" t="s">
        <v>221</v>
      </c>
      <c r="B16" s="6" t="s">
        <v>136</v>
      </c>
      <c r="C16" s="7">
        <v>157465</v>
      </c>
      <c r="D16" s="8">
        <v>532410</v>
      </c>
      <c r="E16" s="9" t="s">
        <v>16</v>
      </c>
      <c r="F16" s="23">
        <v>1000</v>
      </c>
      <c r="G16" s="25"/>
      <c r="H16" s="14">
        <f t="shared" si="0"/>
        <v>0.55000000000000004</v>
      </c>
      <c r="I16" s="25">
        <f ca="1">IFERROR(__xludf.DUMMYFUNCTION("ROUND(D16*GOOGLEFINANCE(""RUBKZT"")*H16)"),2285070)</f>
        <v>2285070</v>
      </c>
      <c r="J16" s="26">
        <f ca="1">IFERROR(__xludf.DUMMYFUNCTION("ROUND(I16*GOOGLEFINANCE(""KZTEUR""))"),4786)</f>
        <v>4786</v>
      </c>
      <c r="K16" s="26">
        <f t="shared" ca="1" si="1"/>
        <v>4786</v>
      </c>
      <c r="L16" s="26">
        <f t="shared" ca="1" si="2"/>
        <v>909.34</v>
      </c>
      <c r="M16" s="26">
        <f t="shared" ref="M16:N16" si="17">M$3</f>
        <v>500</v>
      </c>
      <c r="N16" s="26">
        <f t="shared" si="17"/>
        <v>500</v>
      </c>
      <c r="O16" s="26">
        <f ca="1">IFERROR(__xludf.DUMMYFUNCTION("ROUND(GOOGLEFINANCE(""Currency:EURKZT"")*K16)"),2285648)</f>
        <v>2285648</v>
      </c>
      <c r="P16" s="26">
        <f ca="1">IFERROR(__xludf.DUMMYFUNCTION("ROUND(GOOGLEFINANCE(""Currency:EURKZT"")*M16)"),238785)</f>
        <v>238785</v>
      </c>
      <c r="Q16" s="26">
        <f ca="1">IFERROR(__xludf.DUMMYFUNCTION("ROUND(GOOGLEFINANCE(""Currency:EURKZT"")*N16)"),238785)</f>
        <v>238785</v>
      </c>
      <c r="R16" s="26">
        <f t="shared" ca="1" si="4"/>
        <v>274278</v>
      </c>
      <c r="S16" s="26">
        <f t="shared" ca="1" si="5"/>
        <v>3037496</v>
      </c>
      <c r="T16" s="26">
        <f ca="1">IFERROR(__xludf.DUMMYFUNCTION("ROUND(GOOGLEFINANCE(""Currency:EURKZT"")*L16+S16)"),3471769)</f>
        <v>3471769</v>
      </c>
      <c r="U16" s="26">
        <f ca="1">IFERROR(__xludf.DUMMYFUNCTION("D16*GOOGLEFINANCE(""RUBKZT"")*1000/F16"),4154673.60163332)</f>
        <v>4154673.6016333201</v>
      </c>
      <c r="V16" s="27">
        <f t="shared" ca="1" si="6"/>
        <v>0.196702200415212</v>
      </c>
    </row>
    <row r="17" spans="1:22" ht="12.75" customHeight="1" x14ac:dyDescent="0.2">
      <c r="A17" s="6" t="s">
        <v>203</v>
      </c>
      <c r="B17" s="6" t="s">
        <v>136</v>
      </c>
      <c r="C17" s="7">
        <v>157590</v>
      </c>
      <c r="D17" s="8">
        <v>586471.19999999995</v>
      </c>
      <c r="E17" s="9" t="s">
        <v>16</v>
      </c>
      <c r="F17" s="23">
        <v>1000</v>
      </c>
      <c r="G17" s="25"/>
      <c r="H17" s="14">
        <f t="shared" si="0"/>
        <v>0.55000000000000004</v>
      </c>
      <c r="I17" s="25">
        <f ca="1">IFERROR(__xludf.DUMMYFUNCTION("ROUND(D17*GOOGLEFINANCE(""RUBKZT"")*H17)"),2517098)</f>
        <v>2517098</v>
      </c>
      <c r="J17" s="26">
        <f ca="1">IFERROR(__xludf.DUMMYFUNCTION("ROUND(I17*GOOGLEFINANCE(""KZTEUR""))"),5272)</f>
        <v>5272</v>
      </c>
      <c r="K17" s="26">
        <f t="shared" ca="1" si="1"/>
        <v>5272</v>
      </c>
      <c r="L17" s="26">
        <f t="shared" ca="1" si="2"/>
        <v>1001.6800000000001</v>
      </c>
      <c r="M17" s="26">
        <f t="shared" ref="M17:N17" si="18">M$3</f>
        <v>500</v>
      </c>
      <c r="N17" s="26">
        <f t="shared" si="18"/>
        <v>500</v>
      </c>
      <c r="O17" s="26">
        <f ca="1">IFERROR(__xludf.DUMMYFUNCTION("ROUND(GOOGLEFINANCE(""Currency:EURKZT"")*K17)"),2517747)</f>
        <v>2517747</v>
      </c>
      <c r="P17" s="26">
        <f ca="1">IFERROR(__xludf.DUMMYFUNCTION("ROUND(GOOGLEFINANCE(""Currency:EURKZT"")*M17)"),238785)</f>
        <v>238785</v>
      </c>
      <c r="Q17" s="26">
        <f ca="1">IFERROR(__xludf.DUMMYFUNCTION("ROUND(GOOGLEFINANCE(""Currency:EURKZT"")*N17)"),238785)</f>
        <v>238785</v>
      </c>
      <c r="R17" s="26">
        <f t="shared" ca="1" si="4"/>
        <v>302130</v>
      </c>
      <c r="S17" s="26">
        <f t="shared" ca="1" si="5"/>
        <v>3297447</v>
      </c>
      <c r="T17" s="26">
        <f ca="1">IFERROR(__xludf.DUMMYFUNCTION("ROUND(GOOGLEFINANCE(""Currency:EURKZT"")*L17+S17)"),3775819)</f>
        <v>3775819</v>
      </c>
      <c r="U17" s="26">
        <f ca="1">IFERROR(__xludf.DUMMYFUNCTION("D17*GOOGLEFINANCE(""RUBKZT"")*1000/F17"),4576541.41123986)</f>
        <v>4576541.4112398596</v>
      </c>
      <c r="V17" s="27">
        <f t="shared" ca="1" si="6"/>
        <v>0.21206588855023498</v>
      </c>
    </row>
    <row r="18" spans="1:22" ht="12.75" customHeight="1" x14ac:dyDescent="0.2">
      <c r="A18" s="6" t="s">
        <v>232</v>
      </c>
      <c r="B18" s="6" t="s">
        <v>136</v>
      </c>
      <c r="C18" s="7">
        <v>159213</v>
      </c>
      <c r="D18" s="8">
        <v>419803.2</v>
      </c>
      <c r="E18" s="9" t="s">
        <v>16</v>
      </c>
      <c r="F18" s="23">
        <v>1000</v>
      </c>
      <c r="G18" s="25"/>
      <c r="H18" s="14">
        <f t="shared" si="0"/>
        <v>0.55000000000000004</v>
      </c>
      <c r="I18" s="25">
        <f ca="1">IFERROR(__xludf.DUMMYFUNCTION("ROUND(D18*GOOGLEFINANCE(""RUBKZT"")*H18)"),1801769)</f>
        <v>1801769</v>
      </c>
      <c r="J18" s="26">
        <f ca="1">IFERROR(__xludf.DUMMYFUNCTION("ROUND(I18*GOOGLEFINANCE(""KZTEUR""))"),3773)</f>
        <v>3773</v>
      </c>
      <c r="K18" s="26">
        <f t="shared" ca="1" si="1"/>
        <v>3773</v>
      </c>
      <c r="L18" s="26">
        <f t="shared" ca="1" si="2"/>
        <v>716.87</v>
      </c>
      <c r="M18" s="26">
        <f t="shared" ref="M18:N18" si="19">M$3</f>
        <v>500</v>
      </c>
      <c r="N18" s="26">
        <f t="shared" si="19"/>
        <v>500</v>
      </c>
      <c r="O18" s="26">
        <f ca="1">IFERROR(__xludf.DUMMYFUNCTION("ROUND(GOOGLEFINANCE(""Currency:EURKZT"")*K18)"),1801870)</f>
        <v>1801870</v>
      </c>
      <c r="P18" s="26">
        <f ca="1">IFERROR(__xludf.DUMMYFUNCTION("ROUND(GOOGLEFINANCE(""Currency:EURKZT"")*M18)"),238785)</f>
        <v>238785</v>
      </c>
      <c r="Q18" s="26">
        <f ca="1">IFERROR(__xludf.DUMMYFUNCTION("ROUND(GOOGLEFINANCE(""Currency:EURKZT"")*N18)"),238785)</f>
        <v>238785</v>
      </c>
      <c r="R18" s="26">
        <f t="shared" ca="1" si="4"/>
        <v>216224</v>
      </c>
      <c r="S18" s="26">
        <f t="shared" ca="1" si="5"/>
        <v>2495664</v>
      </c>
      <c r="T18" s="26">
        <f ca="1">IFERROR(__xludf.DUMMYFUNCTION("ROUND(GOOGLEFINANCE(""Currency:EURKZT"")*L18+S18)"),2838019)</f>
        <v>2838019</v>
      </c>
      <c r="U18" s="26">
        <f ca="1">IFERROR(__xludf.DUMMYFUNCTION("D18*GOOGLEFINANCE(""RUBKZT"")*1000/F18"),3275943.86454272)</f>
        <v>3275943.8645427199</v>
      </c>
      <c r="V18" s="27">
        <f t="shared" ca="1" si="6"/>
        <v>0.15430653020389218</v>
      </c>
    </row>
    <row r="19" spans="1:22" ht="12.75" customHeight="1" x14ac:dyDescent="0.2">
      <c r="A19" s="6" t="s">
        <v>208</v>
      </c>
      <c r="B19" s="6" t="s">
        <v>136</v>
      </c>
      <c r="C19" s="7">
        <v>164819</v>
      </c>
      <c r="D19" s="8">
        <v>517544.39999999997</v>
      </c>
      <c r="E19" s="9" t="s">
        <v>16</v>
      </c>
      <c r="F19" s="23">
        <v>1000</v>
      </c>
      <c r="G19" s="25"/>
      <c r="H19" s="14">
        <f t="shared" si="0"/>
        <v>0.55000000000000004</v>
      </c>
      <c r="I19" s="25">
        <f ca="1">IFERROR(__xludf.DUMMYFUNCTION("ROUND(D19*GOOGLEFINANCE(""RUBKZT"")*H19)"),2221268)</f>
        <v>2221268</v>
      </c>
      <c r="J19" s="26">
        <f ca="1">IFERROR(__xludf.DUMMYFUNCTION("ROUND(I19*GOOGLEFINANCE(""KZTEUR""))"),4652)</f>
        <v>4652</v>
      </c>
      <c r="K19" s="26">
        <f t="shared" ca="1" si="1"/>
        <v>4652</v>
      </c>
      <c r="L19" s="26">
        <f t="shared" ca="1" si="2"/>
        <v>883.88</v>
      </c>
      <c r="M19" s="26">
        <f t="shared" ref="M19:N19" si="20">M$3</f>
        <v>500</v>
      </c>
      <c r="N19" s="26">
        <f t="shared" si="20"/>
        <v>500</v>
      </c>
      <c r="O19" s="26">
        <f ca="1">IFERROR(__xludf.DUMMYFUNCTION("ROUND(GOOGLEFINANCE(""Currency:EURKZT"")*K19)"),2221654)</f>
        <v>2221654</v>
      </c>
      <c r="P19" s="26">
        <f ca="1">IFERROR(__xludf.DUMMYFUNCTION("ROUND(GOOGLEFINANCE(""Currency:EURKZT"")*M19)"),238785)</f>
        <v>238785</v>
      </c>
      <c r="Q19" s="26">
        <f ca="1">IFERROR(__xludf.DUMMYFUNCTION("ROUND(GOOGLEFINANCE(""Currency:EURKZT"")*N19)"),238785)</f>
        <v>238785</v>
      </c>
      <c r="R19" s="26">
        <f t="shared" ca="1" si="4"/>
        <v>266598</v>
      </c>
      <c r="S19" s="26">
        <f t="shared" ca="1" si="5"/>
        <v>2965822</v>
      </c>
      <c r="T19" s="26">
        <f ca="1">IFERROR(__xludf.DUMMYFUNCTION("ROUND(GOOGLEFINANCE(""Currency:EURKZT"")*L19+S19)"),3387936)</f>
        <v>3387936</v>
      </c>
      <c r="U19" s="26">
        <f ca="1">IFERROR(__xludf.DUMMYFUNCTION("D19*GOOGLEFINANCE(""RUBKZT"")*1000/F19"),4038669.55232462)</f>
        <v>4038669.5523246201</v>
      </c>
      <c r="V19" s="27">
        <f t="shared" ca="1" si="6"/>
        <v>0.19207374410987105</v>
      </c>
    </row>
    <row r="20" spans="1:22" ht="12.75" customHeight="1" x14ac:dyDescent="0.2">
      <c r="A20" s="6" t="s">
        <v>264</v>
      </c>
      <c r="B20" s="6" t="s">
        <v>136</v>
      </c>
      <c r="C20" s="7">
        <v>168817</v>
      </c>
      <c r="D20" s="8">
        <v>473259.6</v>
      </c>
      <c r="E20" s="9" t="s">
        <v>16</v>
      </c>
      <c r="F20" s="23">
        <v>1000</v>
      </c>
      <c r="G20" s="25"/>
      <c r="H20" s="14">
        <f t="shared" si="0"/>
        <v>0.55000000000000004</v>
      </c>
      <c r="I20" s="25">
        <f ca="1">IFERROR(__xludf.DUMMYFUNCTION("ROUND(D20*GOOGLEFINANCE(""RUBKZT"")*H20)"),2031201)</f>
        <v>2031201</v>
      </c>
      <c r="J20" s="26">
        <f ca="1">IFERROR(__xludf.DUMMYFUNCTION("ROUND(I20*GOOGLEFINANCE(""KZTEUR""))"),4254)</f>
        <v>4254</v>
      </c>
      <c r="K20" s="26">
        <f t="shared" ca="1" si="1"/>
        <v>4254</v>
      </c>
      <c r="L20" s="26">
        <f t="shared" ca="1" si="2"/>
        <v>808.26</v>
      </c>
      <c r="M20" s="26">
        <f t="shared" ref="M20:N20" si="21">M$3</f>
        <v>500</v>
      </c>
      <c r="N20" s="26">
        <f t="shared" si="21"/>
        <v>500</v>
      </c>
      <c r="O20" s="26">
        <f ca="1">IFERROR(__xludf.DUMMYFUNCTION("ROUND(GOOGLEFINANCE(""Currency:EURKZT"")*K20)"),2031581)</f>
        <v>2031581</v>
      </c>
      <c r="P20" s="26">
        <f ca="1">IFERROR(__xludf.DUMMYFUNCTION("ROUND(GOOGLEFINANCE(""Currency:EURKZT"")*M20)"),238785)</f>
        <v>238785</v>
      </c>
      <c r="Q20" s="26">
        <f ca="1">IFERROR(__xludf.DUMMYFUNCTION("ROUND(GOOGLEFINANCE(""Currency:EURKZT"")*N20)"),238785)</f>
        <v>238785</v>
      </c>
      <c r="R20" s="26">
        <f t="shared" ca="1" si="4"/>
        <v>243790</v>
      </c>
      <c r="S20" s="26">
        <f t="shared" ca="1" si="5"/>
        <v>2752941</v>
      </c>
      <c r="T20" s="26">
        <f ca="1">IFERROR(__xludf.DUMMYFUNCTION("ROUND(GOOGLEFINANCE(""Currency:EURKZT"")*L20+S20)"),3138941)</f>
        <v>3138941</v>
      </c>
      <c r="U20" s="26">
        <f ca="1">IFERROR(__xludf.DUMMYFUNCTION("D20*GOOGLEFINANCE(""RUBKZT"")*1000/F20"),3693092.10352837)</f>
        <v>3693092.1035283701</v>
      </c>
      <c r="V20" s="27">
        <f t="shared" ca="1" si="6"/>
        <v>0.176540783508951</v>
      </c>
    </row>
    <row r="21" spans="1:22" ht="12.75" customHeight="1" x14ac:dyDescent="0.2">
      <c r="A21" s="6" t="s">
        <v>70</v>
      </c>
      <c r="B21" s="6" t="s">
        <v>136</v>
      </c>
      <c r="C21" s="7">
        <v>174239</v>
      </c>
      <c r="D21" s="8">
        <v>541650</v>
      </c>
      <c r="E21" s="9" t="s">
        <v>16</v>
      </c>
      <c r="F21" s="23">
        <v>1000</v>
      </c>
      <c r="G21" s="25"/>
      <c r="H21" s="14">
        <f t="shared" si="0"/>
        <v>0.55000000000000004</v>
      </c>
      <c r="I21" s="25">
        <f ca="1">IFERROR(__xludf.DUMMYFUNCTION("ROUND(D21*GOOGLEFINANCE(""RUBKZT"")*H21)"),2324728)</f>
        <v>2324728</v>
      </c>
      <c r="J21" s="26">
        <f ca="1">IFERROR(__xludf.DUMMYFUNCTION("ROUND(I21*GOOGLEFINANCE(""KZTEUR""))"),4869)</f>
        <v>4869</v>
      </c>
      <c r="K21" s="26">
        <f t="shared" ca="1" si="1"/>
        <v>4869</v>
      </c>
      <c r="L21" s="26">
        <f t="shared" ca="1" si="2"/>
        <v>925.11</v>
      </c>
      <c r="M21" s="26">
        <f t="shared" ref="M21:N21" si="22">M$3</f>
        <v>500</v>
      </c>
      <c r="N21" s="26">
        <f t="shared" si="22"/>
        <v>500</v>
      </c>
      <c r="O21" s="26">
        <f ca="1">IFERROR(__xludf.DUMMYFUNCTION("ROUND(GOOGLEFINANCE(""Currency:EURKZT"")*K21)"),2325286)</f>
        <v>2325286</v>
      </c>
      <c r="P21" s="26">
        <f ca="1">IFERROR(__xludf.DUMMYFUNCTION("ROUND(GOOGLEFINANCE(""Currency:EURKZT"")*M21)"),238785)</f>
        <v>238785</v>
      </c>
      <c r="Q21" s="26">
        <f ca="1">IFERROR(__xludf.DUMMYFUNCTION("ROUND(GOOGLEFINANCE(""Currency:EURKZT"")*N21)"),238785)</f>
        <v>238785</v>
      </c>
      <c r="R21" s="26">
        <f t="shared" ca="1" si="4"/>
        <v>279034</v>
      </c>
      <c r="S21" s="26">
        <f t="shared" ca="1" si="5"/>
        <v>3081890</v>
      </c>
      <c r="T21" s="26">
        <f ca="1">IFERROR(__xludf.DUMMYFUNCTION("ROUND(GOOGLEFINANCE(""Currency:EURKZT"")*L21+S21)"),3523694)</f>
        <v>3523694</v>
      </c>
      <c r="U21" s="26">
        <f ca="1">IFERROR(__xludf.DUMMYFUNCTION("D21*GOOGLEFINANCE(""RUBKZT"")*1000/F21"),4226778.1527858)</f>
        <v>4226778.1527858004</v>
      </c>
      <c r="V21" s="27">
        <f t="shared" ca="1" si="6"/>
        <v>0.19953042255820183</v>
      </c>
    </row>
    <row r="22" spans="1:22" ht="12.75" customHeight="1" x14ac:dyDescent="0.2">
      <c r="A22" s="6" t="s">
        <v>285</v>
      </c>
      <c r="B22" s="6" t="s">
        <v>136</v>
      </c>
      <c r="C22" s="7">
        <v>193708</v>
      </c>
      <c r="D22" s="8">
        <v>669672</v>
      </c>
      <c r="E22" s="9" t="s">
        <v>16</v>
      </c>
      <c r="F22" s="23">
        <v>1000</v>
      </c>
      <c r="G22" s="25"/>
      <c r="H22" s="14">
        <f t="shared" si="0"/>
        <v>0.55000000000000004</v>
      </c>
      <c r="I22" s="25">
        <f ca="1">IFERROR(__xludf.DUMMYFUNCTION("ROUND(D22*GOOGLEFINANCE(""RUBKZT"")*H22)"),2874190)</f>
        <v>2874190</v>
      </c>
      <c r="J22" s="26">
        <f ca="1">IFERROR(__xludf.DUMMYFUNCTION("ROUND(I22*GOOGLEFINANCE(""KZTEUR""))"),6019)</f>
        <v>6019</v>
      </c>
      <c r="K22" s="26">
        <f t="shared" ca="1" si="1"/>
        <v>6019</v>
      </c>
      <c r="L22" s="26">
        <f t="shared" ca="1" si="2"/>
        <v>1143.6099999999999</v>
      </c>
      <c r="M22" s="26">
        <f t="shared" ref="M22:N22" si="23">M$3</f>
        <v>500</v>
      </c>
      <c r="N22" s="26">
        <f t="shared" si="23"/>
        <v>500</v>
      </c>
      <c r="O22" s="26">
        <f ca="1">IFERROR(__xludf.DUMMYFUNCTION("ROUND(GOOGLEFINANCE(""Currency:EURKZT"")*K22)"),2874492)</f>
        <v>2874492</v>
      </c>
      <c r="P22" s="26">
        <f ca="1">IFERROR(__xludf.DUMMYFUNCTION("ROUND(GOOGLEFINANCE(""Currency:EURKZT"")*M22)"),238785)</f>
        <v>238785</v>
      </c>
      <c r="Q22" s="26">
        <f ca="1">IFERROR(__xludf.DUMMYFUNCTION("ROUND(GOOGLEFINANCE(""Currency:EURKZT"")*N22)"),238785)</f>
        <v>238785</v>
      </c>
      <c r="R22" s="26">
        <f t="shared" ca="1" si="4"/>
        <v>344939</v>
      </c>
      <c r="S22" s="26">
        <f t="shared" ca="1" si="5"/>
        <v>3697001</v>
      </c>
      <c r="T22" s="26">
        <f ca="1">IFERROR(__xludf.DUMMYFUNCTION("ROUND(GOOGLEFINANCE(""Currency:EURKZT"")*L22+S22)"),4243154)</f>
        <v>4243154</v>
      </c>
      <c r="U22" s="26">
        <f ca="1">IFERROR(__xludf.DUMMYFUNCTION("D22*GOOGLEFINANCE(""RUBKZT"")*1000/F22"),5225800.75534454)</f>
        <v>5225800.7553445399</v>
      </c>
      <c r="V22" s="27">
        <f t="shared" ca="1" si="6"/>
        <v>0.23158404228188273</v>
      </c>
    </row>
    <row r="23" spans="1:22" ht="12.75" customHeight="1" x14ac:dyDescent="0.2">
      <c r="A23" s="6" t="s">
        <v>356</v>
      </c>
      <c r="B23" s="6" t="s">
        <v>136</v>
      </c>
      <c r="C23" s="7">
        <v>194779</v>
      </c>
      <c r="D23" s="8">
        <v>553728</v>
      </c>
      <c r="E23" s="9" t="s">
        <v>7</v>
      </c>
      <c r="F23" s="23">
        <v>1000</v>
      </c>
      <c r="G23" s="25"/>
      <c r="H23" s="14">
        <f t="shared" si="0"/>
        <v>0.55000000000000004</v>
      </c>
      <c r="I23" s="25">
        <f ca="1">IFERROR(__xludf.DUMMYFUNCTION("ROUND(D23*GOOGLEFINANCE(""RUBKZT"")*H23)"),2376566)</f>
        <v>2376566</v>
      </c>
      <c r="J23" s="26">
        <f ca="1">IFERROR(__xludf.DUMMYFUNCTION("ROUND(I23*GOOGLEFINANCE(""KZTEUR""))"),4977)</f>
        <v>4977</v>
      </c>
      <c r="K23" s="26">
        <f t="shared" ca="1" si="1"/>
        <v>4977</v>
      </c>
      <c r="L23" s="26">
        <f t="shared" ca="1" si="2"/>
        <v>945.63</v>
      </c>
      <c r="M23" s="26">
        <f t="shared" ref="M23:N23" si="24">M$3</f>
        <v>500</v>
      </c>
      <c r="N23" s="26">
        <f t="shared" si="24"/>
        <v>500</v>
      </c>
      <c r="O23" s="26">
        <f ca="1">IFERROR(__xludf.DUMMYFUNCTION("ROUND(GOOGLEFINANCE(""Currency:EURKZT"")*K23)"),2376864)</f>
        <v>2376864</v>
      </c>
      <c r="P23" s="26">
        <f ca="1">IFERROR(__xludf.DUMMYFUNCTION("ROUND(GOOGLEFINANCE(""Currency:EURKZT"")*M23)"),238785)</f>
        <v>238785</v>
      </c>
      <c r="Q23" s="26">
        <f ca="1">IFERROR(__xludf.DUMMYFUNCTION("ROUND(GOOGLEFINANCE(""Currency:EURKZT"")*N23)"),238785)</f>
        <v>238785</v>
      </c>
      <c r="R23" s="26">
        <f t="shared" ca="1" si="4"/>
        <v>285224</v>
      </c>
      <c r="S23" s="26">
        <f t="shared" ca="1" si="5"/>
        <v>3139658</v>
      </c>
      <c r="T23" s="26">
        <f ca="1">IFERROR(__xludf.DUMMYFUNCTION("ROUND(GOOGLEFINANCE(""Currency:EURKZT"")*L23+S23)"),3591262)</f>
        <v>3591262</v>
      </c>
      <c r="U23" s="26">
        <f ca="1">IFERROR(__xludf.DUMMYFUNCTION("D23*GOOGLEFINANCE(""RUBKZT"")*1000/F23"),4321029.10179225)</f>
        <v>4321029.1017922498</v>
      </c>
      <c r="V23" s="27">
        <f t="shared" ca="1" si="6"/>
        <v>0.20320631070421757</v>
      </c>
    </row>
    <row r="24" spans="1:22" ht="12.75" customHeight="1" x14ac:dyDescent="0.2">
      <c r="A24" s="6" t="s">
        <v>302</v>
      </c>
      <c r="B24" s="6" t="s">
        <v>136</v>
      </c>
      <c r="C24" s="7">
        <v>195189</v>
      </c>
      <c r="D24" s="8">
        <v>460669.2</v>
      </c>
      <c r="E24" s="9" t="s">
        <v>16</v>
      </c>
      <c r="F24" s="23">
        <v>1000</v>
      </c>
      <c r="G24" s="25"/>
      <c r="H24" s="14">
        <f t="shared" si="0"/>
        <v>0.55000000000000004</v>
      </c>
      <c r="I24" s="25">
        <f ca="1">IFERROR(__xludf.DUMMYFUNCTION("ROUND(D24*GOOGLEFINANCE(""RUBKZT"")*H24)"),1977163)</f>
        <v>1977163</v>
      </c>
      <c r="J24" s="26">
        <f ca="1">IFERROR(__xludf.DUMMYFUNCTION("ROUND(I24*GOOGLEFINANCE(""KZTEUR""))"),4141)</f>
        <v>4141</v>
      </c>
      <c r="K24" s="26">
        <f t="shared" ca="1" si="1"/>
        <v>4141</v>
      </c>
      <c r="L24" s="26">
        <f t="shared" ca="1" si="2"/>
        <v>786.79</v>
      </c>
      <c r="M24" s="26">
        <f t="shared" ref="M24:N24" si="25">M$3</f>
        <v>500</v>
      </c>
      <c r="N24" s="26">
        <f t="shared" si="25"/>
        <v>500</v>
      </c>
      <c r="O24" s="26">
        <f ca="1">IFERROR(__xludf.DUMMYFUNCTION("ROUND(GOOGLEFINANCE(""Currency:EURKZT"")*K24)"),1977616)</f>
        <v>1977616</v>
      </c>
      <c r="P24" s="26">
        <f ca="1">IFERROR(__xludf.DUMMYFUNCTION("ROUND(GOOGLEFINANCE(""Currency:EURKZT"")*M24)"),238785)</f>
        <v>238785</v>
      </c>
      <c r="Q24" s="26">
        <f ca="1">IFERROR(__xludf.DUMMYFUNCTION("ROUND(GOOGLEFINANCE(""Currency:EURKZT"")*N24)"),238785)</f>
        <v>238785</v>
      </c>
      <c r="R24" s="26">
        <f t="shared" ca="1" si="4"/>
        <v>237314</v>
      </c>
      <c r="S24" s="26">
        <f t="shared" ca="1" si="5"/>
        <v>2692500</v>
      </c>
      <c r="T24" s="26">
        <f ca="1">IFERROR(__xludf.DUMMYFUNCTION("ROUND(GOOGLEFINANCE(""Currency:EURKZT"")*L24+S24)"),3068247)</f>
        <v>3068247</v>
      </c>
      <c r="U24" s="26">
        <f ca="1">IFERROR(__xludf.DUMMYFUNCTION("D24*GOOGLEFINANCE(""RUBKZT"")*1000/F24"),3594842.62941255)</f>
        <v>3594842.62941255</v>
      </c>
      <c r="V24" s="27">
        <f t="shared" ca="1" si="6"/>
        <v>0.17162752197347542</v>
      </c>
    </row>
    <row r="25" spans="1:22" ht="12.75" customHeight="1" x14ac:dyDescent="0.2">
      <c r="A25" s="6" t="s">
        <v>274</v>
      </c>
      <c r="B25" s="6" t="s">
        <v>136</v>
      </c>
      <c r="C25" s="7">
        <v>195347</v>
      </c>
      <c r="D25" s="8">
        <v>623932.79999999993</v>
      </c>
      <c r="E25" s="9" t="s">
        <v>16</v>
      </c>
      <c r="F25" s="23">
        <v>1000</v>
      </c>
      <c r="G25" s="25"/>
      <c r="H25" s="14">
        <f t="shared" si="0"/>
        <v>0.55000000000000004</v>
      </c>
      <c r="I25" s="25">
        <f ca="1">IFERROR(__xludf.DUMMYFUNCTION("ROUND(D25*GOOGLEFINANCE(""RUBKZT"")*H25)"),2677881)</f>
        <v>2677881</v>
      </c>
      <c r="J25" s="26">
        <f ca="1">IFERROR(__xludf.DUMMYFUNCTION("ROUND(I25*GOOGLEFINANCE(""KZTEUR""))"),5608)</f>
        <v>5608</v>
      </c>
      <c r="K25" s="26">
        <f t="shared" ca="1" si="1"/>
        <v>5608</v>
      </c>
      <c r="L25" s="26">
        <f t="shared" ca="1" si="2"/>
        <v>1065.52</v>
      </c>
      <c r="M25" s="26">
        <f t="shared" ref="M25:N25" si="26">M$3</f>
        <v>500</v>
      </c>
      <c r="N25" s="26">
        <f t="shared" si="26"/>
        <v>500</v>
      </c>
      <c r="O25" s="26">
        <f ca="1">IFERROR(__xludf.DUMMYFUNCTION("ROUND(GOOGLEFINANCE(""Currency:EURKZT"")*K25)"),2678210)</f>
        <v>2678210</v>
      </c>
      <c r="P25" s="26">
        <f ca="1">IFERROR(__xludf.DUMMYFUNCTION("ROUND(GOOGLEFINANCE(""Currency:EURKZT"")*M25)"),238785)</f>
        <v>238785</v>
      </c>
      <c r="Q25" s="26">
        <f ca="1">IFERROR(__xludf.DUMMYFUNCTION("ROUND(GOOGLEFINANCE(""Currency:EURKZT"")*N25)"),238785)</f>
        <v>238785</v>
      </c>
      <c r="R25" s="26">
        <f t="shared" ca="1" si="4"/>
        <v>321385</v>
      </c>
      <c r="S25" s="26">
        <f t="shared" ca="1" si="5"/>
        <v>3477165</v>
      </c>
      <c r="T25" s="26">
        <f ca="1">IFERROR(__xludf.DUMMYFUNCTION("ROUND(GOOGLEFINANCE(""Currency:EURKZT"")*L25+S25)"),3986025)</f>
        <v>3986025</v>
      </c>
      <c r="U25" s="26">
        <f ca="1">IFERROR(__xludf.DUMMYFUNCTION("D25*GOOGLEFINANCE(""RUBKZT"")*1000/F25"),4868873.86291234)</f>
        <v>4868873.8629123401</v>
      </c>
      <c r="V25" s="27">
        <f t="shared" ca="1" si="6"/>
        <v>0.22148603255432167</v>
      </c>
    </row>
    <row r="26" spans="1:22" ht="12.75" customHeight="1" x14ac:dyDescent="0.2">
      <c r="A26" s="6" t="s">
        <v>309</v>
      </c>
      <c r="B26" s="6" t="s">
        <v>136</v>
      </c>
      <c r="C26" s="7">
        <v>196294</v>
      </c>
      <c r="D26" s="8">
        <v>750817.2</v>
      </c>
      <c r="E26" s="9" t="s">
        <v>16</v>
      </c>
      <c r="F26" s="23">
        <v>1000</v>
      </c>
      <c r="G26" s="25"/>
      <c r="H26" s="14">
        <f t="shared" si="0"/>
        <v>0.55000000000000004</v>
      </c>
      <c r="I26" s="25">
        <f ca="1">IFERROR(__xludf.DUMMYFUNCTION("ROUND(D26*GOOGLEFINANCE(""RUBKZT"")*H26)"),3222461)</f>
        <v>3222461</v>
      </c>
      <c r="J26" s="26">
        <f ca="1">IFERROR(__xludf.DUMMYFUNCTION("ROUND(I26*GOOGLEFINANCE(""KZTEUR""))"),6749)</f>
        <v>6749</v>
      </c>
      <c r="K26" s="26">
        <f t="shared" ca="1" si="1"/>
        <v>6749</v>
      </c>
      <c r="L26" s="26">
        <f t="shared" ca="1" si="2"/>
        <v>1282.31</v>
      </c>
      <c r="M26" s="26">
        <f t="shared" ref="M26:N26" si="27">M$3</f>
        <v>500</v>
      </c>
      <c r="N26" s="26">
        <f t="shared" si="27"/>
        <v>500</v>
      </c>
      <c r="O26" s="26">
        <f ca="1">IFERROR(__xludf.DUMMYFUNCTION("ROUND(GOOGLEFINANCE(""Currency:EURKZT"")*K26)"),3223117)</f>
        <v>3223117</v>
      </c>
      <c r="P26" s="26">
        <f ca="1">IFERROR(__xludf.DUMMYFUNCTION("ROUND(GOOGLEFINANCE(""Currency:EURKZT"")*M26)"),238785)</f>
        <v>238785</v>
      </c>
      <c r="Q26" s="26">
        <f ca="1">IFERROR(__xludf.DUMMYFUNCTION("ROUND(GOOGLEFINANCE(""Currency:EURKZT"")*N26)"),238785)</f>
        <v>238785</v>
      </c>
      <c r="R26" s="26">
        <f t="shared" ca="1" si="4"/>
        <v>386774</v>
      </c>
      <c r="S26" s="26">
        <f t="shared" ca="1" si="5"/>
        <v>4087461</v>
      </c>
      <c r="T26" s="26">
        <f ca="1">IFERROR(__xludf.DUMMYFUNCTION("ROUND(GOOGLEFINANCE(""Currency:EURKZT"")*L26+S26)"),4699853)</f>
        <v>4699853</v>
      </c>
      <c r="U26" s="26">
        <f ca="1">IFERROR(__xludf.DUMMYFUNCTION("D26*GOOGLEFINANCE(""RUBKZT"")*1000/F26"),5859019.17787465)</f>
        <v>5859019.1778746499</v>
      </c>
      <c r="V26" s="27">
        <f t="shared" ca="1" si="6"/>
        <v>0.24663881569799095</v>
      </c>
    </row>
    <row r="27" spans="1:22" ht="12.75" customHeight="1" x14ac:dyDescent="0.2">
      <c r="A27" s="6" t="s">
        <v>377</v>
      </c>
      <c r="B27" s="6" t="s">
        <v>136</v>
      </c>
      <c r="C27" s="7">
        <v>198183</v>
      </c>
      <c r="D27" s="8">
        <v>479145.6</v>
      </c>
      <c r="E27" s="9" t="s">
        <v>16</v>
      </c>
      <c r="F27" s="23">
        <v>1000</v>
      </c>
      <c r="G27" s="25"/>
      <c r="H27" s="14">
        <f t="shared" si="0"/>
        <v>0.55000000000000004</v>
      </c>
      <c r="I27" s="25">
        <f ca="1">IFERROR(__xludf.DUMMYFUNCTION("ROUND(D27*GOOGLEFINANCE(""RUBKZT"")*H27)"),2056463)</f>
        <v>2056463</v>
      </c>
      <c r="J27" s="26">
        <f ca="1">IFERROR(__xludf.DUMMYFUNCTION("ROUND(I27*GOOGLEFINANCE(""KZTEUR""))"),4307)</f>
        <v>4307</v>
      </c>
      <c r="K27" s="26">
        <f t="shared" ca="1" si="1"/>
        <v>4307</v>
      </c>
      <c r="L27" s="26">
        <f t="shared" ca="1" si="2"/>
        <v>818.33</v>
      </c>
      <c r="M27" s="26">
        <f t="shared" ref="M27:N27" si="28">M$3</f>
        <v>500</v>
      </c>
      <c r="N27" s="26">
        <f t="shared" si="28"/>
        <v>500</v>
      </c>
      <c r="O27" s="26">
        <f ca="1">IFERROR(__xludf.DUMMYFUNCTION("ROUND(GOOGLEFINANCE(""Currency:EURKZT"")*K27)"),2056892)</f>
        <v>2056892</v>
      </c>
      <c r="P27" s="26">
        <f ca="1">IFERROR(__xludf.DUMMYFUNCTION("ROUND(GOOGLEFINANCE(""Currency:EURKZT"")*M27)"),238785)</f>
        <v>238785</v>
      </c>
      <c r="Q27" s="26">
        <f ca="1">IFERROR(__xludf.DUMMYFUNCTION("ROUND(GOOGLEFINANCE(""Currency:EURKZT"")*N27)"),238785)</f>
        <v>238785</v>
      </c>
      <c r="R27" s="26">
        <f t="shared" ca="1" si="4"/>
        <v>246827</v>
      </c>
      <c r="S27" s="26">
        <f t="shared" ca="1" si="5"/>
        <v>2781289</v>
      </c>
      <c r="T27" s="26">
        <f ca="1">IFERROR(__xludf.DUMMYFUNCTION("ROUND(GOOGLEFINANCE(""Currency:EURKZT"")*L27+S27)"),3172099)</f>
        <v>3172099</v>
      </c>
      <c r="U27" s="26">
        <f ca="1">IFERROR(__xludf.DUMMYFUNCTION("D27*GOOGLEFINANCE(""RUBKZT"")*1000/F27"),3739023.63903525)</f>
        <v>3739023.6390352501</v>
      </c>
      <c r="V27" s="27">
        <f t="shared" ca="1" si="6"/>
        <v>0.17872224007991241</v>
      </c>
    </row>
    <row r="28" spans="1:22" ht="12.75" customHeight="1" x14ac:dyDescent="0.2">
      <c r="A28" s="6" t="s">
        <v>373</v>
      </c>
      <c r="B28" s="6" t="s">
        <v>136</v>
      </c>
      <c r="C28" s="7">
        <v>202075</v>
      </c>
      <c r="D28" s="8">
        <v>526401.6</v>
      </c>
      <c r="E28" s="9" t="s">
        <v>16</v>
      </c>
      <c r="F28" s="23">
        <v>1000</v>
      </c>
      <c r="G28" s="25"/>
      <c r="H28" s="14">
        <f t="shared" si="0"/>
        <v>0.55000000000000004</v>
      </c>
      <c r="I28" s="25">
        <f ca="1">IFERROR(__xludf.DUMMYFUNCTION("ROUND(D28*GOOGLEFINANCE(""RUBKZT"")*H28)"),2259283)</f>
        <v>2259283</v>
      </c>
      <c r="J28" s="26">
        <f ca="1">IFERROR(__xludf.DUMMYFUNCTION("ROUND(I28*GOOGLEFINANCE(""KZTEUR""))"),4732)</f>
        <v>4732</v>
      </c>
      <c r="K28" s="26">
        <f t="shared" ca="1" si="1"/>
        <v>4732</v>
      </c>
      <c r="L28" s="26">
        <f t="shared" ca="1" si="2"/>
        <v>899.08</v>
      </c>
      <c r="M28" s="26">
        <f t="shared" ref="M28:N28" si="29">M$3</f>
        <v>500</v>
      </c>
      <c r="N28" s="26">
        <f t="shared" si="29"/>
        <v>500</v>
      </c>
      <c r="O28" s="26">
        <f ca="1">IFERROR(__xludf.DUMMYFUNCTION("ROUND(GOOGLEFINANCE(""Currency:EURKZT"")*K28)"),2259859)</f>
        <v>2259859</v>
      </c>
      <c r="P28" s="26">
        <f ca="1">IFERROR(__xludf.DUMMYFUNCTION("ROUND(GOOGLEFINANCE(""Currency:EURKZT"")*M28)"),238785)</f>
        <v>238785</v>
      </c>
      <c r="Q28" s="26">
        <f ca="1">IFERROR(__xludf.DUMMYFUNCTION("ROUND(GOOGLEFINANCE(""Currency:EURKZT"")*N28)"),238785)</f>
        <v>238785</v>
      </c>
      <c r="R28" s="26">
        <f t="shared" ca="1" si="4"/>
        <v>271183</v>
      </c>
      <c r="S28" s="26">
        <f t="shared" ca="1" si="5"/>
        <v>3008612</v>
      </c>
      <c r="T28" s="26">
        <f ca="1">IFERROR(__xludf.DUMMYFUNCTION("ROUND(GOOGLEFINANCE(""Currency:EURKZT"")*L28+S28)"),3437985)</f>
        <v>3437985</v>
      </c>
      <c r="U28" s="26">
        <f ca="1">IFERROR(__xludf.DUMMYFUNCTION("D28*GOOGLEFINANCE(""RUBKZT"")*1000/F28"),4107786.91492936)</f>
        <v>4107786.9149293602</v>
      </c>
      <c r="V28" s="27">
        <f t="shared" ca="1" si="6"/>
        <v>0.19482397826906173</v>
      </c>
    </row>
    <row r="29" spans="1:22" ht="12.75" customHeight="1" x14ac:dyDescent="0.2">
      <c r="A29" s="6" t="s">
        <v>422</v>
      </c>
      <c r="B29" s="6" t="s">
        <v>136</v>
      </c>
      <c r="C29" s="7">
        <v>203998</v>
      </c>
      <c r="D29" s="8">
        <v>668744.4</v>
      </c>
      <c r="E29" s="9" t="s">
        <v>16</v>
      </c>
      <c r="F29" s="23">
        <v>1000</v>
      </c>
      <c r="G29" s="25"/>
      <c r="H29" s="14">
        <f t="shared" si="0"/>
        <v>0.55000000000000004</v>
      </c>
      <c r="I29" s="25">
        <f ca="1">IFERROR(__xludf.DUMMYFUNCTION("ROUND(D29*GOOGLEFINANCE(""RUBKZT"")*H29)"),2870209)</f>
        <v>2870209</v>
      </c>
      <c r="J29" s="26">
        <f ca="1">IFERROR(__xludf.DUMMYFUNCTION("ROUND(I29*GOOGLEFINANCE(""KZTEUR""))"),6011)</f>
        <v>6011</v>
      </c>
      <c r="K29" s="26">
        <f t="shared" ca="1" si="1"/>
        <v>6011</v>
      </c>
      <c r="L29" s="26">
        <f t="shared" ca="1" si="2"/>
        <v>1142.0899999999999</v>
      </c>
      <c r="M29" s="26">
        <f t="shared" ref="M29:N29" si="30">M$3</f>
        <v>500</v>
      </c>
      <c r="N29" s="26">
        <f t="shared" si="30"/>
        <v>500</v>
      </c>
      <c r="O29" s="26">
        <f ca="1">IFERROR(__xludf.DUMMYFUNCTION("ROUND(GOOGLEFINANCE(""Currency:EURKZT"")*K29)"),2870671)</f>
        <v>2870671</v>
      </c>
      <c r="P29" s="26">
        <f ca="1">IFERROR(__xludf.DUMMYFUNCTION("ROUND(GOOGLEFINANCE(""Currency:EURKZT"")*M29)"),238785)</f>
        <v>238785</v>
      </c>
      <c r="Q29" s="26">
        <f ca="1">IFERROR(__xludf.DUMMYFUNCTION("ROUND(GOOGLEFINANCE(""Currency:EURKZT"")*N29)"),238785)</f>
        <v>238785</v>
      </c>
      <c r="R29" s="26">
        <f t="shared" ca="1" si="4"/>
        <v>344481</v>
      </c>
      <c r="S29" s="26">
        <f t="shared" ca="1" si="5"/>
        <v>3692722</v>
      </c>
      <c r="T29" s="26">
        <f ca="1">IFERROR(__xludf.DUMMYFUNCTION("ROUND(GOOGLEFINANCE(""Currency:EURKZT"")*L29+S29)"),4238149)</f>
        <v>4238149</v>
      </c>
      <c r="U29" s="26">
        <f ca="1">IFERROR(__xludf.DUMMYFUNCTION("D29*GOOGLEFINANCE(""RUBKZT"")*1000/F29"),5218562.20754702)</f>
        <v>5218562.2075470202</v>
      </c>
      <c r="V29" s="27">
        <f t="shared" ca="1" si="6"/>
        <v>0.2313305189475453</v>
      </c>
    </row>
    <row r="30" spans="1:22" ht="12.75" customHeight="1" x14ac:dyDescent="0.2">
      <c r="A30" s="6" t="s">
        <v>437</v>
      </c>
      <c r="B30" s="6" t="s">
        <v>136</v>
      </c>
      <c r="C30" s="7">
        <v>207425</v>
      </c>
      <c r="D30" s="8">
        <v>456781.2</v>
      </c>
      <c r="E30" s="9" t="s">
        <v>16</v>
      </c>
      <c r="F30" s="23">
        <v>1000</v>
      </c>
      <c r="G30" s="25"/>
      <c r="H30" s="14">
        <f t="shared" si="0"/>
        <v>0.55000000000000004</v>
      </c>
      <c r="I30" s="25">
        <f ca="1">IFERROR(__xludf.DUMMYFUNCTION("ROUND(D30*GOOGLEFINANCE(""RUBKZT"")*H30)"),1960476)</f>
        <v>1960476</v>
      </c>
      <c r="J30" s="26">
        <f ca="1">IFERROR(__xludf.DUMMYFUNCTION("ROUND(I30*GOOGLEFINANCE(""KZTEUR""))"),4106)</f>
        <v>4106</v>
      </c>
      <c r="K30" s="26">
        <f t="shared" ca="1" si="1"/>
        <v>4106</v>
      </c>
      <c r="L30" s="26">
        <f t="shared" ca="1" si="2"/>
        <v>780.14</v>
      </c>
      <c r="M30" s="26">
        <f t="shared" ref="M30:N30" si="31">M$3</f>
        <v>500</v>
      </c>
      <c r="N30" s="26">
        <f t="shared" si="31"/>
        <v>500</v>
      </c>
      <c r="O30" s="26">
        <f ca="1">IFERROR(__xludf.DUMMYFUNCTION("ROUND(GOOGLEFINANCE(""Currency:EURKZT"")*K30)"),1960901)</f>
        <v>1960901</v>
      </c>
      <c r="P30" s="26">
        <f ca="1">IFERROR(__xludf.DUMMYFUNCTION("ROUND(GOOGLEFINANCE(""Currency:EURKZT"")*M30)"),238785)</f>
        <v>238785</v>
      </c>
      <c r="Q30" s="26">
        <f ca="1">IFERROR(__xludf.DUMMYFUNCTION("ROUND(GOOGLEFINANCE(""Currency:EURKZT"")*N30)"),238785)</f>
        <v>238785</v>
      </c>
      <c r="R30" s="26">
        <f t="shared" ca="1" si="4"/>
        <v>235308</v>
      </c>
      <c r="S30" s="26">
        <f t="shared" ca="1" si="5"/>
        <v>2673779</v>
      </c>
      <c r="T30" s="26">
        <f ca="1">IFERROR(__xludf.DUMMYFUNCTION("ROUND(GOOGLEFINANCE(""Currency:EURKZT"")*L30+S30)"),3046350)</f>
        <v>3046350</v>
      </c>
      <c r="U30" s="26">
        <f ca="1">IFERROR(__xludf.DUMMYFUNCTION("D30*GOOGLEFINANCE(""RUBKZT"")*1000/F30"),3564502.53256398)</f>
        <v>3564502.5325639802</v>
      </c>
      <c r="V30" s="27">
        <f t="shared" ca="1" si="6"/>
        <v>0.17008962613093709</v>
      </c>
    </row>
    <row r="31" spans="1:22" ht="12.75" customHeight="1" x14ac:dyDescent="0.2">
      <c r="A31" s="6" t="s">
        <v>438</v>
      </c>
      <c r="B31" s="6" t="s">
        <v>136</v>
      </c>
      <c r="C31" s="7">
        <v>207446</v>
      </c>
      <c r="D31" s="8">
        <v>462056.39999999997</v>
      </c>
      <c r="E31" s="9" t="s">
        <v>16</v>
      </c>
      <c r="F31" s="23">
        <v>1000</v>
      </c>
      <c r="G31" s="25"/>
      <c r="H31" s="14">
        <f t="shared" si="0"/>
        <v>0.55000000000000004</v>
      </c>
      <c r="I31" s="25">
        <f ca="1">IFERROR(__xludf.DUMMYFUNCTION("ROUND(D31*GOOGLEFINANCE(""RUBKZT"")*H31)"),1983117)</f>
        <v>1983117</v>
      </c>
      <c r="J31" s="26">
        <f ca="1">IFERROR(__xludf.DUMMYFUNCTION("ROUND(I31*GOOGLEFINANCE(""KZTEUR""))"),4153)</f>
        <v>4153</v>
      </c>
      <c r="K31" s="26">
        <f t="shared" ca="1" si="1"/>
        <v>4153</v>
      </c>
      <c r="L31" s="26">
        <f t="shared" ca="1" si="2"/>
        <v>789.07</v>
      </c>
      <c r="M31" s="26">
        <f t="shared" ref="M31:N31" si="32">M$3</f>
        <v>500</v>
      </c>
      <c r="N31" s="26">
        <f t="shared" si="32"/>
        <v>500</v>
      </c>
      <c r="O31" s="26">
        <f ca="1">IFERROR(__xludf.DUMMYFUNCTION("ROUND(GOOGLEFINANCE(""Currency:EURKZT"")*K31)"),1983347)</f>
        <v>1983347</v>
      </c>
      <c r="P31" s="26">
        <f ca="1">IFERROR(__xludf.DUMMYFUNCTION("ROUND(GOOGLEFINANCE(""Currency:EURKZT"")*M31)"),238785)</f>
        <v>238785</v>
      </c>
      <c r="Q31" s="26">
        <f ca="1">IFERROR(__xludf.DUMMYFUNCTION("ROUND(GOOGLEFINANCE(""Currency:EURKZT"")*N31)"),238785)</f>
        <v>238785</v>
      </c>
      <c r="R31" s="26">
        <f t="shared" ca="1" si="4"/>
        <v>238002</v>
      </c>
      <c r="S31" s="26">
        <f t="shared" ca="1" si="5"/>
        <v>2698919</v>
      </c>
      <c r="T31" s="26">
        <f ca="1">IFERROR(__xludf.DUMMYFUNCTION("ROUND(GOOGLEFINANCE(""Currency:EURKZT"")*L31+S31)"),3075755)</f>
        <v>3075755</v>
      </c>
      <c r="U31" s="26">
        <f ca="1">IFERROR(__xludf.DUMMYFUNCTION("D31*GOOGLEFINANCE(""RUBKZT"")*1000/F31"),3605667.67631285)</f>
        <v>3605667.6763128499</v>
      </c>
      <c r="V31" s="27">
        <f t="shared" ca="1" si="6"/>
        <v>0.17228702426326215</v>
      </c>
    </row>
    <row r="32" spans="1:22" ht="12.75" customHeight="1" x14ac:dyDescent="0.2">
      <c r="A32" s="6" t="s">
        <v>439</v>
      </c>
      <c r="B32" s="6" t="s">
        <v>136</v>
      </c>
      <c r="C32" s="7">
        <v>207451</v>
      </c>
      <c r="D32" s="8">
        <v>475357.19999999995</v>
      </c>
      <c r="E32" s="9" t="s">
        <v>16</v>
      </c>
      <c r="F32" s="23">
        <v>1000</v>
      </c>
      <c r="G32" s="25"/>
      <c r="H32" s="14">
        <f t="shared" si="0"/>
        <v>0.55000000000000004</v>
      </c>
      <c r="I32" s="25">
        <f ca="1">IFERROR(__xludf.DUMMYFUNCTION("ROUND(D32*GOOGLEFINANCE(""RUBKZT"")*H32)"),2040203)</f>
        <v>2040203</v>
      </c>
      <c r="J32" s="26">
        <f ca="1">IFERROR(__xludf.DUMMYFUNCTION("ROUND(I32*GOOGLEFINANCE(""KZTEUR""))"),4273)</f>
        <v>4273</v>
      </c>
      <c r="K32" s="26">
        <f t="shared" ca="1" si="1"/>
        <v>4273</v>
      </c>
      <c r="L32" s="26">
        <f t="shared" ca="1" si="2"/>
        <v>811.87</v>
      </c>
      <c r="M32" s="26">
        <f t="shared" ref="M32:N32" si="33">M$3</f>
        <v>500</v>
      </c>
      <c r="N32" s="26">
        <f t="shared" si="33"/>
        <v>500</v>
      </c>
      <c r="O32" s="26">
        <f ca="1">IFERROR(__xludf.DUMMYFUNCTION("ROUND(GOOGLEFINANCE(""Currency:EURKZT"")*K32)"),2040655)</f>
        <v>2040655</v>
      </c>
      <c r="P32" s="26">
        <f ca="1">IFERROR(__xludf.DUMMYFUNCTION("ROUND(GOOGLEFINANCE(""Currency:EURKZT"")*M32)"),238785)</f>
        <v>238785</v>
      </c>
      <c r="Q32" s="26">
        <f ca="1">IFERROR(__xludf.DUMMYFUNCTION("ROUND(GOOGLEFINANCE(""Currency:EURKZT"")*N32)"),238785)</f>
        <v>238785</v>
      </c>
      <c r="R32" s="26">
        <f t="shared" ca="1" si="4"/>
        <v>244879</v>
      </c>
      <c r="S32" s="26">
        <f t="shared" ca="1" si="5"/>
        <v>2763104</v>
      </c>
      <c r="T32" s="26">
        <f ca="1">IFERROR(__xludf.DUMMYFUNCTION("ROUND(GOOGLEFINANCE(""Currency:EURKZT"")*L32+S32)"),3150828)</f>
        <v>3150828</v>
      </c>
      <c r="U32" s="26">
        <f ca="1">IFERROR(__xludf.DUMMYFUNCTION("D32*GOOGLEFINANCE(""RUBKZT"")*1000/F32"),3709460.77306273)</f>
        <v>3709460.7730627302</v>
      </c>
      <c r="V32" s="27">
        <f t="shared" ca="1" si="6"/>
        <v>0.17729713366224059</v>
      </c>
    </row>
    <row r="33" spans="1:22" ht="12.75" customHeight="1" x14ac:dyDescent="0.2">
      <c r="A33" s="6" t="s">
        <v>441</v>
      </c>
      <c r="B33" s="6" t="s">
        <v>136</v>
      </c>
      <c r="C33" s="7">
        <v>207860</v>
      </c>
      <c r="D33" s="8">
        <v>422804.39999999997</v>
      </c>
      <c r="E33" s="9" t="s">
        <v>16</v>
      </c>
      <c r="F33" s="23">
        <v>1000</v>
      </c>
      <c r="G33" s="25"/>
      <c r="H33" s="14">
        <f t="shared" si="0"/>
        <v>0.55000000000000004</v>
      </c>
      <c r="I33" s="25">
        <f ca="1">IFERROR(__xludf.DUMMYFUNCTION("ROUND(D33*GOOGLEFINANCE(""RUBKZT"")*H33)"),1814650)</f>
        <v>1814650</v>
      </c>
      <c r="J33" s="26">
        <f ca="1">IFERROR(__xludf.DUMMYFUNCTION("ROUND(I33*GOOGLEFINANCE(""KZTEUR""))"),3800)</f>
        <v>3800</v>
      </c>
      <c r="K33" s="26">
        <f t="shared" ca="1" si="1"/>
        <v>3800</v>
      </c>
      <c r="L33" s="26">
        <f t="shared" ca="1" si="2"/>
        <v>722</v>
      </c>
      <c r="M33" s="26">
        <f t="shared" ref="M33:N33" si="34">M$3</f>
        <v>500</v>
      </c>
      <c r="N33" s="26">
        <f t="shared" si="34"/>
        <v>500</v>
      </c>
      <c r="O33" s="26">
        <f ca="1">IFERROR(__xludf.DUMMYFUNCTION("ROUND(GOOGLEFINANCE(""Currency:EURKZT"")*K33)"),1814765)</f>
        <v>1814765</v>
      </c>
      <c r="P33" s="26">
        <f ca="1">IFERROR(__xludf.DUMMYFUNCTION("ROUND(GOOGLEFINANCE(""Currency:EURKZT"")*M33)"),238785)</f>
        <v>238785</v>
      </c>
      <c r="Q33" s="26">
        <f ca="1">IFERROR(__xludf.DUMMYFUNCTION("ROUND(GOOGLEFINANCE(""Currency:EURKZT"")*N33)"),238785)</f>
        <v>238785</v>
      </c>
      <c r="R33" s="26">
        <f t="shared" ca="1" si="4"/>
        <v>217772</v>
      </c>
      <c r="S33" s="26">
        <f t="shared" ca="1" si="5"/>
        <v>2510107</v>
      </c>
      <c r="T33" s="26">
        <f ca="1">IFERROR(__xludf.DUMMYFUNCTION("ROUND(GOOGLEFINANCE(""Currency:EURKZT"")*L33+S33)"),2854912)</f>
        <v>2854912</v>
      </c>
      <c r="U33" s="26">
        <f ca="1">IFERROR(__xludf.DUMMYFUNCTION("D33*GOOGLEFINANCE(""RUBKZT"")*1000/F33"),3299363.79732614)</f>
        <v>3299363.7973261401</v>
      </c>
      <c r="V33" s="27">
        <f t="shared" ca="1" si="6"/>
        <v>0.15567968376122981</v>
      </c>
    </row>
    <row r="34" spans="1:22" ht="12.75" customHeight="1" x14ac:dyDescent="0.2">
      <c r="A34" s="6" t="s">
        <v>442</v>
      </c>
      <c r="B34" s="6" t="s">
        <v>136</v>
      </c>
      <c r="C34" s="7">
        <v>207894</v>
      </c>
      <c r="D34" s="8">
        <v>427848</v>
      </c>
      <c r="E34" s="9" t="s">
        <v>16</v>
      </c>
      <c r="F34" s="23">
        <v>1000</v>
      </c>
      <c r="G34" s="25"/>
      <c r="H34" s="14">
        <f t="shared" si="0"/>
        <v>0.55000000000000004</v>
      </c>
      <c r="I34" s="25">
        <f ca="1">IFERROR(__xludf.DUMMYFUNCTION("ROUND(D34*GOOGLEFINANCE(""RUBKZT"")*H34)"),1836297)</f>
        <v>1836297</v>
      </c>
      <c r="J34" s="26">
        <f ca="1">IFERROR(__xludf.DUMMYFUNCTION("ROUND(I34*GOOGLEFINANCE(""KZTEUR""))"),3846)</f>
        <v>3846</v>
      </c>
      <c r="K34" s="26">
        <f t="shared" ca="1" si="1"/>
        <v>3846</v>
      </c>
      <c r="L34" s="26">
        <f t="shared" ca="1" si="2"/>
        <v>730.74</v>
      </c>
      <c r="M34" s="26">
        <f t="shared" ref="M34:N34" si="35">M$3</f>
        <v>500</v>
      </c>
      <c r="N34" s="26">
        <f t="shared" si="35"/>
        <v>500</v>
      </c>
      <c r="O34" s="26">
        <f ca="1">IFERROR(__xludf.DUMMYFUNCTION("ROUND(GOOGLEFINANCE(""Currency:EURKZT"")*K34)"),1836733)</f>
        <v>1836733</v>
      </c>
      <c r="P34" s="26">
        <f ca="1">IFERROR(__xludf.DUMMYFUNCTION("ROUND(GOOGLEFINANCE(""Currency:EURKZT"")*M34)"),238785)</f>
        <v>238785</v>
      </c>
      <c r="Q34" s="26">
        <f ca="1">IFERROR(__xludf.DUMMYFUNCTION("ROUND(GOOGLEFINANCE(""Currency:EURKZT"")*N34)"),238785)</f>
        <v>238785</v>
      </c>
      <c r="R34" s="26">
        <f t="shared" ca="1" si="4"/>
        <v>220408</v>
      </c>
      <c r="S34" s="26">
        <f t="shared" ca="1" si="5"/>
        <v>2534711</v>
      </c>
      <c r="T34" s="26">
        <f ca="1">IFERROR(__xludf.DUMMYFUNCTION("ROUND(GOOGLEFINANCE(""Currency:EURKZT"")*L34+S34)"),2883690)</f>
        <v>2883690</v>
      </c>
      <c r="U34" s="26">
        <f ca="1">IFERROR(__xludf.DUMMYFUNCTION("D34*GOOGLEFINANCE(""RUBKZT"")*1000/F34"),3338721.64518249)</f>
        <v>3338721.6451824899</v>
      </c>
      <c r="V34" s="27">
        <f t="shared" ca="1" si="6"/>
        <v>0.15779492427497058</v>
      </c>
    </row>
    <row r="35" spans="1:22" ht="12.75" customHeight="1" x14ac:dyDescent="0.2">
      <c r="A35" s="6" t="s">
        <v>448</v>
      </c>
      <c r="B35" s="6" t="s">
        <v>136</v>
      </c>
      <c r="C35" s="7">
        <v>213100</v>
      </c>
      <c r="D35" s="8">
        <v>596102.40000000002</v>
      </c>
      <c r="E35" s="9" t="s">
        <v>16</v>
      </c>
      <c r="F35" s="23">
        <v>1000</v>
      </c>
      <c r="G35" s="25"/>
      <c r="H35" s="14">
        <f t="shared" si="0"/>
        <v>0.55000000000000004</v>
      </c>
      <c r="I35" s="25">
        <f ca="1">IFERROR(__xludf.DUMMYFUNCTION("ROUND(D35*GOOGLEFINANCE(""RUBKZT"")*H35)"),2558434)</f>
        <v>2558434</v>
      </c>
      <c r="J35" s="26">
        <f ca="1">IFERROR(__xludf.DUMMYFUNCTION("ROUND(I35*GOOGLEFINANCE(""KZTEUR""))"),5358)</f>
        <v>5358</v>
      </c>
      <c r="K35" s="26">
        <f t="shared" ca="1" si="1"/>
        <v>5358</v>
      </c>
      <c r="L35" s="26">
        <f t="shared" ca="1" si="2"/>
        <v>1018.02</v>
      </c>
      <c r="M35" s="26">
        <f t="shared" ref="M35:N35" si="36">M$3</f>
        <v>500</v>
      </c>
      <c r="N35" s="26">
        <f t="shared" si="36"/>
        <v>500</v>
      </c>
      <c r="O35" s="26">
        <f ca="1">IFERROR(__xludf.DUMMYFUNCTION("ROUND(GOOGLEFINANCE(""Currency:EURKZT"")*K35)"),2558818)</f>
        <v>2558818</v>
      </c>
      <c r="P35" s="26">
        <f ca="1">IFERROR(__xludf.DUMMYFUNCTION("ROUND(GOOGLEFINANCE(""Currency:EURKZT"")*M35)"),238785)</f>
        <v>238785</v>
      </c>
      <c r="Q35" s="26">
        <f ca="1">IFERROR(__xludf.DUMMYFUNCTION("ROUND(GOOGLEFINANCE(""Currency:EURKZT"")*N35)"),238785)</f>
        <v>238785</v>
      </c>
      <c r="R35" s="26">
        <f t="shared" ca="1" si="4"/>
        <v>307058</v>
      </c>
      <c r="S35" s="26">
        <f t="shared" ca="1" si="5"/>
        <v>3343446</v>
      </c>
      <c r="T35" s="26">
        <f ca="1">IFERROR(__xludf.DUMMYFUNCTION("ROUND(GOOGLEFINANCE(""Currency:EURKZT"")*L35+S35)"),3829621)</f>
        <v>3829621</v>
      </c>
      <c r="U35" s="26">
        <f ca="1">IFERROR(__xludf.DUMMYFUNCTION("D35*GOOGLEFINANCE(""RUBKZT"")*1000/F35"),4651698.70053204)</f>
        <v>4651698.7005320396</v>
      </c>
      <c r="V35" s="27">
        <f t="shared" ca="1" si="6"/>
        <v>0.21466293936972866</v>
      </c>
    </row>
    <row r="36" spans="1:22" ht="12.75" customHeight="1" x14ac:dyDescent="0.2">
      <c r="A36" s="6" t="s">
        <v>451</v>
      </c>
      <c r="B36" s="6" t="s">
        <v>136</v>
      </c>
      <c r="C36" s="7">
        <v>213653</v>
      </c>
      <c r="D36" s="8">
        <v>603729.6</v>
      </c>
      <c r="E36" s="9" t="s">
        <v>16</v>
      </c>
      <c r="F36" s="23">
        <v>1000</v>
      </c>
      <c r="G36" s="25"/>
      <c r="H36" s="14">
        <f t="shared" si="0"/>
        <v>0.55000000000000004</v>
      </c>
      <c r="I36" s="25">
        <f ca="1">IFERROR(__xludf.DUMMYFUNCTION("ROUND(D36*GOOGLEFINANCE(""RUBKZT"")*H36)"),2591170)</f>
        <v>2591170</v>
      </c>
      <c r="J36" s="26">
        <f ca="1">IFERROR(__xludf.DUMMYFUNCTION("ROUND(I36*GOOGLEFINANCE(""KZTEUR""))"),5427)</f>
        <v>5427</v>
      </c>
      <c r="K36" s="26">
        <f t="shared" ca="1" si="1"/>
        <v>5427</v>
      </c>
      <c r="L36" s="26">
        <f t="shared" ca="1" si="2"/>
        <v>1031.1300000000001</v>
      </c>
      <c r="M36" s="26">
        <f t="shared" ref="M36:N36" si="37">M$3</f>
        <v>500</v>
      </c>
      <c r="N36" s="26">
        <f t="shared" si="37"/>
        <v>500</v>
      </c>
      <c r="O36" s="26">
        <f ca="1">IFERROR(__xludf.DUMMYFUNCTION("ROUND(GOOGLEFINANCE(""Currency:EURKZT"")*K36)"),2591770)</f>
        <v>2591770</v>
      </c>
      <c r="P36" s="26">
        <f ca="1">IFERROR(__xludf.DUMMYFUNCTION("ROUND(GOOGLEFINANCE(""Currency:EURKZT"")*M36)"),238785)</f>
        <v>238785</v>
      </c>
      <c r="Q36" s="26">
        <f ca="1">IFERROR(__xludf.DUMMYFUNCTION("ROUND(GOOGLEFINANCE(""Currency:EURKZT"")*N36)"),238785)</f>
        <v>238785</v>
      </c>
      <c r="R36" s="26">
        <f t="shared" ca="1" si="4"/>
        <v>311012</v>
      </c>
      <c r="S36" s="26">
        <f t="shared" ca="1" si="5"/>
        <v>3380352</v>
      </c>
      <c r="T36" s="26">
        <f ca="1">IFERROR(__xludf.DUMMYFUNCTION("ROUND(GOOGLEFINANCE(""Currency:EURKZT"")*L36+S36)"),3872788)</f>
        <v>3872788</v>
      </c>
      <c r="U36" s="26">
        <f ca="1">IFERROR(__xludf.DUMMYFUNCTION("D36*GOOGLEFINANCE(""RUBKZT"")*1000/F36"),4711217.73002881)</f>
        <v>4711217.73002881</v>
      </c>
      <c r="V36" s="27">
        <f t="shared" ca="1" si="6"/>
        <v>0.21649254491307296</v>
      </c>
    </row>
    <row r="37" spans="1:22" ht="12.75" customHeight="1" x14ac:dyDescent="0.2">
      <c r="A37" s="6" t="s">
        <v>455</v>
      </c>
      <c r="B37" s="6" t="s">
        <v>136</v>
      </c>
      <c r="C37" s="7">
        <v>213774</v>
      </c>
      <c r="D37" s="8">
        <v>422442</v>
      </c>
      <c r="E37" s="9" t="s">
        <v>16</v>
      </c>
      <c r="F37" s="23">
        <v>1000</v>
      </c>
      <c r="G37" s="25"/>
      <c r="H37" s="14">
        <f t="shared" si="0"/>
        <v>0.55000000000000004</v>
      </c>
      <c r="I37" s="25">
        <f ca="1">IFERROR(__xludf.DUMMYFUNCTION("ROUND(D37*GOOGLEFINANCE(""RUBKZT"")*H37)"),1813095)</f>
        <v>1813095</v>
      </c>
      <c r="J37" s="26">
        <f ca="1">IFERROR(__xludf.DUMMYFUNCTION("ROUND(I37*GOOGLEFINANCE(""KZTEUR""))"),3797)</f>
        <v>3797</v>
      </c>
      <c r="K37" s="26">
        <f t="shared" ca="1" si="1"/>
        <v>3797</v>
      </c>
      <c r="L37" s="26">
        <f t="shared" ca="1" si="2"/>
        <v>721.43000000000006</v>
      </c>
      <c r="M37" s="26">
        <f t="shared" ref="M37:N37" si="38">M$3</f>
        <v>500</v>
      </c>
      <c r="N37" s="26">
        <f t="shared" si="38"/>
        <v>500</v>
      </c>
      <c r="O37" s="26">
        <f ca="1">IFERROR(__xludf.DUMMYFUNCTION("ROUND(GOOGLEFINANCE(""Currency:EURKZT"")*K37)"),1813332)</f>
        <v>1813332</v>
      </c>
      <c r="P37" s="26">
        <f ca="1">IFERROR(__xludf.DUMMYFUNCTION("ROUND(GOOGLEFINANCE(""Currency:EURKZT"")*M37)"),238785)</f>
        <v>238785</v>
      </c>
      <c r="Q37" s="26">
        <f ca="1">IFERROR(__xludf.DUMMYFUNCTION("ROUND(GOOGLEFINANCE(""Currency:EURKZT"")*N37)"),238785)</f>
        <v>238785</v>
      </c>
      <c r="R37" s="26">
        <f t="shared" ca="1" si="4"/>
        <v>217600</v>
      </c>
      <c r="S37" s="26">
        <f t="shared" ca="1" si="5"/>
        <v>2508502</v>
      </c>
      <c r="T37" s="26">
        <f ca="1">IFERROR(__xludf.DUMMYFUNCTION("ROUND(GOOGLEFINANCE(""Currency:EURKZT"")*L37+S37)"),2853035)</f>
        <v>2853035</v>
      </c>
      <c r="U37" s="26">
        <f ca="1">IFERROR(__xludf.DUMMYFUNCTION("D37*GOOGLEFINANCE(""RUBKZT"")*1000/F37"),3296535.80064458)</f>
        <v>3296535.8006445798</v>
      </c>
      <c r="V37" s="27">
        <f t="shared" ca="1" si="6"/>
        <v>0.15544877670430957</v>
      </c>
    </row>
    <row r="38" spans="1:22" ht="12.75" customHeight="1" x14ac:dyDescent="0.2">
      <c r="A38" s="6" t="s">
        <v>598</v>
      </c>
      <c r="B38" s="6" t="s">
        <v>136</v>
      </c>
      <c r="C38" s="7">
        <v>214091</v>
      </c>
      <c r="D38" s="8">
        <v>440574</v>
      </c>
      <c r="E38" s="9" t="s">
        <v>16</v>
      </c>
      <c r="F38" s="23">
        <v>1000</v>
      </c>
      <c r="G38" s="25"/>
      <c r="H38" s="14">
        <f t="shared" si="0"/>
        <v>0.55000000000000004</v>
      </c>
      <c r="I38" s="25">
        <f ca="1">IFERROR(__xludf.DUMMYFUNCTION("ROUND(D38*GOOGLEFINANCE(""RUBKZT"")*H38)"),1890916)</f>
        <v>1890916</v>
      </c>
      <c r="J38" s="26">
        <f ca="1">IFERROR(__xludf.DUMMYFUNCTION("ROUND(I38*GOOGLEFINANCE(""KZTEUR""))"),3960)</f>
        <v>3960</v>
      </c>
      <c r="K38" s="26">
        <f t="shared" ca="1" si="1"/>
        <v>3960</v>
      </c>
      <c r="L38" s="26">
        <f t="shared" ca="1" si="2"/>
        <v>752.4</v>
      </c>
      <c r="M38" s="26">
        <f t="shared" ref="M38:N38" si="39">M$3</f>
        <v>500</v>
      </c>
      <c r="N38" s="26">
        <f t="shared" si="39"/>
        <v>500</v>
      </c>
      <c r="O38" s="26">
        <f ca="1">IFERROR(__xludf.DUMMYFUNCTION("ROUND(GOOGLEFINANCE(""Currency:EURKZT"")*K38)"),1891176)</f>
        <v>1891176</v>
      </c>
      <c r="P38" s="26">
        <f ca="1">IFERROR(__xludf.DUMMYFUNCTION("ROUND(GOOGLEFINANCE(""Currency:EURKZT"")*M38)"),238785)</f>
        <v>238785</v>
      </c>
      <c r="Q38" s="26">
        <f ca="1">IFERROR(__xludf.DUMMYFUNCTION("ROUND(GOOGLEFINANCE(""Currency:EURKZT"")*N38)"),238785)</f>
        <v>238785</v>
      </c>
      <c r="R38" s="26">
        <f t="shared" ca="1" si="4"/>
        <v>226941</v>
      </c>
      <c r="S38" s="26">
        <f t="shared" ca="1" si="5"/>
        <v>2595687</v>
      </c>
      <c r="T38" s="26">
        <f ca="1">IFERROR(__xludf.DUMMYFUNCTION("ROUND(GOOGLEFINANCE(""Currency:EURKZT"")*L38+S38)"),2955010)</f>
        <v>2955010</v>
      </c>
      <c r="U38" s="26">
        <f ca="1">IFERROR(__xludf.DUMMYFUNCTION("D38*GOOGLEFINANCE(""RUBKZT"")*1000/F38"),3438029.27699704)</f>
        <v>3438029.27699704</v>
      </c>
      <c r="V38" s="27">
        <f t="shared" ca="1" si="6"/>
        <v>0.1634577470116988</v>
      </c>
    </row>
    <row r="39" spans="1:22" ht="12.75" customHeight="1" x14ac:dyDescent="0.2">
      <c r="A39" s="6" t="s">
        <v>608</v>
      </c>
      <c r="B39" s="6" t="s">
        <v>136</v>
      </c>
      <c r="C39" s="7">
        <v>214140</v>
      </c>
      <c r="D39" s="8">
        <v>558022.79999999993</v>
      </c>
      <c r="E39" s="9" t="s">
        <v>16</v>
      </c>
      <c r="F39" s="23">
        <v>1000</v>
      </c>
      <c r="G39" s="25"/>
      <c r="H39" s="14">
        <f t="shared" si="0"/>
        <v>0.55000000000000004</v>
      </c>
      <c r="I39" s="25">
        <f ca="1">IFERROR(__xludf.DUMMYFUNCTION("ROUND(D39*GOOGLEFINANCE(""RUBKZT"")*H39)"),2394999)</f>
        <v>2394999</v>
      </c>
      <c r="J39" s="26">
        <f ca="1">IFERROR(__xludf.DUMMYFUNCTION("ROUND(I39*GOOGLEFINANCE(""KZTEUR""))"),5016)</f>
        <v>5016</v>
      </c>
      <c r="K39" s="26">
        <f t="shared" ca="1" si="1"/>
        <v>5016</v>
      </c>
      <c r="L39" s="26">
        <f t="shared" ca="1" si="2"/>
        <v>953.04</v>
      </c>
      <c r="M39" s="26">
        <f t="shared" ref="M39:N39" si="40">M$3</f>
        <v>500</v>
      </c>
      <c r="N39" s="26">
        <f t="shared" si="40"/>
        <v>500</v>
      </c>
      <c r="O39" s="26">
        <f ca="1">IFERROR(__xludf.DUMMYFUNCTION("ROUND(GOOGLEFINANCE(""Currency:EURKZT"")*K39)"),2395489)</f>
        <v>2395489</v>
      </c>
      <c r="P39" s="26">
        <f ca="1">IFERROR(__xludf.DUMMYFUNCTION("ROUND(GOOGLEFINANCE(""Currency:EURKZT"")*M39)"),238785)</f>
        <v>238785</v>
      </c>
      <c r="Q39" s="26">
        <f ca="1">IFERROR(__xludf.DUMMYFUNCTION("ROUND(GOOGLEFINANCE(""Currency:EURKZT"")*N39)"),238785)</f>
        <v>238785</v>
      </c>
      <c r="R39" s="26">
        <f t="shared" ca="1" si="4"/>
        <v>287459</v>
      </c>
      <c r="S39" s="26">
        <f t="shared" ca="1" si="5"/>
        <v>3160518</v>
      </c>
      <c r="T39" s="26">
        <f ca="1">IFERROR(__xludf.DUMMYFUNCTION("ROUND(GOOGLEFINANCE(""Currency:EURKZT"")*L39+S39)"),3615661)</f>
        <v>3615661</v>
      </c>
      <c r="U39" s="26">
        <f ca="1">IFERROR(__xludf.DUMMYFUNCTION("D39*GOOGLEFINANCE(""RUBKZT"")*1000/F39"),4354543.67173702)</f>
        <v>4354543.6717370199</v>
      </c>
      <c r="V39" s="27">
        <f t="shared" ca="1" si="6"/>
        <v>0.20435618044308354</v>
      </c>
    </row>
    <row r="40" spans="1:22" ht="12.75" customHeight="1" x14ac:dyDescent="0.2">
      <c r="A40" s="6" t="s">
        <v>612</v>
      </c>
      <c r="B40" s="6" t="s">
        <v>136</v>
      </c>
      <c r="C40" s="7">
        <v>214151</v>
      </c>
      <c r="D40" s="8">
        <v>537837.6</v>
      </c>
      <c r="E40" s="9" t="s">
        <v>16</v>
      </c>
      <c r="F40" s="23">
        <v>1000</v>
      </c>
      <c r="G40" s="25"/>
      <c r="H40" s="14">
        <f t="shared" si="0"/>
        <v>0.55000000000000004</v>
      </c>
      <c r="I40" s="25">
        <f ca="1">IFERROR(__xludf.DUMMYFUNCTION("ROUND(D40*GOOGLEFINANCE(""RUBKZT"")*H40)"),2308365)</f>
        <v>2308365</v>
      </c>
      <c r="J40" s="26">
        <f ca="1">IFERROR(__xludf.DUMMYFUNCTION("ROUND(I40*GOOGLEFINANCE(""KZTEUR""))"),4834)</f>
        <v>4834</v>
      </c>
      <c r="K40" s="26">
        <f t="shared" ca="1" si="1"/>
        <v>4834</v>
      </c>
      <c r="L40" s="26">
        <f t="shared" ca="1" si="2"/>
        <v>918.46</v>
      </c>
      <c r="M40" s="26">
        <f t="shared" ref="M40:N40" si="41">M$3</f>
        <v>500</v>
      </c>
      <c r="N40" s="26">
        <f t="shared" si="41"/>
        <v>500</v>
      </c>
      <c r="O40" s="26">
        <f ca="1">IFERROR(__xludf.DUMMYFUNCTION("ROUND(GOOGLEFINANCE(""Currency:EURKZT"")*K40)"),2308572)</f>
        <v>2308572</v>
      </c>
      <c r="P40" s="26">
        <f ca="1">IFERROR(__xludf.DUMMYFUNCTION("ROUND(GOOGLEFINANCE(""Currency:EURKZT"")*M40)"),238785)</f>
        <v>238785</v>
      </c>
      <c r="Q40" s="26">
        <f ca="1">IFERROR(__xludf.DUMMYFUNCTION("ROUND(GOOGLEFINANCE(""Currency:EURKZT"")*N40)"),238785)</f>
        <v>238785</v>
      </c>
      <c r="R40" s="26">
        <f t="shared" ca="1" si="4"/>
        <v>277029</v>
      </c>
      <c r="S40" s="26">
        <f t="shared" ca="1" si="5"/>
        <v>3063171</v>
      </c>
      <c r="T40" s="26">
        <f ca="1">IFERROR(__xludf.DUMMYFUNCTION("ROUND(GOOGLEFINANCE(""Currency:EURKZT"")*L40+S40)"),3501800)</f>
        <v>3501800</v>
      </c>
      <c r="U40" s="26">
        <f ca="1">IFERROR(__xludf.DUMMYFUNCTION("D40*GOOGLEFINANCE(""RUBKZT"")*1000/F40"),4197028.00226483)</f>
        <v>4197028.0022648303</v>
      </c>
      <c r="V40" s="27">
        <f t="shared" ca="1" si="6"/>
        <v>0.19853446863465368</v>
      </c>
    </row>
    <row r="41" spans="1:22" ht="12.75" customHeight="1" x14ac:dyDescent="0.2">
      <c r="A41" s="6" t="s">
        <v>595</v>
      </c>
      <c r="B41" s="6" t="s">
        <v>136</v>
      </c>
      <c r="C41" s="7">
        <v>214173</v>
      </c>
      <c r="D41" s="8">
        <v>551041.19999999995</v>
      </c>
      <c r="E41" s="9" t="s">
        <v>16</v>
      </c>
      <c r="F41" s="23">
        <v>1000</v>
      </c>
      <c r="G41" s="25"/>
      <c r="H41" s="14">
        <f t="shared" si="0"/>
        <v>0.55000000000000004</v>
      </c>
      <c r="I41" s="25">
        <f ca="1">IFERROR(__xludf.DUMMYFUNCTION("ROUND(D41*GOOGLEFINANCE(""RUBKZT"")*H41)"),2365034)</f>
        <v>2365034</v>
      </c>
      <c r="J41" s="26">
        <f ca="1">IFERROR(__xludf.DUMMYFUNCTION("ROUND(I41*GOOGLEFINANCE(""KZTEUR""))"),4953)</f>
        <v>4953</v>
      </c>
      <c r="K41" s="26">
        <f t="shared" ca="1" si="1"/>
        <v>4953</v>
      </c>
      <c r="L41" s="26">
        <f t="shared" ca="1" si="2"/>
        <v>941.07</v>
      </c>
      <c r="M41" s="26">
        <f t="shared" ref="M41:N41" si="42">M$3</f>
        <v>500</v>
      </c>
      <c r="N41" s="26">
        <f t="shared" si="42"/>
        <v>500</v>
      </c>
      <c r="O41" s="26">
        <f ca="1">IFERROR(__xludf.DUMMYFUNCTION("ROUND(GOOGLEFINANCE(""Currency:EURKZT"")*K41)"),2365402)</f>
        <v>2365402</v>
      </c>
      <c r="P41" s="26">
        <f ca="1">IFERROR(__xludf.DUMMYFUNCTION("ROUND(GOOGLEFINANCE(""Currency:EURKZT"")*M41)"),238785)</f>
        <v>238785</v>
      </c>
      <c r="Q41" s="26">
        <f ca="1">IFERROR(__xludf.DUMMYFUNCTION("ROUND(GOOGLEFINANCE(""Currency:EURKZT"")*N41)"),238785)</f>
        <v>238785</v>
      </c>
      <c r="R41" s="26">
        <f t="shared" ca="1" si="4"/>
        <v>283848</v>
      </c>
      <c r="S41" s="26">
        <f t="shared" ca="1" si="5"/>
        <v>3126820</v>
      </c>
      <c r="T41" s="26">
        <f ca="1">IFERROR(__xludf.DUMMYFUNCTION("ROUND(GOOGLEFINANCE(""Currency:EURKZT"")*L41+S41)"),3576246)</f>
        <v>3576246</v>
      </c>
      <c r="U41" s="26">
        <f ca="1">IFERROR(__xludf.DUMMYFUNCTION("D41*GOOGLEFINANCE(""RUBKZT"")*1000/F41"),4300062.5965935)</f>
        <v>4300062.5965935001</v>
      </c>
      <c r="V41" s="27">
        <f t="shared" ca="1" si="6"/>
        <v>0.20239563961581505</v>
      </c>
    </row>
    <row r="42" spans="1:22" ht="12.75" customHeight="1" x14ac:dyDescent="0.2">
      <c r="A42" s="6" t="s">
        <v>630</v>
      </c>
      <c r="B42" s="6" t="s">
        <v>136</v>
      </c>
      <c r="C42" s="7">
        <v>215818</v>
      </c>
      <c r="D42" s="8">
        <v>486972</v>
      </c>
      <c r="E42" s="9" t="s">
        <v>7</v>
      </c>
      <c r="F42" s="23">
        <v>1000</v>
      </c>
      <c r="G42" s="25"/>
      <c r="H42" s="14">
        <f t="shared" si="0"/>
        <v>0.55000000000000004</v>
      </c>
      <c r="I42" s="25">
        <f ca="1">IFERROR(__xludf.DUMMYFUNCTION("ROUND(D42*GOOGLEFINANCE(""RUBKZT"")*H42)"),2090053)</f>
        <v>2090053</v>
      </c>
      <c r="J42" s="26">
        <f ca="1">IFERROR(__xludf.DUMMYFUNCTION("ROUND(I42*GOOGLEFINANCE(""KZTEUR""))"),4377)</f>
        <v>4377</v>
      </c>
      <c r="K42" s="26">
        <f t="shared" ca="1" si="1"/>
        <v>4377</v>
      </c>
      <c r="L42" s="26">
        <f t="shared" ca="1" si="2"/>
        <v>831.63</v>
      </c>
      <c r="M42" s="26">
        <f t="shared" ref="M42:N42" si="43">M$3</f>
        <v>500</v>
      </c>
      <c r="N42" s="26">
        <f t="shared" si="43"/>
        <v>500</v>
      </c>
      <c r="O42" s="26">
        <f ca="1">IFERROR(__xludf.DUMMYFUNCTION("ROUND(GOOGLEFINANCE(""Currency:EURKZT"")*K42)"),2090322)</f>
        <v>2090322</v>
      </c>
      <c r="P42" s="26">
        <f ca="1">IFERROR(__xludf.DUMMYFUNCTION("ROUND(GOOGLEFINANCE(""Currency:EURKZT"")*M42)"),238785)</f>
        <v>238785</v>
      </c>
      <c r="Q42" s="26">
        <f ca="1">IFERROR(__xludf.DUMMYFUNCTION("ROUND(GOOGLEFINANCE(""Currency:EURKZT"")*N42)"),238785)</f>
        <v>238785</v>
      </c>
      <c r="R42" s="26">
        <f t="shared" ca="1" si="4"/>
        <v>250839</v>
      </c>
      <c r="S42" s="26">
        <f t="shared" ca="1" si="5"/>
        <v>2818731</v>
      </c>
      <c r="T42" s="26">
        <f ca="1">IFERROR(__xludf.DUMMYFUNCTION("ROUND(GOOGLEFINANCE(""Currency:EURKZT"")*L42+S42)"),3215892)</f>
        <v>3215892</v>
      </c>
      <c r="U42" s="26">
        <f ca="1">IFERROR(__xludf.DUMMYFUNCTION("D42*GOOGLEFINANCE(""RUBKZT"")*1000/F42"),3800097.13028414)</f>
        <v>3800097.1302841399</v>
      </c>
      <c r="V42" s="27">
        <f t="shared" ca="1" si="6"/>
        <v>0.18166192468034992</v>
      </c>
    </row>
    <row r="43" spans="1:22" ht="12.75" customHeight="1" x14ac:dyDescent="0.2">
      <c r="A43" s="6" t="s">
        <v>449</v>
      </c>
      <c r="B43" s="6" t="s">
        <v>136</v>
      </c>
      <c r="C43" s="7">
        <v>225399</v>
      </c>
      <c r="D43" s="8">
        <v>615666</v>
      </c>
      <c r="E43" s="9" t="s">
        <v>16</v>
      </c>
      <c r="F43" s="23">
        <v>1000</v>
      </c>
      <c r="G43" s="25"/>
      <c r="H43" s="14">
        <f t="shared" si="0"/>
        <v>0.55000000000000004</v>
      </c>
      <c r="I43" s="25">
        <f ca="1">IFERROR(__xludf.DUMMYFUNCTION("ROUND(D43*GOOGLEFINANCE(""RUBKZT"")*H43)"),2642400)</f>
        <v>2642400</v>
      </c>
      <c r="J43" s="26">
        <f ca="1">IFERROR(__xludf.DUMMYFUNCTION("ROUND(I43*GOOGLEFINANCE(""KZTEUR""))"),5534)</f>
        <v>5534</v>
      </c>
      <c r="K43" s="26">
        <f t="shared" ca="1" si="1"/>
        <v>5534</v>
      </c>
      <c r="L43" s="26">
        <f t="shared" ca="1" si="2"/>
        <v>1051.46</v>
      </c>
      <c r="M43" s="26">
        <f t="shared" ref="M43:N43" si="44">M$3</f>
        <v>500</v>
      </c>
      <c r="N43" s="26">
        <f t="shared" si="44"/>
        <v>500</v>
      </c>
      <c r="O43" s="26">
        <f ca="1">IFERROR(__xludf.DUMMYFUNCTION("ROUND(GOOGLEFINANCE(""Currency:EURKZT"")*K43)"),2642870)</f>
        <v>2642870</v>
      </c>
      <c r="P43" s="26">
        <f ca="1">IFERROR(__xludf.DUMMYFUNCTION("ROUND(GOOGLEFINANCE(""Currency:EURKZT"")*M43)"),238785)</f>
        <v>238785</v>
      </c>
      <c r="Q43" s="26">
        <f ca="1">IFERROR(__xludf.DUMMYFUNCTION("ROUND(GOOGLEFINANCE(""Currency:EURKZT"")*N43)"),238785)</f>
        <v>238785</v>
      </c>
      <c r="R43" s="26">
        <f t="shared" ca="1" si="4"/>
        <v>317144</v>
      </c>
      <c r="S43" s="26">
        <f t="shared" ca="1" si="5"/>
        <v>3437584</v>
      </c>
      <c r="T43" s="26">
        <f ca="1">IFERROR(__xludf.DUMMYFUNCTION("ROUND(GOOGLEFINANCE(""Currency:EURKZT"")*L43+S43)"),3939729)</f>
        <v>3939729</v>
      </c>
      <c r="U43" s="26">
        <f ca="1">IFERROR(__xludf.DUMMYFUNCTION("D43*GOOGLEFINANCE(""RUBKZT"")*1000/F43"),4804363.70019943)</f>
        <v>4804363.7001994299</v>
      </c>
      <c r="V43" s="27">
        <f t="shared" ca="1" si="6"/>
        <v>0.21946552674040012</v>
      </c>
    </row>
    <row r="44" spans="1:22" ht="12.75" customHeight="1" x14ac:dyDescent="0.2">
      <c r="A44" s="6" t="s">
        <v>644</v>
      </c>
      <c r="B44" s="6" t="s">
        <v>136</v>
      </c>
      <c r="C44" s="7">
        <v>10081201</v>
      </c>
      <c r="D44" s="8">
        <v>349584</v>
      </c>
      <c r="E44" s="9" t="s">
        <v>16</v>
      </c>
      <c r="F44" s="23">
        <v>1000</v>
      </c>
      <c r="G44" s="25"/>
      <c r="H44" s="14">
        <f t="shared" si="0"/>
        <v>0.55000000000000004</v>
      </c>
      <c r="I44" s="25">
        <f ca="1">IFERROR(__xludf.DUMMYFUNCTION("ROUND(D44*GOOGLEFINANCE(""RUBKZT"")*H44)"),1500393)</f>
        <v>1500393</v>
      </c>
      <c r="J44" s="26">
        <f ca="1">IFERROR(__xludf.DUMMYFUNCTION("ROUND(I44*GOOGLEFINANCE(""KZTEUR""))"),3142)</f>
        <v>3142</v>
      </c>
      <c r="K44" s="26">
        <f t="shared" ca="1" si="1"/>
        <v>3142</v>
      </c>
      <c r="L44" s="26">
        <f t="shared" ca="1" si="2"/>
        <v>596.98</v>
      </c>
      <c r="M44" s="26">
        <f t="shared" ref="M44:N44" si="45">M$3</f>
        <v>500</v>
      </c>
      <c r="N44" s="26">
        <f t="shared" si="45"/>
        <v>500</v>
      </c>
      <c r="O44" s="26">
        <f ca="1">IFERROR(__xludf.DUMMYFUNCTION("ROUND(GOOGLEFINANCE(""Currency:EURKZT"")*K44)"),1500524)</f>
        <v>1500524</v>
      </c>
      <c r="P44" s="26">
        <f ca="1">IFERROR(__xludf.DUMMYFUNCTION("ROUND(GOOGLEFINANCE(""Currency:EURKZT"")*M44)"),238785)</f>
        <v>238785</v>
      </c>
      <c r="Q44" s="26">
        <f ca="1">IFERROR(__xludf.DUMMYFUNCTION("ROUND(GOOGLEFINANCE(""Currency:EURKZT"")*N44)"),238785)</f>
        <v>238785</v>
      </c>
      <c r="R44" s="26">
        <f t="shared" ca="1" si="4"/>
        <v>180063</v>
      </c>
      <c r="S44" s="26">
        <f t="shared" ca="1" si="5"/>
        <v>2158157</v>
      </c>
      <c r="T44" s="26">
        <f ca="1">IFERROR(__xludf.DUMMYFUNCTION("ROUND(GOOGLEFINANCE(""Currency:EURKZT"")*L44+S44)"),2443257)</f>
        <v>2443257</v>
      </c>
      <c r="U44" s="26">
        <f ca="1">IFERROR(__xludf.DUMMYFUNCTION("D44*GOOGLEFINANCE(""RUBKZT"")*1000/F44"),2727986.73269356)</f>
        <v>2727986.73269356</v>
      </c>
      <c r="V44" s="27">
        <f t="shared" ca="1" si="6"/>
        <v>0.11653695566760269</v>
      </c>
    </row>
    <row r="45" spans="1:22" ht="12.75" customHeight="1" x14ac:dyDescent="0.2">
      <c r="A45" s="6" t="s">
        <v>647</v>
      </c>
      <c r="B45" s="6" t="s">
        <v>136</v>
      </c>
      <c r="C45" s="7">
        <v>10091201</v>
      </c>
      <c r="D45" s="8">
        <v>294408</v>
      </c>
      <c r="E45" s="9" t="s">
        <v>16</v>
      </c>
      <c r="F45" s="23">
        <v>1000</v>
      </c>
      <c r="G45" s="25"/>
      <c r="H45" s="14">
        <f t="shared" si="0"/>
        <v>0.55000000000000004</v>
      </c>
      <c r="I45" s="25">
        <f ca="1">IFERROR(__xludf.DUMMYFUNCTION("ROUND(D45*GOOGLEFINANCE(""RUBKZT"")*H45)"),1263581)</f>
        <v>1263581</v>
      </c>
      <c r="J45" s="26">
        <f ca="1">IFERROR(__xludf.DUMMYFUNCTION("ROUND(I45*GOOGLEFINANCE(""KZTEUR""))"),2646)</f>
        <v>2646</v>
      </c>
      <c r="K45" s="26">
        <f t="shared" ca="1" si="1"/>
        <v>2646</v>
      </c>
      <c r="L45" s="26">
        <f t="shared" ca="1" si="2"/>
        <v>502.74</v>
      </c>
      <c r="M45" s="26">
        <f t="shared" ref="M45:N45" si="46">M$3</f>
        <v>500</v>
      </c>
      <c r="N45" s="26">
        <f t="shared" si="46"/>
        <v>500</v>
      </c>
      <c r="O45" s="26">
        <f ca="1">IFERROR(__xludf.DUMMYFUNCTION("ROUND(GOOGLEFINANCE(""Currency:EURKZT"")*K45)"),1263649)</f>
        <v>1263649</v>
      </c>
      <c r="P45" s="26">
        <f ca="1">IFERROR(__xludf.DUMMYFUNCTION("ROUND(GOOGLEFINANCE(""Currency:EURKZT"")*M45)"),238785)</f>
        <v>238785</v>
      </c>
      <c r="Q45" s="26">
        <f ca="1">IFERROR(__xludf.DUMMYFUNCTION("ROUND(GOOGLEFINANCE(""Currency:EURKZT"")*N45)"),238785)</f>
        <v>238785</v>
      </c>
      <c r="R45" s="26">
        <f t="shared" ca="1" si="4"/>
        <v>151638</v>
      </c>
      <c r="S45" s="26">
        <f t="shared" ca="1" si="5"/>
        <v>1892857</v>
      </c>
      <c r="T45" s="26">
        <f ca="1">IFERROR(__xludf.DUMMYFUNCTION("ROUND(GOOGLEFINANCE(""Currency:EURKZT"")*L45+S45)"),2132950)</f>
        <v>2132950</v>
      </c>
      <c r="U45" s="26">
        <f ca="1">IFERROR(__xludf.DUMMYFUNCTION("D45*GOOGLEFINANCE(""RUBKZT"")*1000/F45"),2297419.55581161)</f>
        <v>2297419.5558116101</v>
      </c>
      <c r="V45" s="27">
        <f t="shared" ca="1" si="6"/>
        <v>7.7108959802906801E-2</v>
      </c>
    </row>
    <row r="46" spans="1:22" ht="12.75" customHeight="1" x14ac:dyDescent="0.2">
      <c r="A46" s="6" t="s">
        <v>61</v>
      </c>
      <c r="B46" s="6" t="s">
        <v>136</v>
      </c>
      <c r="C46" s="7">
        <v>10121201</v>
      </c>
      <c r="D46" s="8">
        <v>307293.59999999998</v>
      </c>
      <c r="E46" s="9" t="s">
        <v>16</v>
      </c>
      <c r="F46" s="23">
        <v>1000</v>
      </c>
      <c r="G46" s="25"/>
      <c r="H46" s="14">
        <f t="shared" si="0"/>
        <v>0.55000000000000004</v>
      </c>
      <c r="I46" s="25">
        <f ca="1">IFERROR(__xludf.DUMMYFUNCTION("ROUND(D46*GOOGLEFINANCE(""RUBKZT"")*H46)"),1318885)</f>
        <v>1318885</v>
      </c>
      <c r="J46" s="26">
        <f ca="1">IFERROR(__xludf.DUMMYFUNCTION("ROUND(I46*GOOGLEFINANCE(""KZTEUR""))"),2762)</f>
        <v>2762</v>
      </c>
      <c r="K46" s="26">
        <f t="shared" ca="1" si="1"/>
        <v>2762</v>
      </c>
      <c r="L46" s="26">
        <f t="shared" ca="1" si="2"/>
        <v>524.78</v>
      </c>
      <c r="M46" s="26">
        <f t="shared" ref="M46:N46" si="47">M$3</f>
        <v>500</v>
      </c>
      <c r="N46" s="26">
        <f t="shared" si="47"/>
        <v>500</v>
      </c>
      <c r="O46" s="26">
        <f ca="1">IFERROR(__xludf.DUMMYFUNCTION("ROUND(GOOGLEFINANCE(""Currency:EURKZT"")*K46)"),1319047)</f>
        <v>1319047</v>
      </c>
      <c r="P46" s="26">
        <f ca="1">IFERROR(__xludf.DUMMYFUNCTION("ROUND(GOOGLEFINANCE(""Currency:EURKZT"")*M46)"),238785)</f>
        <v>238785</v>
      </c>
      <c r="Q46" s="26">
        <f ca="1">IFERROR(__xludf.DUMMYFUNCTION("ROUND(GOOGLEFINANCE(""Currency:EURKZT"")*N46)"),238785)</f>
        <v>238785</v>
      </c>
      <c r="R46" s="26">
        <f t="shared" ca="1" si="4"/>
        <v>158286</v>
      </c>
      <c r="S46" s="26">
        <f t="shared" ca="1" si="5"/>
        <v>1954903</v>
      </c>
      <c r="T46" s="26">
        <f ca="1">IFERROR(__xludf.DUMMYFUNCTION("ROUND(GOOGLEFINANCE(""Currency:EURKZT"")*L46+S46)"),2205522)</f>
        <v>2205522</v>
      </c>
      <c r="U46" s="26">
        <f ca="1">IFERROR(__xludf.DUMMYFUNCTION("D46*GOOGLEFINANCE(""RUBKZT"")*1000/F46"),2397972.62987334)</f>
        <v>2397972.62987334</v>
      </c>
      <c r="V46" s="27">
        <f t="shared" ca="1" si="6"/>
        <v>8.725854009769117E-2</v>
      </c>
    </row>
    <row r="47" spans="1:22" ht="12.75" customHeight="1" x14ac:dyDescent="0.2">
      <c r="A47" s="6" t="s">
        <v>137</v>
      </c>
      <c r="B47" s="6" t="s">
        <v>136</v>
      </c>
      <c r="C47" s="7">
        <v>10271201</v>
      </c>
      <c r="D47" s="8">
        <v>361814.39999999997</v>
      </c>
      <c r="E47" s="9" t="s">
        <v>16</v>
      </c>
      <c r="F47" s="23">
        <v>1000</v>
      </c>
      <c r="G47" s="25"/>
      <c r="H47" s="14">
        <f t="shared" si="0"/>
        <v>0.55000000000000004</v>
      </c>
      <c r="I47" s="25">
        <f ca="1">IFERROR(__xludf.DUMMYFUNCTION("ROUND(D47*GOOGLEFINANCE(""RUBKZT"")*H47)"),1552885)</f>
        <v>1552885</v>
      </c>
      <c r="J47" s="26">
        <f ca="1">IFERROR(__xludf.DUMMYFUNCTION("ROUND(I47*GOOGLEFINANCE(""KZTEUR""))"),3252)</f>
        <v>3252</v>
      </c>
      <c r="K47" s="26">
        <f t="shared" ca="1" si="1"/>
        <v>3252</v>
      </c>
      <c r="L47" s="26">
        <f t="shared" ca="1" si="2"/>
        <v>617.88</v>
      </c>
      <c r="M47" s="26">
        <f t="shared" ref="M47:N47" si="48">M$3</f>
        <v>500</v>
      </c>
      <c r="N47" s="26">
        <f t="shared" si="48"/>
        <v>500</v>
      </c>
      <c r="O47" s="26">
        <f ca="1">IFERROR(__xludf.DUMMYFUNCTION("ROUND(GOOGLEFINANCE(""Currency:EURKZT"")*K47)"),1553056)</f>
        <v>1553056</v>
      </c>
      <c r="P47" s="26">
        <f ca="1">IFERROR(__xludf.DUMMYFUNCTION("ROUND(GOOGLEFINANCE(""Currency:EURKZT"")*M47)"),238785)</f>
        <v>238785</v>
      </c>
      <c r="Q47" s="26">
        <f ca="1">IFERROR(__xludf.DUMMYFUNCTION("ROUND(GOOGLEFINANCE(""Currency:EURKZT"")*N47)"),238785)</f>
        <v>238785</v>
      </c>
      <c r="R47" s="26">
        <f t="shared" ca="1" si="4"/>
        <v>186367</v>
      </c>
      <c r="S47" s="26">
        <f t="shared" ca="1" si="5"/>
        <v>2216993</v>
      </c>
      <c r="T47" s="26">
        <f ca="1">IFERROR(__xludf.DUMMYFUNCTION("ROUND(GOOGLEFINANCE(""Currency:EURKZT"")*L47+S47)"),2512074)</f>
        <v>2512074</v>
      </c>
      <c r="U47" s="26">
        <f ca="1">IFERROR(__xludf.DUMMYFUNCTION("D47*GOOGLEFINANCE(""RUBKZT"")*1000/F47"),2823426.93858266)</f>
        <v>2823426.9385826602</v>
      </c>
      <c r="V47" s="27">
        <f t="shared" ca="1" si="6"/>
        <v>0.12394258233740732</v>
      </c>
    </row>
    <row r="48" spans="1:22" ht="12.75" customHeight="1" x14ac:dyDescent="0.2">
      <c r="A48" s="6" t="s">
        <v>643</v>
      </c>
      <c r="B48" s="6" t="s">
        <v>136</v>
      </c>
      <c r="C48" s="7" t="s">
        <v>675</v>
      </c>
      <c r="D48" s="8">
        <v>349584</v>
      </c>
      <c r="E48" s="9" t="s">
        <v>16</v>
      </c>
      <c r="F48" s="23">
        <v>1000</v>
      </c>
      <c r="G48" s="25"/>
      <c r="H48" s="14">
        <f t="shared" si="0"/>
        <v>0.55000000000000004</v>
      </c>
      <c r="I48" s="25">
        <f ca="1">IFERROR(__xludf.DUMMYFUNCTION("ROUND(D48*GOOGLEFINANCE(""RUBKZT"")*H48)"),1500393)</f>
        <v>1500393</v>
      </c>
      <c r="J48" s="26">
        <f ca="1">IFERROR(__xludf.DUMMYFUNCTION("ROUND(I48*GOOGLEFINANCE(""KZTEUR""))"),3142)</f>
        <v>3142</v>
      </c>
      <c r="K48" s="26">
        <f t="shared" ca="1" si="1"/>
        <v>3142</v>
      </c>
      <c r="L48" s="26">
        <f t="shared" ca="1" si="2"/>
        <v>596.98</v>
      </c>
      <c r="M48" s="26">
        <f t="shared" ref="M48:N48" si="49">M$3</f>
        <v>500</v>
      </c>
      <c r="N48" s="26">
        <f t="shared" si="49"/>
        <v>500</v>
      </c>
      <c r="O48" s="26">
        <f ca="1">IFERROR(__xludf.DUMMYFUNCTION("ROUND(GOOGLEFINANCE(""Currency:EURKZT"")*K48)"),1500524)</f>
        <v>1500524</v>
      </c>
      <c r="P48" s="26">
        <f ca="1">IFERROR(__xludf.DUMMYFUNCTION("ROUND(GOOGLEFINANCE(""Currency:EURKZT"")*M48)"),238785)</f>
        <v>238785</v>
      </c>
      <c r="Q48" s="26">
        <f ca="1">IFERROR(__xludf.DUMMYFUNCTION("ROUND(GOOGLEFINANCE(""Currency:EURKZT"")*N48)"),238785)</f>
        <v>238785</v>
      </c>
      <c r="R48" s="26">
        <f t="shared" ca="1" si="4"/>
        <v>180063</v>
      </c>
      <c r="S48" s="26">
        <f t="shared" ca="1" si="5"/>
        <v>2158157</v>
      </c>
      <c r="T48" s="26">
        <f ca="1">IFERROR(__xludf.DUMMYFUNCTION("ROUND(GOOGLEFINANCE(""Currency:EURKZT"")*L48+S48)"),2443257)</f>
        <v>2443257</v>
      </c>
      <c r="U48" s="26">
        <f ca="1">IFERROR(__xludf.DUMMYFUNCTION("D48*GOOGLEFINANCE(""RUBKZT"")*1000/F48"),2727986.73269356)</f>
        <v>2727986.73269356</v>
      </c>
      <c r="V48" s="27">
        <f t="shared" ca="1" si="6"/>
        <v>0.11653695566760269</v>
      </c>
    </row>
    <row r="49" spans="1:22" ht="12.75" customHeight="1" x14ac:dyDescent="0.2">
      <c r="A49" s="6" t="s">
        <v>667</v>
      </c>
      <c r="B49" s="6" t="s">
        <v>136</v>
      </c>
      <c r="C49" s="7" t="s">
        <v>678</v>
      </c>
      <c r="D49" s="8">
        <v>439232.39999999997</v>
      </c>
      <c r="E49" s="9" t="s">
        <v>16</v>
      </c>
      <c r="F49" s="23">
        <v>1000</v>
      </c>
      <c r="G49" s="25"/>
      <c r="H49" s="14">
        <f t="shared" si="0"/>
        <v>0.55000000000000004</v>
      </c>
      <c r="I49" s="25">
        <f ca="1">IFERROR(__xludf.DUMMYFUNCTION("ROUND(D49*GOOGLEFINANCE(""RUBKZT"")*H49)"),1885158)</f>
        <v>1885158</v>
      </c>
      <c r="J49" s="26">
        <f ca="1">IFERROR(__xludf.DUMMYFUNCTION("ROUND(I49*GOOGLEFINANCE(""KZTEUR""))"),3948)</f>
        <v>3948</v>
      </c>
      <c r="K49" s="26">
        <f t="shared" ca="1" si="1"/>
        <v>3948</v>
      </c>
      <c r="L49" s="26">
        <f t="shared" ca="1" si="2"/>
        <v>750.12</v>
      </c>
      <c r="M49" s="26">
        <f t="shared" ref="M49:N49" si="50">M$3</f>
        <v>500</v>
      </c>
      <c r="N49" s="26">
        <f t="shared" si="50"/>
        <v>500</v>
      </c>
      <c r="O49" s="26">
        <f ca="1">IFERROR(__xludf.DUMMYFUNCTION("ROUND(GOOGLEFINANCE(""Currency:EURKZT"")*K49)"),1885445)</f>
        <v>1885445</v>
      </c>
      <c r="P49" s="26">
        <f ca="1">IFERROR(__xludf.DUMMYFUNCTION("ROUND(GOOGLEFINANCE(""Currency:EURKZT"")*M49)"),238785)</f>
        <v>238785</v>
      </c>
      <c r="Q49" s="26">
        <f ca="1">IFERROR(__xludf.DUMMYFUNCTION("ROUND(GOOGLEFINANCE(""Currency:EURKZT"")*N49)"),238785)</f>
        <v>238785</v>
      </c>
      <c r="R49" s="26">
        <f t="shared" ca="1" si="4"/>
        <v>226253</v>
      </c>
      <c r="S49" s="26">
        <f t="shared" ca="1" si="5"/>
        <v>2589268</v>
      </c>
      <c r="T49" s="26">
        <f ca="1">IFERROR(__xludf.DUMMYFUNCTION("ROUND(GOOGLEFINANCE(""Currency:EURKZT"")*L49+S49)"),2947503)</f>
        <v>2947503</v>
      </c>
      <c r="U49" s="26">
        <f ca="1">IFERROR(__xludf.DUMMYFUNCTION("D49*GOOGLEFINANCE(""RUBKZT"")*1000/F49"),3427560.0707388)</f>
        <v>3427560.0707387999</v>
      </c>
      <c r="V49" s="27">
        <f t="shared" ca="1" si="6"/>
        <v>0.16286906942547635</v>
      </c>
    </row>
    <row r="50" spans="1:22" ht="12.75" customHeight="1" x14ac:dyDescent="0.2">
      <c r="A50" s="6" t="s">
        <v>419</v>
      </c>
      <c r="B50" s="6" t="s">
        <v>420</v>
      </c>
      <c r="C50" s="7">
        <v>202540</v>
      </c>
      <c r="D50" s="8">
        <v>19894.8</v>
      </c>
      <c r="E50" s="9" t="s">
        <v>7</v>
      </c>
      <c r="F50" s="23">
        <f t="shared" ref="F50:F51" si="51">12*0.5</f>
        <v>6</v>
      </c>
      <c r="G50" s="25"/>
      <c r="H50" s="14">
        <f t="shared" si="0"/>
        <v>0.55000000000000004</v>
      </c>
      <c r="I50" s="25">
        <f ca="1">IFERROR(__xludf.DUMMYFUNCTION("ROUND(D50*GOOGLEFINANCE(""RUBKZT"")*H50)"),85387)</f>
        <v>85387</v>
      </c>
      <c r="J50" s="26">
        <f ca="1">IFERROR(__xludf.DUMMYFUNCTION("ROUND(I50*GOOGLEFINANCE(""KZTEUR""))"),179)</f>
        <v>179</v>
      </c>
      <c r="K50" s="26">
        <f t="shared" ca="1" si="1"/>
        <v>29833</v>
      </c>
      <c r="L50" s="26">
        <f t="shared" ca="1" si="2"/>
        <v>5668.27</v>
      </c>
      <c r="M50" s="26">
        <f t="shared" ref="M50:N50" si="52">M$3</f>
        <v>500</v>
      </c>
      <c r="N50" s="26">
        <f t="shared" si="52"/>
        <v>500</v>
      </c>
      <c r="O50" s="26">
        <f ca="1">IFERROR(__xludf.DUMMYFUNCTION("ROUND(GOOGLEFINANCE(""Currency:EURKZT"")*K50)"),14247334)</f>
        <v>14247334</v>
      </c>
      <c r="P50" s="26">
        <f ca="1">IFERROR(__xludf.DUMMYFUNCTION("ROUND(GOOGLEFINANCE(""Currency:EURKZT"")*M50)"),238785)</f>
        <v>238785</v>
      </c>
      <c r="Q50" s="26">
        <f ca="1">IFERROR(__xludf.DUMMYFUNCTION("ROUND(GOOGLEFINANCE(""Currency:EURKZT"")*N50)"),238785)</f>
        <v>238785</v>
      </c>
      <c r="R50" s="26">
        <f t="shared" ca="1" si="4"/>
        <v>1709680</v>
      </c>
      <c r="S50" s="26">
        <f t="shared" ca="1" si="5"/>
        <v>16434584</v>
      </c>
      <c r="T50" s="26">
        <f ca="1">IFERROR(__xludf.DUMMYFUNCTION("ROUND(GOOGLEFINANCE(""Currency:EURKZT"")*L50+S50)"),19141578)</f>
        <v>19141578</v>
      </c>
      <c r="U50" s="26">
        <f ca="1">IFERROR(__xludf.DUMMYFUNCTION("D50*GOOGLEFINANCE(""RUBKZT"")*1000/F50"),25874921.0726615)</f>
        <v>25874921.0726615</v>
      </c>
      <c r="V50" s="27">
        <f t="shared" ca="1" si="6"/>
        <v>0.35176530757607866</v>
      </c>
    </row>
    <row r="51" spans="1:22" ht="12.75" customHeight="1" x14ac:dyDescent="0.2">
      <c r="A51" s="6" t="s">
        <v>465</v>
      </c>
      <c r="B51" s="6" t="s">
        <v>420</v>
      </c>
      <c r="C51" s="7">
        <v>181942</v>
      </c>
      <c r="D51" s="8">
        <v>4068</v>
      </c>
      <c r="E51" s="9" t="s">
        <v>16</v>
      </c>
      <c r="F51" s="23">
        <f t="shared" si="51"/>
        <v>6</v>
      </c>
      <c r="G51" s="25"/>
      <c r="H51" s="14">
        <f t="shared" si="0"/>
        <v>0.55000000000000004</v>
      </c>
      <c r="I51" s="25">
        <f ca="1">IFERROR(__xludf.DUMMYFUNCTION("ROUND(D51*GOOGLEFINANCE(""RUBKZT"")*H51)"),17460)</f>
        <v>17460</v>
      </c>
      <c r="J51" s="26">
        <f ca="1">IFERROR(__xludf.DUMMYFUNCTION("ROUND(I51*GOOGLEFINANCE(""KZTEUR""))"),37)</f>
        <v>37</v>
      </c>
      <c r="K51" s="26">
        <f t="shared" ca="1" si="1"/>
        <v>6167</v>
      </c>
      <c r="L51" s="26">
        <f t="shared" ca="1" si="2"/>
        <v>1171.73</v>
      </c>
      <c r="M51" s="26">
        <f t="shared" ref="M51:N51" si="53">M$3</f>
        <v>500</v>
      </c>
      <c r="N51" s="26">
        <f t="shared" si="53"/>
        <v>500</v>
      </c>
      <c r="O51" s="26">
        <f ca="1">IFERROR(__xludf.DUMMYFUNCTION("ROUND(GOOGLEFINANCE(""Currency:EURKZT"")*K51)"),2945172)</f>
        <v>2945172</v>
      </c>
      <c r="P51" s="26">
        <f ca="1">IFERROR(__xludf.DUMMYFUNCTION("ROUND(GOOGLEFINANCE(""Currency:EURKZT"")*M51)"),238785)</f>
        <v>238785</v>
      </c>
      <c r="Q51" s="26">
        <f ca="1">IFERROR(__xludf.DUMMYFUNCTION("ROUND(GOOGLEFINANCE(""Currency:EURKZT"")*N51)"),238785)</f>
        <v>238785</v>
      </c>
      <c r="R51" s="26">
        <f t="shared" ca="1" si="4"/>
        <v>353421</v>
      </c>
      <c r="S51" s="26">
        <f t="shared" ca="1" si="5"/>
        <v>3776163</v>
      </c>
      <c r="T51" s="26">
        <f ca="1">IFERROR(__xludf.DUMMYFUNCTION("ROUND(GOOGLEFINANCE(""Currency:EURKZT"")*L51+S51)"),4335746)</f>
        <v>4335746</v>
      </c>
      <c r="U51" s="26">
        <f ca="1">IFERROR(__xludf.DUMMYFUNCTION("D51*GOOGLEFINANCE(""RUBKZT"")*1000/F51"),5290788.493656)</f>
        <v>5290788.4936560001</v>
      </c>
      <c r="V51" s="27">
        <f t="shared" ca="1" si="6"/>
        <v>0.22027178106282058</v>
      </c>
    </row>
    <row r="52" spans="1:22" ht="12.75" customHeight="1" x14ac:dyDescent="0.2">
      <c r="A52" s="6" t="s">
        <v>460</v>
      </c>
      <c r="B52" s="6" t="s">
        <v>488</v>
      </c>
      <c r="C52" s="7">
        <v>213737</v>
      </c>
      <c r="D52" s="8">
        <v>6046.8</v>
      </c>
      <c r="E52" s="9" t="s">
        <v>16</v>
      </c>
      <c r="F52" s="23">
        <v>12</v>
      </c>
      <c r="G52" s="25"/>
      <c r="H52" s="14">
        <f t="shared" si="0"/>
        <v>0.55000000000000004</v>
      </c>
      <c r="I52" s="25">
        <f ca="1">IFERROR(__xludf.DUMMYFUNCTION("ROUND(D52*GOOGLEFINANCE(""RUBKZT"")*H52)"),25952)</f>
        <v>25952</v>
      </c>
      <c r="J52" s="26">
        <f ca="1">IFERROR(__xludf.DUMMYFUNCTION("ROUND(I52*GOOGLEFINANCE(""KZTEUR""))"),54)</f>
        <v>54</v>
      </c>
      <c r="K52" s="26">
        <f t="shared" ca="1" si="1"/>
        <v>4500</v>
      </c>
      <c r="L52" s="26">
        <f t="shared" ca="1" si="2"/>
        <v>855</v>
      </c>
      <c r="M52" s="26">
        <f t="shared" ref="M52:N52" si="54">M$3</f>
        <v>500</v>
      </c>
      <c r="N52" s="26">
        <f t="shared" si="54"/>
        <v>500</v>
      </c>
      <c r="O52" s="26">
        <f ca="1">IFERROR(__xludf.DUMMYFUNCTION("ROUND(GOOGLEFINANCE(""Currency:EURKZT"")*K52)"),2149063)</f>
        <v>2149063</v>
      </c>
      <c r="P52" s="26">
        <f ca="1">IFERROR(__xludf.DUMMYFUNCTION("ROUND(GOOGLEFINANCE(""Currency:EURKZT"")*M52)"),238785)</f>
        <v>238785</v>
      </c>
      <c r="Q52" s="26">
        <f ca="1">IFERROR(__xludf.DUMMYFUNCTION("ROUND(GOOGLEFINANCE(""Currency:EURKZT"")*N52)"),238785)</f>
        <v>238785</v>
      </c>
      <c r="R52" s="26">
        <f t="shared" ca="1" si="4"/>
        <v>257888</v>
      </c>
      <c r="S52" s="26">
        <f t="shared" ca="1" si="5"/>
        <v>2884521</v>
      </c>
      <c r="T52" s="26">
        <f ca="1">IFERROR(__xludf.DUMMYFUNCTION("ROUND(GOOGLEFINANCE(""Currency:EURKZT"")*L52+S52)"),3292843)</f>
        <v>3292843</v>
      </c>
      <c r="U52" s="26">
        <f ca="1">IFERROR(__xludf.DUMMYFUNCTION("D52*GOOGLEFINANCE(""RUBKZT"")*1000/F52"),3932195.1651228)</f>
        <v>3932195.1651228</v>
      </c>
      <c r="V52" s="27">
        <f t="shared" ca="1" si="6"/>
        <v>0.19416418126306054</v>
      </c>
    </row>
    <row r="53" spans="1:22" ht="12.75" customHeight="1" x14ac:dyDescent="0.2">
      <c r="A53" s="6" t="s">
        <v>454</v>
      </c>
      <c r="B53" s="6" t="s">
        <v>488</v>
      </c>
      <c r="C53" s="7">
        <v>213740</v>
      </c>
      <c r="D53" s="8">
        <v>8221.1999999999989</v>
      </c>
      <c r="E53" s="9" t="s">
        <v>16</v>
      </c>
      <c r="F53" s="23">
        <v>12</v>
      </c>
      <c r="G53" s="25"/>
      <c r="H53" s="14">
        <f t="shared" si="0"/>
        <v>0.55000000000000004</v>
      </c>
      <c r="I53" s="25">
        <f ca="1">IFERROR(__xludf.DUMMYFUNCTION("ROUND(D53*GOOGLEFINANCE(""RUBKZT"")*H53)"),35285)</f>
        <v>35285</v>
      </c>
      <c r="J53" s="26">
        <f ca="1">IFERROR(__xludf.DUMMYFUNCTION("ROUND(I53*GOOGLEFINANCE(""KZTEUR""))"),74)</f>
        <v>74</v>
      </c>
      <c r="K53" s="26">
        <f t="shared" ca="1" si="1"/>
        <v>6167</v>
      </c>
      <c r="L53" s="26">
        <f t="shared" ca="1" si="2"/>
        <v>1171.73</v>
      </c>
      <c r="M53" s="26">
        <f t="shared" ref="M53:N53" si="55">M$3</f>
        <v>500</v>
      </c>
      <c r="N53" s="26">
        <f t="shared" si="55"/>
        <v>500</v>
      </c>
      <c r="O53" s="26">
        <f ca="1">IFERROR(__xludf.DUMMYFUNCTION("ROUND(GOOGLEFINANCE(""Currency:EURKZT"")*K53)"),2945172)</f>
        <v>2945172</v>
      </c>
      <c r="P53" s="26">
        <f ca="1">IFERROR(__xludf.DUMMYFUNCTION("ROUND(GOOGLEFINANCE(""Currency:EURKZT"")*M53)"),238785)</f>
        <v>238785</v>
      </c>
      <c r="Q53" s="26">
        <f ca="1">IFERROR(__xludf.DUMMYFUNCTION("ROUND(GOOGLEFINANCE(""Currency:EURKZT"")*N53)"),238785)</f>
        <v>238785</v>
      </c>
      <c r="R53" s="26">
        <f t="shared" ca="1" si="4"/>
        <v>353421</v>
      </c>
      <c r="S53" s="26">
        <f t="shared" ca="1" si="5"/>
        <v>3776163</v>
      </c>
      <c r="T53" s="26">
        <f ca="1">IFERROR(__xludf.DUMMYFUNCTION("ROUND(GOOGLEFINANCE(""Currency:EURKZT"")*L53+S53)"),4335746)</f>
        <v>4335746</v>
      </c>
      <c r="U53" s="26">
        <f ca="1">IFERROR(__xludf.DUMMYFUNCTION("D53*GOOGLEFINANCE(""RUBKZT"")*1000/F53"),5346193.50590519)</f>
        <v>5346193.5059051896</v>
      </c>
      <c r="V53" s="27">
        <f t="shared" ca="1" si="6"/>
        <v>0.23305043835713382</v>
      </c>
    </row>
    <row r="54" spans="1:22" ht="12.75" customHeight="1" x14ac:dyDescent="0.2">
      <c r="A54" s="6" t="s">
        <v>489</v>
      </c>
      <c r="B54" s="6" t="s">
        <v>488</v>
      </c>
      <c r="C54" s="7">
        <v>213754</v>
      </c>
      <c r="D54" s="8">
        <v>7846.7999999999993</v>
      </c>
      <c r="E54" s="9" t="s">
        <v>16</v>
      </c>
      <c r="F54" s="23">
        <v>12</v>
      </c>
      <c r="G54" s="25"/>
      <c r="H54" s="14">
        <f t="shared" si="0"/>
        <v>0.55000000000000004</v>
      </c>
      <c r="I54" s="25">
        <f ca="1">IFERROR(__xludf.DUMMYFUNCTION("ROUND(D54*GOOGLEFINANCE(""RUBKZT"")*H54)"),33678)</f>
        <v>33678</v>
      </c>
      <c r="J54" s="26">
        <f ca="1">IFERROR(__xludf.DUMMYFUNCTION("ROUND(I54*GOOGLEFINANCE(""KZTEUR""))"),71)</f>
        <v>71</v>
      </c>
      <c r="K54" s="26">
        <f t="shared" ca="1" si="1"/>
        <v>5917</v>
      </c>
      <c r="L54" s="26">
        <f t="shared" ca="1" si="2"/>
        <v>1124.23</v>
      </c>
      <c r="M54" s="26">
        <f t="shared" ref="M54:N54" si="56">M$3</f>
        <v>500</v>
      </c>
      <c r="N54" s="26">
        <f t="shared" si="56"/>
        <v>500</v>
      </c>
      <c r="O54" s="26">
        <f ca="1">IFERROR(__xludf.DUMMYFUNCTION("ROUND(GOOGLEFINANCE(""Currency:EURKZT"")*K54)"),2825779)</f>
        <v>2825779</v>
      </c>
      <c r="P54" s="26">
        <f ca="1">IFERROR(__xludf.DUMMYFUNCTION("ROUND(GOOGLEFINANCE(""Currency:EURKZT"")*M54)"),238785)</f>
        <v>238785</v>
      </c>
      <c r="Q54" s="26">
        <f ca="1">IFERROR(__xludf.DUMMYFUNCTION("ROUND(GOOGLEFINANCE(""Currency:EURKZT"")*N54)"),238785)</f>
        <v>238785</v>
      </c>
      <c r="R54" s="26">
        <f t="shared" ca="1" si="4"/>
        <v>339093</v>
      </c>
      <c r="S54" s="26">
        <f t="shared" ca="1" si="5"/>
        <v>3642442</v>
      </c>
      <c r="T54" s="26">
        <f ca="1">IFERROR(__xludf.DUMMYFUNCTION("ROUND(GOOGLEFINANCE(""Currency:EURKZT"")*L54+S54)"),4179340)</f>
        <v>4179340</v>
      </c>
      <c r="U54" s="26">
        <f ca="1">IFERROR(__xludf.DUMMYFUNCTION("D54*GOOGLEFINANCE(""RUBKZT"")*1000/F54"),5102723.5929228)</f>
        <v>5102723.5929228002</v>
      </c>
      <c r="V54" s="27">
        <f t="shared" ca="1" si="6"/>
        <v>0.22094005104222203</v>
      </c>
    </row>
    <row r="55" spans="1:22" ht="12.75" customHeight="1" x14ac:dyDescent="0.2">
      <c r="A55" s="6" t="s">
        <v>451</v>
      </c>
      <c r="B55" s="6" t="s">
        <v>488</v>
      </c>
      <c r="C55" s="7">
        <v>213755</v>
      </c>
      <c r="D55" s="8">
        <v>7663.2</v>
      </c>
      <c r="E55" s="9" t="s">
        <v>16</v>
      </c>
      <c r="F55" s="23">
        <v>12</v>
      </c>
      <c r="G55" s="25"/>
      <c r="H55" s="14">
        <f t="shared" si="0"/>
        <v>0.55000000000000004</v>
      </c>
      <c r="I55" s="25">
        <f ca="1">IFERROR(__xludf.DUMMYFUNCTION("ROUND(D55*GOOGLEFINANCE(""RUBKZT"")*H55)"),32890)</f>
        <v>32890</v>
      </c>
      <c r="J55" s="26">
        <f ca="1">IFERROR(__xludf.DUMMYFUNCTION("ROUND(I55*GOOGLEFINANCE(""KZTEUR""))"),69)</f>
        <v>69</v>
      </c>
      <c r="K55" s="26">
        <f t="shared" ca="1" si="1"/>
        <v>5750</v>
      </c>
      <c r="L55" s="26">
        <f t="shared" ca="1" si="2"/>
        <v>1092.5</v>
      </c>
      <c r="M55" s="26">
        <f t="shared" ref="M55:N55" si="57">M$3</f>
        <v>500</v>
      </c>
      <c r="N55" s="26">
        <f t="shared" si="57"/>
        <v>500</v>
      </c>
      <c r="O55" s="26">
        <f ca="1">IFERROR(__xludf.DUMMYFUNCTION("ROUND(GOOGLEFINANCE(""Currency:EURKZT"")*K55)"),2746025)</f>
        <v>2746025</v>
      </c>
      <c r="P55" s="26">
        <f ca="1">IFERROR(__xludf.DUMMYFUNCTION("ROUND(GOOGLEFINANCE(""Currency:EURKZT"")*M55)"),238785)</f>
        <v>238785</v>
      </c>
      <c r="Q55" s="26">
        <f ca="1">IFERROR(__xludf.DUMMYFUNCTION("ROUND(GOOGLEFINANCE(""Currency:EURKZT"")*N55)"),238785)</f>
        <v>238785</v>
      </c>
      <c r="R55" s="26">
        <f t="shared" ca="1" si="4"/>
        <v>329523</v>
      </c>
      <c r="S55" s="26">
        <f t="shared" ca="1" si="5"/>
        <v>3553118</v>
      </c>
      <c r="T55" s="26">
        <f ca="1">IFERROR(__xludf.DUMMYFUNCTION("ROUND(GOOGLEFINANCE(""Currency:EURKZT"")*L55+S55)"),4074863)</f>
        <v>4074863</v>
      </c>
      <c r="U55" s="26">
        <f ca="1">IFERROR(__xludf.DUMMYFUNCTION("D55*GOOGLEFINANCE(""RUBKZT"")*1000/F55"),4983329.6932872)</f>
        <v>4983329.6932872003</v>
      </c>
      <c r="V55" s="27">
        <f t="shared" ca="1" si="6"/>
        <v>0.22294410714843671</v>
      </c>
    </row>
    <row r="56" spans="1:22" ht="12.75" customHeight="1" x14ac:dyDescent="0.2">
      <c r="A56" s="6" t="s">
        <v>490</v>
      </c>
      <c r="B56" s="6" t="s">
        <v>488</v>
      </c>
      <c r="C56" s="7">
        <v>213756</v>
      </c>
      <c r="D56" s="8">
        <v>10582.8</v>
      </c>
      <c r="E56" s="9" t="s">
        <v>16</v>
      </c>
      <c r="F56" s="23">
        <v>12</v>
      </c>
      <c r="G56" s="25"/>
      <c r="H56" s="14">
        <f t="shared" si="0"/>
        <v>0.55000000000000004</v>
      </c>
      <c r="I56" s="25">
        <f ca="1">IFERROR(__xludf.DUMMYFUNCTION("ROUND(D56*GOOGLEFINANCE(""RUBKZT"")*H56)"),45421)</f>
        <v>45421</v>
      </c>
      <c r="J56" s="26">
        <f ca="1">IFERROR(__xludf.DUMMYFUNCTION("ROUND(I56*GOOGLEFINANCE(""KZTEUR""))"),95)</f>
        <v>95</v>
      </c>
      <c r="K56" s="26">
        <f t="shared" ca="1" si="1"/>
        <v>7917</v>
      </c>
      <c r="L56" s="26">
        <f t="shared" ca="1" si="2"/>
        <v>1504.23</v>
      </c>
      <c r="M56" s="26">
        <f t="shared" ref="M56:N56" si="58">M$3</f>
        <v>500</v>
      </c>
      <c r="N56" s="26">
        <f t="shared" si="58"/>
        <v>500</v>
      </c>
      <c r="O56" s="26">
        <f ca="1">IFERROR(__xludf.DUMMYFUNCTION("ROUND(GOOGLEFINANCE(""Currency:EURKZT"")*K56)"),3780919)</f>
        <v>3780919</v>
      </c>
      <c r="P56" s="26">
        <f ca="1">IFERROR(__xludf.DUMMYFUNCTION("ROUND(GOOGLEFINANCE(""Currency:EURKZT"")*M56)"),238785)</f>
        <v>238785</v>
      </c>
      <c r="Q56" s="26">
        <f ca="1">IFERROR(__xludf.DUMMYFUNCTION("ROUND(GOOGLEFINANCE(""Currency:EURKZT"")*N56)"),238785)</f>
        <v>238785</v>
      </c>
      <c r="R56" s="26">
        <f t="shared" ca="1" si="4"/>
        <v>453710</v>
      </c>
      <c r="S56" s="26">
        <f t="shared" ca="1" si="5"/>
        <v>4712199</v>
      </c>
      <c r="T56" s="26">
        <f ca="1">IFERROR(__xludf.DUMMYFUNCTION("ROUND(GOOGLEFINANCE(""Currency:EURKZT"")*L56+S56)"),5430574)</f>
        <v>5430574</v>
      </c>
      <c r="U56" s="26">
        <f ca="1">IFERROR(__xludf.DUMMYFUNCTION("D56*GOOGLEFINANCE(""RUBKZT"")*1000/F56"),6881926.8031788)</f>
        <v>6881926.8031788003</v>
      </c>
      <c r="V56" s="27">
        <f t="shared" ca="1" si="6"/>
        <v>0.26725587445798554</v>
      </c>
    </row>
    <row r="57" spans="1:22" ht="12.75" customHeight="1" x14ac:dyDescent="0.2">
      <c r="A57" s="6" t="s">
        <v>455</v>
      </c>
      <c r="B57" s="6" t="s">
        <v>488</v>
      </c>
      <c r="C57" s="7">
        <v>213757</v>
      </c>
      <c r="D57" s="8">
        <v>6714</v>
      </c>
      <c r="E57" s="9" t="s">
        <v>16</v>
      </c>
      <c r="F57" s="23">
        <v>12</v>
      </c>
      <c r="G57" s="25"/>
      <c r="H57" s="14">
        <f t="shared" si="0"/>
        <v>0.55000000000000004</v>
      </c>
      <c r="I57" s="25">
        <f ca="1">IFERROR(__xludf.DUMMYFUNCTION("ROUND(D57*GOOGLEFINANCE(""RUBKZT"")*H57)"),28816)</f>
        <v>28816</v>
      </c>
      <c r="J57" s="26">
        <f ca="1">IFERROR(__xludf.DUMMYFUNCTION("ROUND(I57*GOOGLEFINANCE(""KZTEUR""))"),60)</f>
        <v>60</v>
      </c>
      <c r="K57" s="26">
        <f t="shared" ca="1" si="1"/>
        <v>5000</v>
      </c>
      <c r="L57" s="26">
        <f t="shared" ca="1" si="2"/>
        <v>950</v>
      </c>
      <c r="M57" s="26">
        <f t="shared" ref="M57:N57" si="59">M$3</f>
        <v>500</v>
      </c>
      <c r="N57" s="26">
        <f t="shared" si="59"/>
        <v>500</v>
      </c>
      <c r="O57" s="26">
        <f ca="1">IFERROR(__xludf.DUMMYFUNCTION("ROUND(GOOGLEFINANCE(""Currency:EURKZT"")*K57)"),2387848)</f>
        <v>2387848</v>
      </c>
      <c r="P57" s="26">
        <f ca="1">IFERROR(__xludf.DUMMYFUNCTION("ROUND(GOOGLEFINANCE(""Currency:EURKZT"")*M57)"),238785)</f>
        <v>238785</v>
      </c>
      <c r="Q57" s="26">
        <f ca="1">IFERROR(__xludf.DUMMYFUNCTION("ROUND(GOOGLEFINANCE(""Currency:EURKZT"")*N57)"),238785)</f>
        <v>238785</v>
      </c>
      <c r="R57" s="26">
        <f t="shared" ca="1" si="4"/>
        <v>286542</v>
      </c>
      <c r="S57" s="26">
        <f t="shared" ca="1" si="5"/>
        <v>3151960</v>
      </c>
      <c r="T57" s="26">
        <f ca="1">IFERROR(__xludf.DUMMYFUNCTION("ROUND(GOOGLEFINANCE(""Currency:EURKZT"")*L57+S57)"),3605651)</f>
        <v>3605651</v>
      </c>
      <c r="U57" s="26">
        <f ca="1">IFERROR(__xludf.DUMMYFUNCTION("D57*GOOGLEFINANCE(""RUBKZT"")*1000/F57"),4366071.035694)</f>
        <v>4366071.0356940003</v>
      </c>
      <c r="V57" s="27">
        <f t="shared" ca="1" si="6"/>
        <v>0.2108967383959236</v>
      </c>
    </row>
    <row r="58" spans="1:22" ht="12.75" customHeight="1" x14ac:dyDescent="0.2">
      <c r="A58" s="6" t="s">
        <v>491</v>
      </c>
      <c r="B58" s="6" t="s">
        <v>488</v>
      </c>
      <c r="C58" s="7">
        <v>213758</v>
      </c>
      <c r="D58" s="8">
        <v>10497.6</v>
      </c>
      <c r="E58" s="9" t="s">
        <v>16</v>
      </c>
      <c r="F58" s="23">
        <v>12</v>
      </c>
      <c r="G58" s="25"/>
      <c r="H58" s="14">
        <f t="shared" si="0"/>
        <v>0.55000000000000004</v>
      </c>
      <c r="I58" s="25">
        <f ca="1">IFERROR(__xludf.DUMMYFUNCTION("ROUND(D58*GOOGLEFINANCE(""RUBKZT"")*H58)"),45055)</f>
        <v>45055</v>
      </c>
      <c r="J58" s="26">
        <f ca="1">IFERROR(__xludf.DUMMYFUNCTION("ROUND(I58*GOOGLEFINANCE(""KZTEUR""))"),94)</f>
        <v>94</v>
      </c>
      <c r="K58" s="26">
        <f t="shared" ca="1" si="1"/>
        <v>7833</v>
      </c>
      <c r="L58" s="26">
        <f t="shared" ca="1" si="2"/>
        <v>1488.27</v>
      </c>
      <c r="M58" s="26">
        <f t="shared" ref="M58:N58" si="60">M$3</f>
        <v>500</v>
      </c>
      <c r="N58" s="26">
        <f t="shared" si="60"/>
        <v>500</v>
      </c>
      <c r="O58" s="26">
        <f ca="1">IFERROR(__xludf.DUMMYFUNCTION("ROUND(GOOGLEFINANCE(""Currency:EURKZT"")*K58)"),3740803)</f>
        <v>3740803</v>
      </c>
      <c r="P58" s="26">
        <f ca="1">IFERROR(__xludf.DUMMYFUNCTION("ROUND(GOOGLEFINANCE(""Currency:EURKZT"")*M58)"),238785)</f>
        <v>238785</v>
      </c>
      <c r="Q58" s="26">
        <f ca="1">IFERROR(__xludf.DUMMYFUNCTION("ROUND(GOOGLEFINANCE(""Currency:EURKZT"")*N58)"),238785)</f>
        <v>238785</v>
      </c>
      <c r="R58" s="26">
        <f t="shared" ca="1" si="4"/>
        <v>448896</v>
      </c>
      <c r="S58" s="26">
        <f t="shared" ca="1" si="5"/>
        <v>4667269</v>
      </c>
      <c r="T58" s="26">
        <f ca="1">IFERROR(__xludf.DUMMYFUNCTION("ROUND(GOOGLEFINANCE(""Currency:EURKZT"")*L58+S58)"),5378022)</f>
        <v>5378022</v>
      </c>
      <c r="U58" s="26">
        <f ca="1">IFERROR(__xludf.DUMMYFUNCTION("D58*GOOGLEFINANCE(""RUBKZT"")*1000/F58"),6826521.7909296)</f>
        <v>6826521.7909295997</v>
      </c>
      <c r="V58" s="27">
        <f t="shared" ca="1" si="6"/>
        <v>0.26933690322010578</v>
      </c>
    </row>
    <row r="59" spans="1:22" ht="12.75" customHeight="1" x14ac:dyDescent="0.2">
      <c r="A59" s="6" t="s">
        <v>492</v>
      </c>
      <c r="B59" s="6" t="s">
        <v>488</v>
      </c>
      <c r="C59" s="7">
        <v>213759</v>
      </c>
      <c r="D59" s="8">
        <v>18430.8</v>
      </c>
      <c r="E59" s="9" t="s">
        <v>16</v>
      </c>
      <c r="F59" s="23">
        <v>12</v>
      </c>
      <c r="G59" s="25"/>
      <c r="H59" s="14">
        <f t="shared" si="0"/>
        <v>0.55000000000000004</v>
      </c>
      <c r="I59" s="25">
        <f ca="1">IFERROR(__xludf.DUMMYFUNCTION("ROUND(D59*GOOGLEFINANCE(""RUBKZT"")*H59)"),79104)</f>
        <v>79104</v>
      </c>
      <c r="J59" s="26">
        <f ca="1">IFERROR(__xludf.DUMMYFUNCTION("ROUND(I59*GOOGLEFINANCE(""KZTEUR""))"),166)</f>
        <v>166</v>
      </c>
      <c r="K59" s="26">
        <f t="shared" ca="1" si="1"/>
        <v>13833</v>
      </c>
      <c r="L59" s="26">
        <f t="shared" ca="1" si="2"/>
        <v>2628.27</v>
      </c>
      <c r="M59" s="26">
        <f t="shared" ref="M59:N59" si="61">M$3</f>
        <v>500</v>
      </c>
      <c r="N59" s="26">
        <f t="shared" si="61"/>
        <v>500</v>
      </c>
      <c r="O59" s="26">
        <f ca="1">IFERROR(__xludf.DUMMYFUNCTION("ROUND(GOOGLEFINANCE(""Currency:EURKZT"")*K59)"),6606220)</f>
        <v>6606220</v>
      </c>
      <c r="P59" s="26">
        <f ca="1">IFERROR(__xludf.DUMMYFUNCTION("ROUND(GOOGLEFINANCE(""Currency:EURKZT"")*M59)"),238785)</f>
        <v>238785</v>
      </c>
      <c r="Q59" s="26">
        <f ca="1">IFERROR(__xludf.DUMMYFUNCTION("ROUND(GOOGLEFINANCE(""Currency:EURKZT"")*N59)"),238785)</f>
        <v>238785</v>
      </c>
      <c r="R59" s="26">
        <f t="shared" ca="1" si="4"/>
        <v>792746</v>
      </c>
      <c r="S59" s="26">
        <f t="shared" ca="1" si="5"/>
        <v>7876536</v>
      </c>
      <c r="T59" s="26">
        <f ca="1">IFERROR(__xludf.DUMMYFUNCTION("ROUND(GOOGLEFINANCE(""Currency:EURKZT"")*L59+S59)"),9131718)</f>
        <v>9131718</v>
      </c>
      <c r="U59" s="26">
        <f ca="1">IFERROR(__xludf.DUMMYFUNCTION("D59*GOOGLEFINANCE(""RUBKZT"")*1000/F59"),11985430.7483868)</f>
        <v>11985430.7483868</v>
      </c>
      <c r="V59" s="27">
        <f t="shared" ca="1" si="6"/>
        <v>0.3125055710641525</v>
      </c>
    </row>
    <row r="60" spans="1:22" ht="12.75" customHeight="1" x14ac:dyDescent="0.2">
      <c r="A60" s="6" t="s">
        <v>467</v>
      </c>
      <c r="B60" s="6" t="s">
        <v>488</v>
      </c>
      <c r="C60" s="7">
        <v>213760</v>
      </c>
      <c r="D60" s="8">
        <v>8845.1999999999989</v>
      </c>
      <c r="E60" s="9" t="s">
        <v>16</v>
      </c>
      <c r="F60" s="23">
        <v>12</v>
      </c>
      <c r="G60" s="25"/>
      <c r="H60" s="14">
        <f t="shared" si="0"/>
        <v>0.55000000000000004</v>
      </c>
      <c r="I60" s="25">
        <f ca="1">IFERROR(__xludf.DUMMYFUNCTION("ROUND(D60*GOOGLEFINANCE(""RUBKZT"")*H60)"),37963)</f>
        <v>37963</v>
      </c>
      <c r="J60" s="26">
        <f ca="1">IFERROR(__xludf.DUMMYFUNCTION("ROUND(I60*GOOGLEFINANCE(""KZTEUR""))"),80)</f>
        <v>80</v>
      </c>
      <c r="K60" s="26">
        <f t="shared" ca="1" si="1"/>
        <v>6667</v>
      </c>
      <c r="L60" s="26">
        <f t="shared" ca="1" si="2"/>
        <v>1266.73</v>
      </c>
      <c r="M60" s="26">
        <f t="shared" ref="M60:N60" si="62">M$3</f>
        <v>500</v>
      </c>
      <c r="N60" s="26">
        <f t="shared" si="62"/>
        <v>500</v>
      </c>
      <c r="O60" s="26">
        <f ca="1">IFERROR(__xludf.DUMMYFUNCTION("ROUND(GOOGLEFINANCE(""Currency:EURKZT"")*K60)"),3183957)</f>
        <v>3183957</v>
      </c>
      <c r="P60" s="26">
        <f ca="1">IFERROR(__xludf.DUMMYFUNCTION("ROUND(GOOGLEFINANCE(""Currency:EURKZT"")*M60)"),238785)</f>
        <v>238785</v>
      </c>
      <c r="Q60" s="26">
        <f ca="1">IFERROR(__xludf.DUMMYFUNCTION("ROUND(GOOGLEFINANCE(""Currency:EURKZT"")*N60)"),238785)</f>
        <v>238785</v>
      </c>
      <c r="R60" s="26">
        <f t="shared" ca="1" si="4"/>
        <v>382075</v>
      </c>
      <c r="S60" s="26">
        <f t="shared" ca="1" si="5"/>
        <v>4043602</v>
      </c>
      <c r="T60" s="26">
        <f ca="1">IFERROR(__xludf.DUMMYFUNCTION("ROUND(GOOGLEFINANCE(""Currency:EURKZT"")*L60+S60)"),4648554)</f>
        <v>4648554</v>
      </c>
      <c r="U60" s="26">
        <f ca="1">IFERROR(__xludf.DUMMYFUNCTION("D60*GOOGLEFINANCE(""RUBKZT"")*1000/F60"),5751976.69420919)</f>
        <v>5751976.6942091901</v>
      </c>
      <c r="V60" s="27">
        <f t="shared" ca="1" si="6"/>
        <v>0.23736901716301242</v>
      </c>
    </row>
    <row r="61" spans="1:22" ht="12.75" customHeight="1" x14ac:dyDescent="0.2">
      <c r="A61" s="6" t="s">
        <v>468</v>
      </c>
      <c r="B61" s="6" t="s">
        <v>488</v>
      </c>
      <c r="C61" s="7">
        <v>213761</v>
      </c>
      <c r="D61" s="8">
        <v>8719.1999999999989</v>
      </c>
      <c r="E61" s="9" t="s">
        <v>16</v>
      </c>
      <c r="F61" s="23">
        <v>12</v>
      </c>
      <c r="G61" s="25"/>
      <c r="H61" s="14">
        <f t="shared" si="0"/>
        <v>0.55000000000000004</v>
      </c>
      <c r="I61" s="25">
        <f ca="1">IFERROR(__xludf.DUMMYFUNCTION("ROUND(D61*GOOGLEFINANCE(""RUBKZT"")*H61)"),37422)</f>
        <v>37422</v>
      </c>
      <c r="J61" s="26">
        <f ca="1">IFERROR(__xludf.DUMMYFUNCTION("ROUND(I61*GOOGLEFINANCE(""KZTEUR""))"),78)</f>
        <v>78</v>
      </c>
      <c r="K61" s="26">
        <f t="shared" ca="1" si="1"/>
        <v>6500</v>
      </c>
      <c r="L61" s="26">
        <f t="shared" ca="1" si="2"/>
        <v>1235</v>
      </c>
      <c r="M61" s="26">
        <f t="shared" ref="M61:N61" si="63">M$3</f>
        <v>500</v>
      </c>
      <c r="N61" s="26">
        <f t="shared" si="63"/>
        <v>500</v>
      </c>
      <c r="O61" s="26">
        <f ca="1">IFERROR(__xludf.DUMMYFUNCTION("ROUND(GOOGLEFINANCE(""Currency:EURKZT"")*K61)"),3104202)</f>
        <v>3104202</v>
      </c>
      <c r="P61" s="26">
        <f ca="1">IFERROR(__xludf.DUMMYFUNCTION("ROUND(GOOGLEFINANCE(""Currency:EURKZT"")*M61)"),238785)</f>
        <v>238785</v>
      </c>
      <c r="Q61" s="26">
        <f ca="1">IFERROR(__xludf.DUMMYFUNCTION("ROUND(GOOGLEFINANCE(""Currency:EURKZT"")*N61)"),238785)</f>
        <v>238785</v>
      </c>
      <c r="R61" s="26">
        <f t="shared" ca="1" si="4"/>
        <v>372504</v>
      </c>
      <c r="S61" s="26">
        <f t="shared" ca="1" si="5"/>
        <v>3954276</v>
      </c>
      <c r="T61" s="26">
        <f ca="1">IFERROR(__xludf.DUMMYFUNCTION("ROUND(GOOGLEFINANCE(""Currency:EURKZT"")*L61+S61)"),4544074)</f>
        <v>4544074</v>
      </c>
      <c r="U61" s="26">
        <f ca="1">IFERROR(__xludf.DUMMYFUNCTION("D61*GOOGLEFINANCE(""RUBKZT"")*1000/F61"),5670039.70426319)</f>
        <v>5670039.7042631898</v>
      </c>
      <c r="V61" s="27">
        <f t="shared" ca="1" si="6"/>
        <v>0.24778771302210084</v>
      </c>
    </row>
    <row r="62" spans="1:22" ht="12.75" customHeight="1" x14ac:dyDescent="0.2">
      <c r="A62" s="6" t="s">
        <v>466</v>
      </c>
      <c r="B62" s="6" t="s">
        <v>488</v>
      </c>
      <c r="C62" s="7">
        <v>213762</v>
      </c>
      <c r="D62" s="8">
        <v>6974.4</v>
      </c>
      <c r="E62" s="9" t="s">
        <v>16</v>
      </c>
      <c r="F62" s="23">
        <v>12</v>
      </c>
      <c r="G62" s="25"/>
      <c r="H62" s="14">
        <f t="shared" si="0"/>
        <v>0.55000000000000004</v>
      </c>
      <c r="I62" s="25">
        <f ca="1">IFERROR(__xludf.DUMMYFUNCTION("ROUND(D62*GOOGLEFINANCE(""RUBKZT"")*H62)"),29934)</f>
        <v>29934</v>
      </c>
      <c r="J62" s="26">
        <f ca="1">IFERROR(__xludf.DUMMYFUNCTION("ROUND(I62*GOOGLEFINANCE(""KZTEUR""))"),63)</f>
        <v>63</v>
      </c>
      <c r="K62" s="26">
        <f t="shared" ca="1" si="1"/>
        <v>5250</v>
      </c>
      <c r="L62" s="26">
        <f t="shared" ca="1" si="2"/>
        <v>997.5</v>
      </c>
      <c r="M62" s="26">
        <f t="shared" ref="M62:N62" si="64">M$3</f>
        <v>500</v>
      </c>
      <c r="N62" s="26">
        <f t="shared" si="64"/>
        <v>500</v>
      </c>
      <c r="O62" s="26">
        <f ca="1">IFERROR(__xludf.DUMMYFUNCTION("ROUND(GOOGLEFINANCE(""Currency:EURKZT"")*K62)"),2507240)</f>
        <v>2507240</v>
      </c>
      <c r="P62" s="26">
        <f ca="1">IFERROR(__xludf.DUMMYFUNCTION("ROUND(GOOGLEFINANCE(""Currency:EURKZT"")*M62)"),238785)</f>
        <v>238785</v>
      </c>
      <c r="Q62" s="26">
        <f ca="1">IFERROR(__xludf.DUMMYFUNCTION("ROUND(GOOGLEFINANCE(""Currency:EURKZT"")*N62)"),238785)</f>
        <v>238785</v>
      </c>
      <c r="R62" s="26">
        <f t="shared" ca="1" si="4"/>
        <v>300869</v>
      </c>
      <c r="S62" s="26">
        <f t="shared" ca="1" si="5"/>
        <v>3285679</v>
      </c>
      <c r="T62" s="26">
        <f ca="1">IFERROR(__xludf.DUMMYFUNCTION("ROUND(GOOGLEFINANCE(""Currency:EURKZT"")*L62+S62)"),3762055)</f>
        <v>3762055</v>
      </c>
      <c r="U62" s="26">
        <f ca="1">IFERROR(__xludf.DUMMYFUNCTION("D62*GOOGLEFINANCE(""RUBKZT"")*1000/F62"),4535407.4815824)</f>
        <v>4535407.4815824004</v>
      </c>
      <c r="V62" s="27">
        <f t="shared" ca="1" si="6"/>
        <v>0.20556650064456802</v>
      </c>
    </row>
    <row r="63" spans="1:22" ht="12.75" customHeight="1" x14ac:dyDescent="0.2">
      <c r="A63" s="6" t="s">
        <v>462</v>
      </c>
      <c r="B63" s="6" t="s">
        <v>488</v>
      </c>
      <c r="C63" s="7">
        <v>213763</v>
      </c>
      <c r="D63" s="8">
        <v>6103.2</v>
      </c>
      <c r="E63" s="9" t="s">
        <v>16</v>
      </c>
      <c r="F63" s="23">
        <v>12</v>
      </c>
      <c r="G63" s="25"/>
      <c r="H63" s="14">
        <f t="shared" si="0"/>
        <v>0.55000000000000004</v>
      </c>
      <c r="I63" s="25">
        <f ca="1">IFERROR(__xludf.DUMMYFUNCTION("ROUND(D63*GOOGLEFINANCE(""RUBKZT"")*H63)"),26195)</f>
        <v>26195</v>
      </c>
      <c r="J63" s="26">
        <f ca="1">IFERROR(__xludf.DUMMYFUNCTION("ROUND(I63*GOOGLEFINANCE(""KZTEUR""))"),55)</f>
        <v>55</v>
      </c>
      <c r="K63" s="26">
        <f t="shared" ca="1" si="1"/>
        <v>4583</v>
      </c>
      <c r="L63" s="26">
        <f t="shared" ca="1" si="2"/>
        <v>870.77</v>
      </c>
      <c r="M63" s="26">
        <f t="shared" ref="M63:N63" si="65">M$3</f>
        <v>500</v>
      </c>
      <c r="N63" s="26">
        <f t="shared" si="65"/>
        <v>500</v>
      </c>
      <c r="O63" s="26">
        <f ca="1">IFERROR(__xludf.DUMMYFUNCTION("ROUND(GOOGLEFINANCE(""Currency:EURKZT"")*K63)"),2188702)</f>
        <v>2188702</v>
      </c>
      <c r="P63" s="26">
        <f ca="1">IFERROR(__xludf.DUMMYFUNCTION("ROUND(GOOGLEFINANCE(""Currency:EURKZT"")*M63)"),238785)</f>
        <v>238785</v>
      </c>
      <c r="Q63" s="26">
        <f ca="1">IFERROR(__xludf.DUMMYFUNCTION("ROUND(GOOGLEFINANCE(""Currency:EURKZT"")*N63)"),238785)</f>
        <v>238785</v>
      </c>
      <c r="R63" s="26">
        <f t="shared" ca="1" si="4"/>
        <v>262644</v>
      </c>
      <c r="S63" s="26">
        <f t="shared" ca="1" si="5"/>
        <v>2928916</v>
      </c>
      <c r="T63" s="26">
        <f ca="1">IFERROR(__xludf.DUMMYFUNCTION("ROUND(GOOGLEFINANCE(""Currency:EURKZT"")*L63+S63)"),3344769)</f>
        <v>3344769</v>
      </c>
      <c r="U63" s="26">
        <f ca="1">IFERROR(__xludf.DUMMYFUNCTION("D63*GOOGLEFINANCE(""RUBKZT"")*1000/F63"),3968871.7225272)</f>
        <v>3968871.7225271999</v>
      </c>
      <c r="V63" s="27">
        <f t="shared" ca="1" si="6"/>
        <v>0.18659068011190008</v>
      </c>
    </row>
    <row r="64" spans="1:22" ht="12.75" customHeight="1" x14ac:dyDescent="0.2">
      <c r="A64" s="6" t="s">
        <v>463</v>
      </c>
      <c r="B64" s="6" t="s">
        <v>488</v>
      </c>
      <c r="C64" s="7">
        <v>213764</v>
      </c>
      <c r="D64" s="8">
        <v>9679.1999999999989</v>
      </c>
      <c r="E64" s="9" t="s">
        <v>16</v>
      </c>
      <c r="F64" s="23">
        <v>12</v>
      </c>
      <c r="G64" s="25"/>
      <c r="H64" s="14">
        <f t="shared" si="0"/>
        <v>0.55000000000000004</v>
      </c>
      <c r="I64" s="25">
        <f ca="1">IFERROR(__xludf.DUMMYFUNCTION("ROUND(D64*GOOGLEFINANCE(""RUBKZT"")*H64)"),41543)</f>
        <v>41543</v>
      </c>
      <c r="J64" s="26">
        <f ca="1">IFERROR(__xludf.DUMMYFUNCTION("ROUND(I64*GOOGLEFINANCE(""KZTEUR""))"),87)</f>
        <v>87</v>
      </c>
      <c r="K64" s="26">
        <f t="shared" ca="1" si="1"/>
        <v>7250</v>
      </c>
      <c r="L64" s="26">
        <f t="shared" ca="1" si="2"/>
        <v>1377.5</v>
      </c>
      <c r="M64" s="26">
        <f t="shared" ref="M64:N64" si="66">M$3</f>
        <v>500</v>
      </c>
      <c r="N64" s="26">
        <f t="shared" si="66"/>
        <v>500</v>
      </c>
      <c r="O64" s="26">
        <f ca="1">IFERROR(__xludf.DUMMYFUNCTION("ROUND(GOOGLEFINANCE(""Currency:EURKZT"")*K64)"),3462380)</f>
        <v>3462380</v>
      </c>
      <c r="P64" s="26">
        <f ca="1">IFERROR(__xludf.DUMMYFUNCTION("ROUND(GOOGLEFINANCE(""Currency:EURKZT"")*M64)"),238785)</f>
        <v>238785</v>
      </c>
      <c r="Q64" s="26">
        <f ca="1">IFERROR(__xludf.DUMMYFUNCTION("ROUND(GOOGLEFINANCE(""Currency:EURKZT"")*N64)"),238785)</f>
        <v>238785</v>
      </c>
      <c r="R64" s="26">
        <f t="shared" ca="1" si="4"/>
        <v>415486</v>
      </c>
      <c r="S64" s="26">
        <f t="shared" ca="1" si="5"/>
        <v>4355436</v>
      </c>
      <c r="T64" s="26">
        <f ca="1">IFERROR(__xludf.DUMMYFUNCTION("ROUND(GOOGLEFINANCE(""Currency:EURKZT"")*L64+S64)"),5013288)</f>
        <v>5013288</v>
      </c>
      <c r="U64" s="26">
        <f ca="1">IFERROR(__xludf.DUMMYFUNCTION("D64*GOOGLEFINANCE(""RUBKZT"")*1000/F64"),6294321.53242319)</f>
        <v>6294321.5324231898</v>
      </c>
      <c r="V64" s="27">
        <f t="shared" ca="1" si="6"/>
        <v>0.25552761629158144</v>
      </c>
    </row>
    <row r="65" spans="1:22" ht="12.75" customHeight="1" x14ac:dyDescent="0.2">
      <c r="A65" s="6" t="s">
        <v>475</v>
      </c>
      <c r="B65" s="6" t="s">
        <v>488</v>
      </c>
      <c r="C65" s="7">
        <v>213765</v>
      </c>
      <c r="D65" s="8">
        <v>8385.6</v>
      </c>
      <c r="E65" s="9" t="s">
        <v>16</v>
      </c>
      <c r="F65" s="23">
        <v>12</v>
      </c>
      <c r="G65" s="25"/>
      <c r="H65" s="14">
        <f t="shared" si="0"/>
        <v>0.55000000000000004</v>
      </c>
      <c r="I65" s="25">
        <f ca="1">IFERROR(__xludf.DUMMYFUNCTION("ROUND(D65*GOOGLEFINANCE(""RUBKZT"")*H65)"),35990)</f>
        <v>35990</v>
      </c>
      <c r="J65" s="26">
        <f ca="1">IFERROR(__xludf.DUMMYFUNCTION("ROUND(I65*GOOGLEFINANCE(""KZTEUR""))"),75)</f>
        <v>75</v>
      </c>
      <c r="K65" s="26">
        <f t="shared" ca="1" si="1"/>
        <v>6250</v>
      </c>
      <c r="L65" s="26">
        <f t="shared" ca="1" si="2"/>
        <v>1187.5</v>
      </c>
      <c r="M65" s="26">
        <f t="shared" ref="M65:N65" si="67">M$3</f>
        <v>500</v>
      </c>
      <c r="N65" s="26">
        <f t="shared" si="67"/>
        <v>500</v>
      </c>
      <c r="O65" s="26">
        <f ca="1">IFERROR(__xludf.DUMMYFUNCTION("ROUND(GOOGLEFINANCE(""Currency:EURKZT"")*K65)"),2984810)</f>
        <v>2984810</v>
      </c>
      <c r="P65" s="26">
        <f ca="1">IFERROR(__xludf.DUMMYFUNCTION("ROUND(GOOGLEFINANCE(""Currency:EURKZT"")*M65)"),238785)</f>
        <v>238785</v>
      </c>
      <c r="Q65" s="26">
        <f ca="1">IFERROR(__xludf.DUMMYFUNCTION("ROUND(GOOGLEFINANCE(""Currency:EURKZT"")*N65)"),238785)</f>
        <v>238785</v>
      </c>
      <c r="R65" s="26">
        <f t="shared" ca="1" si="4"/>
        <v>358177</v>
      </c>
      <c r="S65" s="26">
        <f t="shared" ca="1" si="5"/>
        <v>3820557</v>
      </c>
      <c r="T65" s="26">
        <f ca="1">IFERROR(__xludf.DUMMYFUNCTION("ROUND(GOOGLEFINANCE(""Currency:EURKZT"")*L65+S65)"),4387671)</f>
        <v>4387671</v>
      </c>
      <c r="U65" s="26">
        <f ca="1">IFERROR(__xludf.DUMMYFUNCTION("D65*GOOGLEFINANCE(""RUBKZT"")*1000/F65"),5453101.7689776)</f>
        <v>5453101.7689776001</v>
      </c>
      <c r="V65" s="27">
        <f t="shared" ca="1" si="6"/>
        <v>0.24282375979821644</v>
      </c>
    </row>
    <row r="66" spans="1:22" ht="12.75" customHeight="1" x14ac:dyDescent="0.2">
      <c r="A66" s="6" t="s">
        <v>464</v>
      </c>
      <c r="B66" s="6" t="s">
        <v>488</v>
      </c>
      <c r="C66" s="7">
        <v>213766</v>
      </c>
      <c r="D66" s="8">
        <v>6723.5999999999995</v>
      </c>
      <c r="E66" s="9" t="s">
        <v>16</v>
      </c>
      <c r="F66" s="23">
        <v>12</v>
      </c>
      <c r="G66" s="25"/>
      <c r="H66" s="14">
        <f t="shared" si="0"/>
        <v>0.55000000000000004</v>
      </c>
      <c r="I66" s="25">
        <f ca="1">IFERROR(__xludf.DUMMYFUNCTION("ROUND(D66*GOOGLEFINANCE(""RUBKZT"")*H66)"),28857)</f>
        <v>28857</v>
      </c>
      <c r="J66" s="26">
        <f ca="1">IFERROR(__xludf.DUMMYFUNCTION("ROUND(I66*GOOGLEFINANCE(""KZTEUR""))"),60)</f>
        <v>60</v>
      </c>
      <c r="K66" s="26">
        <f t="shared" ca="1" si="1"/>
        <v>5000</v>
      </c>
      <c r="L66" s="26">
        <f t="shared" ca="1" si="2"/>
        <v>950</v>
      </c>
      <c r="M66" s="26">
        <f t="shared" ref="M66:N66" si="68">M$3</f>
        <v>500</v>
      </c>
      <c r="N66" s="26">
        <f t="shared" si="68"/>
        <v>500</v>
      </c>
      <c r="O66" s="26">
        <f ca="1">IFERROR(__xludf.DUMMYFUNCTION("ROUND(GOOGLEFINANCE(""Currency:EURKZT"")*K66)"),2387848)</f>
        <v>2387848</v>
      </c>
      <c r="P66" s="26">
        <f ca="1">IFERROR(__xludf.DUMMYFUNCTION("ROUND(GOOGLEFINANCE(""Currency:EURKZT"")*M66)"),238785)</f>
        <v>238785</v>
      </c>
      <c r="Q66" s="26">
        <f ca="1">IFERROR(__xludf.DUMMYFUNCTION("ROUND(GOOGLEFINANCE(""Currency:EURKZT"")*N66)"),238785)</f>
        <v>238785</v>
      </c>
      <c r="R66" s="26">
        <f t="shared" ca="1" si="4"/>
        <v>286542</v>
      </c>
      <c r="S66" s="26">
        <f t="shared" ca="1" si="5"/>
        <v>3151960</v>
      </c>
      <c r="T66" s="26">
        <f ca="1">IFERROR(__xludf.DUMMYFUNCTION("ROUND(GOOGLEFINANCE(""Currency:EURKZT"")*L66+S66)"),3605651)</f>
        <v>3605651</v>
      </c>
      <c r="U66" s="26">
        <f ca="1">IFERROR(__xludf.DUMMYFUNCTION("D66*GOOGLEFINANCE(""RUBKZT"")*1000/F66"),4372313.8539756)</f>
        <v>4372313.8539755996</v>
      </c>
      <c r="V66" s="27">
        <f t="shared" ca="1" si="6"/>
        <v>0.21262813677075226</v>
      </c>
    </row>
    <row r="67" spans="1:22" ht="12.75" customHeight="1" x14ac:dyDescent="0.2">
      <c r="A67" s="6" t="s">
        <v>470</v>
      </c>
      <c r="B67" s="6" t="s">
        <v>488</v>
      </c>
      <c r="C67" s="7">
        <v>213767</v>
      </c>
      <c r="D67" s="8">
        <v>9681.6</v>
      </c>
      <c r="E67" s="9" t="s">
        <v>16</v>
      </c>
      <c r="F67" s="23">
        <v>12</v>
      </c>
      <c r="G67" s="25"/>
      <c r="H67" s="14">
        <f t="shared" si="0"/>
        <v>0.55000000000000004</v>
      </c>
      <c r="I67" s="25">
        <f ca="1">IFERROR(__xludf.DUMMYFUNCTION("ROUND(D67*GOOGLEFINANCE(""RUBKZT"")*H67)"),41553)</f>
        <v>41553</v>
      </c>
      <c r="J67" s="26">
        <f ca="1">IFERROR(__xludf.DUMMYFUNCTION("ROUND(I67*GOOGLEFINANCE(""KZTEUR""))"),87)</f>
        <v>87</v>
      </c>
      <c r="K67" s="26">
        <f t="shared" ca="1" si="1"/>
        <v>7250</v>
      </c>
      <c r="L67" s="26">
        <f t="shared" ca="1" si="2"/>
        <v>1377.5</v>
      </c>
      <c r="M67" s="26">
        <f t="shared" ref="M67:N67" si="69">M$3</f>
        <v>500</v>
      </c>
      <c r="N67" s="26">
        <f t="shared" si="69"/>
        <v>500</v>
      </c>
      <c r="O67" s="26">
        <f ca="1">IFERROR(__xludf.DUMMYFUNCTION("ROUND(GOOGLEFINANCE(""Currency:EURKZT"")*K67)"),3462380)</f>
        <v>3462380</v>
      </c>
      <c r="P67" s="26">
        <f ca="1">IFERROR(__xludf.DUMMYFUNCTION("ROUND(GOOGLEFINANCE(""Currency:EURKZT"")*M67)"),238785)</f>
        <v>238785</v>
      </c>
      <c r="Q67" s="26">
        <f ca="1">IFERROR(__xludf.DUMMYFUNCTION("ROUND(GOOGLEFINANCE(""Currency:EURKZT"")*N67)"),238785)</f>
        <v>238785</v>
      </c>
      <c r="R67" s="26">
        <f t="shared" ca="1" si="4"/>
        <v>415486</v>
      </c>
      <c r="S67" s="26">
        <f t="shared" ca="1" si="5"/>
        <v>4355436</v>
      </c>
      <c r="T67" s="26">
        <f ca="1">IFERROR(__xludf.DUMMYFUNCTION("ROUND(GOOGLEFINANCE(""Currency:EURKZT"")*L67+S67)"),5013288)</f>
        <v>5013288</v>
      </c>
      <c r="U67" s="26">
        <f ca="1">IFERROR(__xludf.DUMMYFUNCTION("D67*GOOGLEFINANCE(""RUBKZT"")*1000/F67"),6295882.2369936)</f>
        <v>6295882.2369935997</v>
      </c>
      <c r="V67" s="27">
        <f t="shared" ca="1" si="6"/>
        <v>0.25583892985872736</v>
      </c>
    </row>
    <row r="68" spans="1:22" ht="12.75" customHeight="1" x14ac:dyDescent="0.2">
      <c r="A68" s="6" t="s">
        <v>469</v>
      </c>
      <c r="B68" s="6" t="s">
        <v>488</v>
      </c>
      <c r="C68" s="7">
        <v>213768</v>
      </c>
      <c r="D68" s="8">
        <v>8707.1999999999989</v>
      </c>
      <c r="E68" s="9" t="s">
        <v>16</v>
      </c>
      <c r="F68" s="23">
        <v>12</v>
      </c>
      <c r="G68" s="25"/>
      <c r="H68" s="14">
        <f t="shared" si="0"/>
        <v>0.55000000000000004</v>
      </c>
      <c r="I68" s="25">
        <f ca="1">IFERROR(__xludf.DUMMYFUNCTION("ROUND(D68*GOOGLEFINANCE(""RUBKZT"")*H68)"),37371)</f>
        <v>37371</v>
      </c>
      <c r="J68" s="26">
        <f ca="1">IFERROR(__xludf.DUMMYFUNCTION("ROUND(I68*GOOGLEFINANCE(""KZTEUR""))"),78)</f>
        <v>78</v>
      </c>
      <c r="K68" s="26">
        <f t="shared" ca="1" si="1"/>
        <v>6500</v>
      </c>
      <c r="L68" s="26">
        <f t="shared" ca="1" si="2"/>
        <v>1235</v>
      </c>
      <c r="M68" s="26">
        <f t="shared" ref="M68:N68" si="70">M$3</f>
        <v>500</v>
      </c>
      <c r="N68" s="26">
        <f t="shared" si="70"/>
        <v>500</v>
      </c>
      <c r="O68" s="26">
        <f ca="1">IFERROR(__xludf.DUMMYFUNCTION("ROUND(GOOGLEFINANCE(""Currency:EURKZT"")*K68)"),3104202)</f>
        <v>3104202</v>
      </c>
      <c r="P68" s="26">
        <f ca="1">IFERROR(__xludf.DUMMYFUNCTION("ROUND(GOOGLEFINANCE(""Currency:EURKZT"")*M68)"),238785)</f>
        <v>238785</v>
      </c>
      <c r="Q68" s="26">
        <f ca="1">IFERROR(__xludf.DUMMYFUNCTION("ROUND(GOOGLEFINANCE(""Currency:EURKZT"")*N68)"),238785)</f>
        <v>238785</v>
      </c>
      <c r="R68" s="26">
        <f t="shared" ca="1" si="4"/>
        <v>372504</v>
      </c>
      <c r="S68" s="26">
        <f t="shared" ca="1" si="5"/>
        <v>3954276</v>
      </c>
      <c r="T68" s="26">
        <f ca="1">IFERROR(__xludf.DUMMYFUNCTION("ROUND(GOOGLEFINANCE(""Currency:EURKZT"")*L68+S68)"),4544074)</f>
        <v>4544074</v>
      </c>
      <c r="U68" s="26">
        <f ca="1">IFERROR(__xludf.DUMMYFUNCTION("D68*GOOGLEFINANCE(""RUBKZT"")*1000/F68"),5662236.18141119)</f>
        <v>5662236.18141119</v>
      </c>
      <c r="V68" s="27">
        <f t="shared" ca="1" si="6"/>
        <v>0.24607041641733607</v>
      </c>
    </row>
    <row r="69" spans="1:22" ht="12.75" customHeight="1" x14ac:dyDescent="0.2">
      <c r="A69" s="6" t="s">
        <v>476</v>
      </c>
      <c r="B69" s="6" t="s">
        <v>488</v>
      </c>
      <c r="C69" s="7">
        <v>213769</v>
      </c>
      <c r="D69" s="8">
        <v>10738.8</v>
      </c>
      <c r="E69" s="9" t="s">
        <v>16</v>
      </c>
      <c r="F69" s="23">
        <v>12</v>
      </c>
      <c r="G69" s="25"/>
      <c r="H69" s="14">
        <f t="shared" si="0"/>
        <v>0.55000000000000004</v>
      </c>
      <c r="I69" s="25">
        <f ca="1">IFERROR(__xludf.DUMMYFUNCTION("ROUND(D69*GOOGLEFINANCE(""RUBKZT"")*H69)"),46090)</f>
        <v>46090</v>
      </c>
      <c r="J69" s="26">
        <f ca="1">IFERROR(__xludf.DUMMYFUNCTION("ROUND(I69*GOOGLEFINANCE(""KZTEUR""))"),97)</f>
        <v>97</v>
      </c>
      <c r="K69" s="26">
        <f t="shared" ca="1" si="1"/>
        <v>8083</v>
      </c>
      <c r="L69" s="26">
        <f t="shared" ca="1" si="2"/>
        <v>1535.77</v>
      </c>
      <c r="M69" s="26">
        <f t="shared" ref="M69:N69" si="71">M$3</f>
        <v>500</v>
      </c>
      <c r="N69" s="26">
        <f t="shared" si="71"/>
        <v>500</v>
      </c>
      <c r="O69" s="26">
        <f ca="1">IFERROR(__xludf.DUMMYFUNCTION("ROUND(GOOGLEFINANCE(""Currency:EURKZT"")*K69)"),3860195)</f>
        <v>3860195</v>
      </c>
      <c r="P69" s="26">
        <f ca="1">IFERROR(__xludf.DUMMYFUNCTION("ROUND(GOOGLEFINANCE(""Currency:EURKZT"")*M69)"),238785)</f>
        <v>238785</v>
      </c>
      <c r="Q69" s="26">
        <f ca="1">IFERROR(__xludf.DUMMYFUNCTION("ROUND(GOOGLEFINANCE(""Currency:EURKZT"")*N69)"),238785)</f>
        <v>238785</v>
      </c>
      <c r="R69" s="26">
        <f t="shared" ca="1" si="4"/>
        <v>463223</v>
      </c>
      <c r="S69" s="26">
        <f t="shared" ca="1" si="5"/>
        <v>4800988</v>
      </c>
      <c r="T69" s="26">
        <f ca="1">IFERROR(__xludf.DUMMYFUNCTION("ROUND(GOOGLEFINANCE(""Currency:EURKZT"")*L69+S69)"),5534425)</f>
        <v>5534425</v>
      </c>
      <c r="U69" s="26">
        <f ca="1">IFERROR(__xludf.DUMMYFUNCTION("D69*GOOGLEFINANCE(""RUBKZT"")*1000/F69"),6983372.6002548)</f>
        <v>6983372.6002548002</v>
      </c>
      <c r="V69" s="27">
        <f t="shared" ca="1" si="6"/>
        <v>0.26180634849235468</v>
      </c>
    </row>
    <row r="70" spans="1:22" ht="12.75" customHeight="1" x14ac:dyDescent="0.2">
      <c r="A70" s="6" t="s">
        <v>477</v>
      </c>
      <c r="B70" s="6" t="s">
        <v>488</v>
      </c>
      <c r="C70" s="7">
        <v>213770</v>
      </c>
      <c r="D70" s="8">
        <v>6890.4</v>
      </c>
      <c r="E70" s="9" t="s">
        <v>16</v>
      </c>
      <c r="F70" s="23">
        <v>12</v>
      </c>
      <c r="G70" s="25"/>
      <c r="H70" s="14">
        <f t="shared" si="0"/>
        <v>0.55000000000000004</v>
      </c>
      <c r="I70" s="25">
        <f ca="1">IFERROR(__xludf.DUMMYFUNCTION("ROUND(D70*GOOGLEFINANCE(""RUBKZT"")*H70)"),29573)</f>
        <v>29573</v>
      </c>
      <c r="J70" s="26">
        <f ca="1">IFERROR(__xludf.DUMMYFUNCTION("ROUND(I70*GOOGLEFINANCE(""KZTEUR""))"),62)</f>
        <v>62</v>
      </c>
      <c r="K70" s="26">
        <f t="shared" ca="1" si="1"/>
        <v>5167</v>
      </c>
      <c r="L70" s="26">
        <f t="shared" ca="1" si="2"/>
        <v>981.73</v>
      </c>
      <c r="M70" s="26">
        <f t="shared" ref="M70:N70" si="72">M$3</f>
        <v>500</v>
      </c>
      <c r="N70" s="26">
        <f t="shared" si="72"/>
        <v>500</v>
      </c>
      <c r="O70" s="26">
        <f ca="1">IFERROR(__xludf.DUMMYFUNCTION("ROUND(GOOGLEFINANCE(""Currency:EURKZT"")*K70)"),2467602)</f>
        <v>2467602</v>
      </c>
      <c r="P70" s="26">
        <f ca="1">IFERROR(__xludf.DUMMYFUNCTION("ROUND(GOOGLEFINANCE(""Currency:EURKZT"")*M70)"),238785)</f>
        <v>238785</v>
      </c>
      <c r="Q70" s="26">
        <f ca="1">IFERROR(__xludf.DUMMYFUNCTION("ROUND(GOOGLEFINANCE(""Currency:EURKZT"")*N70)"),238785)</f>
        <v>238785</v>
      </c>
      <c r="R70" s="26">
        <f t="shared" ca="1" si="4"/>
        <v>296112</v>
      </c>
      <c r="S70" s="26">
        <f t="shared" ca="1" si="5"/>
        <v>3241284</v>
      </c>
      <c r="T70" s="26">
        <f ca="1">IFERROR(__xludf.DUMMYFUNCTION("ROUND(GOOGLEFINANCE(""Currency:EURKZT"")*L70+S70)"),3710128)</f>
        <v>3710128</v>
      </c>
      <c r="U70" s="26">
        <f ca="1">IFERROR(__xludf.DUMMYFUNCTION("D70*GOOGLEFINANCE(""RUBKZT"")*1000/F70"),4480782.8216184)</f>
        <v>4480782.8216183996</v>
      </c>
      <c r="V70" s="27">
        <f t="shared" ca="1" si="6"/>
        <v>0.20771650509588876</v>
      </c>
    </row>
    <row r="71" spans="1:22" ht="12.75" customHeight="1" x14ac:dyDescent="0.2">
      <c r="A71" s="6" t="s">
        <v>494</v>
      </c>
      <c r="B71" s="6" t="s">
        <v>488</v>
      </c>
      <c r="C71" s="7">
        <v>213777</v>
      </c>
      <c r="D71" s="8">
        <v>9160.7999999999993</v>
      </c>
      <c r="E71" s="9" t="s">
        <v>16</v>
      </c>
      <c r="F71" s="23">
        <v>12</v>
      </c>
      <c r="G71" s="25"/>
      <c r="H71" s="14">
        <f t="shared" si="0"/>
        <v>0.55000000000000004</v>
      </c>
      <c r="I71" s="25">
        <f ca="1">IFERROR(__xludf.DUMMYFUNCTION("ROUND(D71*GOOGLEFINANCE(""RUBKZT"")*H71)"),39318)</f>
        <v>39318</v>
      </c>
      <c r="J71" s="26">
        <f ca="1">IFERROR(__xludf.DUMMYFUNCTION("ROUND(I71*GOOGLEFINANCE(""KZTEUR""))"),82)</f>
        <v>82</v>
      </c>
      <c r="K71" s="26">
        <f t="shared" ca="1" si="1"/>
        <v>6833</v>
      </c>
      <c r="L71" s="26">
        <f t="shared" ca="1" si="2"/>
        <v>1298.27</v>
      </c>
      <c r="M71" s="26">
        <f t="shared" ref="M71:N71" si="73">M$3</f>
        <v>500</v>
      </c>
      <c r="N71" s="26">
        <f t="shared" si="73"/>
        <v>500</v>
      </c>
      <c r="O71" s="26">
        <f ca="1">IFERROR(__xludf.DUMMYFUNCTION("ROUND(GOOGLEFINANCE(""Currency:EURKZT"")*K71)"),3263233)</f>
        <v>3263233</v>
      </c>
      <c r="P71" s="26">
        <f ca="1">IFERROR(__xludf.DUMMYFUNCTION("ROUND(GOOGLEFINANCE(""Currency:EURKZT"")*M71)"),238785)</f>
        <v>238785</v>
      </c>
      <c r="Q71" s="26">
        <f ca="1">IFERROR(__xludf.DUMMYFUNCTION("ROUND(GOOGLEFINANCE(""Currency:EURKZT"")*N71)"),238785)</f>
        <v>238785</v>
      </c>
      <c r="R71" s="26">
        <f t="shared" ca="1" si="4"/>
        <v>391588</v>
      </c>
      <c r="S71" s="26">
        <f t="shared" ca="1" si="5"/>
        <v>4132391</v>
      </c>
      <c r="T71" s="26">
        <f ca="1">IFERROR(__xludf.DUMMYFUNCTION("ROUND(GOOGLEFINANCE(""Currency:EURKZT"")*L71+S71)"),4752405)</f>
        <v>4752405</v>
      </c>
      <c r="U71" s="26">
        <f ca="1">IFERROR(__xludf.DUMMYFUNCTION("D71*GOOGLEFINANCE(""RUBKZT"")*1000/F71"),5957209.34521679)</f>
        <v>5957209.3452167902</v>
      </c>
      <c r="V71" s="27">
        <f t="shared" ca="1" si="6"/>
        <v>0.25351466156962427</v>
      </c>
    </row>
    <row r="72" spans="1:22" ht="12.75" customHeight="1" x14ac:dyDescent="0.2">
      <c r="A72" s="6" t="s">
        <v>495</v>
      </c>
      <c r="B72" s="6" t="s">
        <v>488</v>
      </c>
      <c r="C72" s="7">
        <v>213781</v>
      </c>
      <c r="D72" s="8">
        <v>7543.2</v>
      </c>
      <c r="E72" s="9" t="s">
        <v>16</v>
      </c>
      <c r="F72" s="23">
        <v>12</v>
      </c>
      <c r="G72" s="25"/>
      <c r="H72" s="14">
        <f t="shared" si="0"/>
        <v>0.55000000000000004</v>
      </c>
      <c r="I72" s="25">
        <f ca="1">IFERROR(__xludf.DUMMYFUNCTION("ROUND(D72*GOOGLEFINANCE(""RUBKZT"")*H72)"),32375)</f>
        <v>32375</v>
      </c>
      <c r="J72" s="26">
        <f ca="1">IFERROR(__xludf.DUMMYFUNCTION("ROUND(I72*GOOGLEFINANCE(""KZTEUR""))"),68)</f>
        <v>68</v>
      </c>
      <c r="K72" s="26">
        <f t="shared" ca="1" si="1"/>
        <v>5667</v>
      </c>
      <c r="L72" s="26">
        <f t="shared" ca="1" si="2"/>
        <v>1076.73</v>
      </c>
      <c r="M72" s="26">
        <f t="shared" ref="M72:N72" si="74">M$3</f>
        <v>500</v>
      </c>
      <c r="N72" s="26">
        <f t="shared" si="74"/>
        <v>500</v>
      </c>
      <c r="O72" s="26">
        <f ca="1">IFERROR(__xludf.DUMMYFUNCTION("ROUND(GOOGLEFINANCE(""Currency:EURKZT"")*K72)"),2706387)</f>
        <v>2706387</v>
      </c>
      <c r="P72" s="26">
        <f ca="1">IFERROR(__xludf.DUMMYFUNCTION("ROUND(GOOGLEFINANCE(""Currency:EURKZT"")*M72)"),238785)</f>
        <v>238785</v>
      </c>
      <c r="Q72" s="26">
        <f ca="1">IFERROR(__xludf.DUMMYFUNCTION("ROUND(GOOGLEFINANCE(""Currency:EURKZT"")*N72)"),238785)</f>
        <v>238785</v>
      </c>
      <c r="R72" s="26">
        <f t="shared" ca="1" si="4"/>
        <v>324766</v>
      </c>
      <c r="S72" s="26">
        <f t="shared" ca="1" si="5"/>
        <v>3508723</v>
      </c>
      <c r="T72" s="26">
        <f ca="1">IFERROR(__xludf.DUMMYFUNCTION("ROUND(GOOGLEFINANCE(""Currency:EURKZT"")*L72+S72)"),4022937)</f>
        <v>4022937</v>
      </c>
      <c r="U72" s="26">
        <f ca="1">IFERROR(__xludf.DUMMYFUNCTION("D72*GOOGLEFINANCE(""RUBKZT"")*1000/F72"),4905294.4647672)</f>
        <v>4905294.4647671999</v>
      </c>
      <c r="V72" s="27">
        <f t="shared" ca="1" si="6"/>
        <v>0.21933166359980283</v>
      </c>
    </row>
    <row r="73" spans="1:22" ht="12.75" customHeight="1" x14ac:dyDescent="0.2">
      <c r="A73" s="6" t="s">
        <v>456</v>
      </c>
      <c r="B73" s="6" t="s">
        <v>488</v>
      </c>
      <c r="C73" s="7">
        <v>213782</v>
      </c>
      <c r="D73" s="8">
        <v>6301.2</v>
      </c>
      <c r="E73" s="9" t="s">
        <v>16</v>
      </c>
      <c r="F73" s="23">
        <v>12</v>
      </c>
      <c r="G73" s="25"/>
      <c r="H73" s="14">
        <f t="shared" si="0"/>
        <v>0.55000000000000004</v>
      </c>
      <c r="I73" s="25">
        <f ca="1">IFERROR(__xludf.DUMMYFUNCTION("ROUND(D73*GOOGLEFINANCE(""RUBKZT"")*H73)"),27044)</f>
        <v>27044</v>
      </c>
      <c r="J73" s="26">
        <f ca="1">IFERROR(__xludf.DUMMYFUNCTION("ROUND(I73*GOOGLEFINANCE(""KZTEUR""))"),57)</f>
        <v>57</v>
      </c>
      <c r="K73" s="26">
        <f t="shared" ca="1" si="1"/>
        <v>4750</v>
      </c>
      <c r="L73" s="26">
        <f t="shared" ca="1" si="2"/>
        <v>902.5</v>
      </c>
      <c r="M73" s="26">
        <f t="shared" ref="M73:N73" si="75">M$3</f>
        <v>500</v>
      </c>
      <c r="N73" s="26">
        <f t="shared" si="75"/>
        <v>500</v>
      </c>
      <c r="O73" s="26">
        <f ca="1">IFERROR(__xludf.DUMMYFUNCTION("ROUND(GOOGLEFINANCE(""Currency:EURKZT"")*K73)"),2268456)</f>
        <v>2268456</v>
      </c>
      <c r="P73" s="26">
        <f ca="1">IFERROR(__xludf.DUMMYFUNCTION("ROUND(GOOGLEFINANCE(""Currency:EURKZT"")*M73)"),238785)</f>
        <v>238785</v>
      </c>
      <c r="Q73" s="26">
        <f ca="1">IFERROR(__xludf.DUMMYFUNCTION("ROUND(GOOGLEFINANCE(""Currency:EURKZT"")*N73)"),238785)</f>
        <v>238785</v>
      </c>
      <c r="R73" s="26">
        <f t="shared" ca="1" si="4"/>
        <v>272215</v>
      </c>
      <c r="S73" s="26">
        <f t="shared" ca="1" si="5"/>
        <v>3018241</v>
      </c>
      <c r="T73" s="26">
        <f ca="1">IFERROR(__xludf.DUMMYFUNCTION("ROUND(GOOGLEFINANCE(""Currency:EURKZT"")*L73+S73)"),3449248)</f>
        <v>3449248</v>
      </c>
      <c r="U73" s="26">
        <f ca="1">IFERROR(__xludf.DUMMYFUNCTION("D73*GOOGLEFINANCE(""RUBKZT"")*1000/F73"),4097629.8495852)</f>
        <v>4097629.8495852002</v>
      </c>
      <c r="V73" s="27">
        <f t="shared" ca="1" si="6"/>
        <v>0.18797774169476947</v>
      </c>
    </row>
    <row r="74" spans="1:22" ht="12.75" customHeight="1" x14ac:dyDescent="0.2">
      <c r="A74" s="6" t="s">
        <v>496</v>
      </c>
      <c r="B74" s="6" t="s">
        <v>488</v>
      </c>
      <c r="C74" s="7">
        <v>213785</v>
      </c>
      <c r="D74" s="8">
        <v>7567.2</v>
      </c>
      <c r="E74" s="9" t="s">
        <v>16</v>
      </c>
      <c r="F74" s="23">
        <v>12</v>
      </c>
      <c r="G74" s="25"/>
      <c r="H74" s="14">
        <f t="shared" si="0"/>
        <v>0.55000000000000004</v>
      </c>
      <c r="I74" s="25">
        <f ca="1">IFERROR(__xludf.DUMMYFUNCTION("ROUND(D74*GOOGLEFINANCE(""RUBKZT"")*H74)"),32478)</f>
        <v>32478</v>
      </c>
      <c r="J74" s="26">
        <f ca="1">IFERROR(__xludf.DUMMYFUNCTION("ROUND(I74*GOOGLEFINANCE(""KZTEUR""))"),68)</f>
        <v>68</v>
      </c>
      <c r="K74" s="26">
        <f t="shared" ca="1" si="1"/>
        <v>5667</v>
      </c>
      <c r="L74" s="26">
        <f t="shared" ca="1" si="2"/>
        <v>1076.73</v>
      </c>
      <c r="M74" s="26">
        <f t="shared" ref="M74:N74" si="76">M$3</f>
        <v>500</v>
      </c>
      <c r="N74" s="26">
        <f t="shared" si="76"/>
        <v>500</v>
      </c>
      <c r="O74" s="26">
        <f ca="1">IFERROR(__xludf.DUMMYFUNCTION("ROUND(GOOGLEFINANCE(""Currency:EURKZT"")*K74)"),2706387)</f>
        <v>2706387</v>
      </c>
      <c r="P74" s="26">
        <f ca="1">IFERROR(__xludf.DUMMYFUNCTION("ROUND(GOOGLEFINANCE(""Currency:EURKZT"")*M74)"),238785)</f>
        <v>238785</v>
      </c>
      <c r="Q74" s="26">
        <f ca="1">IFERROR(__xludf.DUMMYFUNCTION("ROUND(GOOGLEFINANCE(""Currency:EURKZT"")*N74)"),238785)</f>
        <v>238785</v>
      </c>
      <c r="R74" s="26">
        <f t="shared" ca="1" si="4"/>
        <v>324766</v>
      </c>
      <c r="S74" s="26">
        <f t="shared" ca="1" si="5"/>
        <v>3508723</v>
      </c>
      <c r="T74" s="26">
        <f ca="1">IFERROR(__xludf.DUMMYFUNCTION("ROUND(GOOGLEFINANCE(""Currency:EURKZT"")*L74+S74)"),4022937)</f>
        <v>4022937</v>
      </c>
      <c r="U74" s="26">
        <f ca="1">IFERROR(__xludf.DUMMYFUNCTION("D74*GOOGLEFINANCE(""RUBKZT"")*1000/F74"),4920901.5104712)</f>
        <v>4920901.5104711996</v>
      </c>
      <c r="V74" s="27">
        <f t="shared" ca="1" si="6"/>
        <v>0.22321117891510597</v>
      </c>
    </row>
    <row r="75" spans="1:22" ht="12.75" customHeight="1" x14ac:dyDescent="0.2">
      <c r="A75" s="6" t="s">
        <v>497</v>
      </c>
      <c r="B75" s="6" t="s">
        <v>488</v>
      </c>
      <c r="C75" s="7">
        <v>213789</v>
      </c>
      <c r="D75" s="8">
        <v>8799.6</v>
      </c>
      <c r="E75" s="9" t="s">
        <v>16</v>
      </c>
      <c r="F75" s="23">
        <v>12</v>
      </c>
      <c r="G75" s="25"/>
      <c r="H75" s="14">
        <f t="shared" si="0"/>
        <v>0.55000000000000004</v>
      </c>
      <c r="I75" s="25">
        <f ca="1">IFERROR(__xludf.DUMMYFUNCTION("ROUND(D75*GOOGLEFINANCE(""RUBKZT"")*H75)"),37767)</f>
        <v>37767</v>
      </c>
      <c r="J75" s="26">
        <f ca="1">IFERROR(__xludf.DUMMYFUNCTION("ROUND(I75*GOOGLEFINANCE(""KZTEUR""))"),79)</f>
        <v>79</v>
      </c>
      <c r="K75" s="26">
        <f t="shared" ca="1" si="1"/>
        <v>6583</v>
      </c>
      <c r="L75" s="26">
        <f t="shared" ca="1" si="2"/>
        <v>1250.77</v>
      </c>
      <c r="M75" s="26">
        <f t="shared" ref="M75:N75" si="77">M$3</f>
        <v>500</v>
      </c>
      <c r="N75" s="26">
        <f t="shared" si="77"/>
        <v>500</v>
      </c>
      <c r="O75" s="26">
        <f ca="1">IFERROR(__xludf.DUMMYFUNCTION("ROUND(GOOGLEFINANCE(""Currency:EURKZT"")*K75)"),3143841)</f>
        <v>3143841</v>
      </c>
      <c r="P75" s="26">
        <f ca="1">IFERROR(__xludf.DUMMYFUNCTION("ROUND(GOOGLEFINANCE(""Currency:EURKZT"")*M75)"),238785)</f>
        <v>238785</v>
      </c>
      <c r="Q75" s="26">
        <f ca="1">IFERROR(__xludf.DUMMYFUNCTION("ROUND(GOOGLEFINANCE(""Currency:EURKZT"")*N75)"),238785)</f>
        <v>238785</v>
      </c>
      <c r="R75" s="26">
        <f t="shared" ca="1" si="4"/>
        <v>377261</v>
      </c>
      <c r="S75" s="26">
        <f t="shared" ca="1" si="5"/>
        <v>3998672</v>
      </c>
      <c r="T75" s="26">
        <f ca="1">IFERROR(__xludf.DUMMYFUNCTION("ROUND(GOOGLEFINANCE(""Currency:EURKZT"")*L75+S75)"),4596002)</f>
        <v>4596002</v>
      </c>
      <c r="U75" s="26">
        <f ca="1">IFERROR(__xludf.DUMMYFUNCTION("D75*GOOGLEFINANCE(""RUBKZT"")*1000/F75"),5722323.3073716)</f>
        <v>5722323.3073715996</v>
      </c>
      <c r="V75" s="27">
        <f t="shared" ca="1" si="6"/>
        <v>0.24506545196707913</v>
      </c>
    </row>
    <row r="76" spans="1:22" ht="12.75" customHeight="1" x14ac:dyDescent="0.2">
      <c r="A76" s="6" t="s">
        <v>498</v>
      </c>
      <c r="B76" s="6" t="s">
        <v>488</v>
      </c>
      <c r="C76" s="7">
        <v>213804</v>
      </c>
      <c r="D76" s="8">
        <v>10251.6</v>
      </c>
      <c r="E76" s="9" t="s">
        <v>16</v>
      </c>
      <c r="F76" s="23">
        <v>12</v>
      </c>
      <c r="G76" s="25"/>
      <c r="H76" s="14">
        <f t="shared" si="0"/>
        <v>0.55000000000000004</v>
      </c>
      <c r="I76" s="25">
        <f ca="1">IFERROR(__xludf.DUMMYFUNCTION("ROUND(D76*GOOGLEFINANCE(""RUBKZT"")*H76)"),43999)</f>
        <v>43999</v>
      </c>
      <c r="J76" s="26">
        <f ca="1">IFERROR(__xludf.DUMMYFUNCTION("ROUND(I76*GOOGLEFINANCE(""KZTEUR""))"),92)</f>
        <v>92</v>
      </c>
      <c r="K76" s="26">
        <f t="shared" ca="1" si="1"/>
        <v>7667</v>
      </c>
      <c r="L76" s="26">
        <f t="shared" ca="1" si="2"/>
        <v>1456.73</v>
      </c>
      <c r="M76" s="26">
        <f t="shared" ref="M76:N76" si="78">M$3</f>
        <v>500</v>
      </c>
      <c r="N76" s="26">
        <f t="shared" si="78"/>
        <v>500</v>
      </c>
      <c r="O76" s="26">
        <f ca="1">IFERROR(__xludf.DUMMYFUNCTION("ROUND(GOOGLEFINANCE(""Currency:EURKZT"")*K76)"),3661526)</f>
        <v>3661526</v>
      </c>
      <c r="P76" s="26">
        <f ca="1">IFERROR(__xludf.DUMMYFUNCTION("ROUND(GOOGLEFINANCE(""Currency:EURKZT"")*M76)"),238785)</f>
        <v>238785</v>
      </c>
      <c r="Q76" s="26">
        <f ca="1">IFERROR(__xludf.DUMMYFUNCTION("ROUND(GOOGLEFINANCE(""Currency:EURKZT"")*N76)"),238785)</f>
        <v>238785</v>
      </c>
      <c r="R76" s="26">
        <f t="shared" ca="1" si="4"/>
        <v>439383</v>
      </c>
      <c r="S76" s="26">
        <f t="shared" ca="1" si="5"/>
        <v>4578479</v>
      </c>
      <c r="T76" s="26">
        <f ca="1">IFERROR(__xludf.DUMMYFUNCTION("ROUND(GOOGLEFINANCE(""Currency:EURKZT"")*L76+S76)"),5274169)</f>
        <v>5274169</v>
      </c>
      <c r="U76" s="26">
        <f ca="1">IFERROR(__xludf.DUMMYFUNCTION("D76*GOOGLEFINANCE(""RUBKZT"")*1000/F76"),6666549.5724636)</f>
        <v>6666549.5724636</v>
      </c>
      <c r="V76" s="27">
        <f t="shared" ca="1" si="6"/>
        <v>0.2639999917453536</v>
      </c>
    </row>
    <row r="77" spans="1:22" ht="12.75" customHeight="1" x14ac:dyDescent="0.2">
      <c r="A77" s="6" t="s">
        <v>500</v>
      </c>
      <c r="B77" s="6" t="s">
        <v>488</v>
      </c>
      <c r="C77" s="7">
        <v>213814</v>
      </c>
      <c r="D77" s="8">
        <v>8102.4</v>
      </c>
      <c r="E77" s="9" t="s">
        <v>16</v>
      </c>
      <c r="F77" s="23">
        <v>12</v>
      </c>
      <c r="G77" s="25"/>
      <c r="H77" s="14">
        <f t="shared" si="0"/>
        <v>0.55000000000000004</v>
      </c>
      <c r="I77" s="25">
        <f ca="1">IFERROR(__xludf.DUMMYFUNCTION("ROUND(D77*GOOGLEFINANCE(""RUBKZT"")*H77)"),34775)</f>
        <v>34775</v>
      </c>
      <c r="J77" s="26">
        <f ca="1">IFERROR(__xludf.DUMMYFUNCTION("ROUND(I77*GOOGLEFINANCE(""KZTEUR""))"),73)</f>
        <v>73</v>
      </c>
      <c r="K77" s="26">
        <f t="shared" ca="1" si="1"/>
        <v>6083</v>
      </c>
      <c r="L77" s="26">
        <f t="shared" ca="1" si="2"/>
        <v>1155.77</v>
      </c>
      <c r="M77" s="26">
        <f t="shared" ref="M77:N77" si="79">M$3</f>
        <v>500</v>
      </c>
      <c r="N77" s="26">
        <f t="shared" si="79"/>
        <v>500</v>
      </c>
      <c r="O77" s="26">
        <f ca="1">IFERROR(__xludf.DUMMYFUNCTION("ROUND(GOOGLEFINANCE(""Currency:EURKZT"")*K77)"),2905056)</f>
        <v>2905056</v>
      </c>
      <c r="P77" s="26">
        <f ca="1">IFERROR(__xludf.DUMMYFUNCTION("ROUND(GOOGLEFINANCE(""Currency:EURKZT"")*M77)"),238785)</f>
        <v>238785</v>
      </c>
      <c r="Q77" s="26">
        <f ca="1">IFERROR(__xludf.DUMMYFUNCTION("ROUND(GOOGLEFINANCE(""Currency:EURKZT"")*N77)"),238785)</f>
        <v>238785</v>
      </c>
      <c r="R77" s="26">
        <f t="shared" ca="1" si="4"/>
        <v>348607</v>
      </c>
      <c r="S77" s="26">
        <f t="shared" ca="1" si="5"/>
        <v>3731233</v>
      </c>
      <c r="T77" s="26">
        <f ca="1">IFERROR(__xludf.DUMMYFUNCTION("ROUND(GOOGLEFINANCE(""Currency:EURKZT"")*L77+S77)"),4283194)</f>
        <v>4283194</v>
      </c>
      <c r="U77" s="26">
        <f ca="1">IFERROR(__xludf.DUMMYFUNCTION("D77*GOOGLEFINANCE(""RUBKZT"")*1000/F77"),5268938.6296704)</f>
        <v>5268938.6296704002</v>
      </c>
      <c r="V77" s="27">
        <f t="shared" ca="1" si="6"/>
        <v>0.23014241934182766</v>
      </c>
    </row>
    <row r="78" spans="1:22" ht="12.75" customHeight="1" x14ac:dyDescent="0.2">
      <c r="A78" s="6" t="s">
        <v>502</v>
      </c>
      <c r="B78" s="6" t="s">
        <v>488</v>
      </c>
      <c r="C78" s="7">
        <v>213818</v>
      </c>
      <c r="D78" s="8">
        <v>9597.6</v>
      </c>
      <c r="E78" s="9" t="s">
        <v>16</v>
      </c>
      <c r="F78" s="23">
        <v>12</v>
      </c>
      <c r="G78" s="25"/>
      <c r="H78" s="14">
        <f t="shared" si="0"/>
        <v>0.55000000000000004</v>
      </c>
      <c r="I78" s="25">
        <f ca="1">IFERROR(__xludf.DUMMYFUNCTION("ROUND(D78*GOOGLEFINANCE(""RUBKZT"")*H78)"),41192)</f>
        <v>41192</v>
      </c>
      <c r="J78" s="26">
        <f ca="1">IFERROR(__xludf.DUMMYFUNCTION("ROUND(I78*GOOGLEFINANCE(""KZTEUR""))"),86)</f>
        <v>86</v>
      </c>
      <c r="K78" s="26">
        <f t="shared" ca="1" si="1"/>
        <v>7167</v>
      </c>
      <c r="L78" s="26">
        <f t="shared" ca="1" si="2"/>
        <v>1361.73</v>
      </c>
      <c r="M78" s="26">
        <f t="shared" ref="M78:N78" si="80">M$3</f>
        <v>500</v>
      </c>
      <c r="N78" s="26">
        <f t="shared" si="80"/>
        <v>500</v>
      </c>
      <c r="O78" s="26">
        <f ca="1">IFERROR(__xludf.DUMMYFUNCTION("ROUND(GOOGLEFINANCE(""Currency:EURKZT"")*K78)"),3422741)</f>
        <v>3422741</v>
      </c>
      <c r="P78" s="26">
        <f ca="1">IFERROR(__xludf.DUMMYFUNCTION("ROUND(GOOGLEFINANCE(""Currency:EURKZT"")*M78)"),238785)</f>
        <v>238785</v>
      </c>
      <c r="Q78" s="26">
        <f ca="1">IFERROR(__xludf.DUMMYFUNCTION("ROUND(GOOGLEFINANCE(""Currency:EURKZT"")*N78)"),238785)</f>
        <v>238785</v>
      </c>
      <c r="R78" s="26">
        <f t="shared" ca="1" si="4"/>
        <v>410729</v>
      </c>
      <c r="S78" s="26">
        <f t="shared" ca="1" si="5"/>
        <v>4311040</v>
      </c>
      <c r="T78" s="26">
        <f ca="1">IFERROR(__xludf.DUMMYFUNCTION("ROUND(GOOGLEFINANCE(""Currency:EURKZT"")*L78+S78)"),4961361)</f>
        <v>4961361</v>
      </c>
      <c r="U78" s="26">
        <f ca="1">IFERROR(__xludf.DUMMYFUNCTION("D78*GOOGLEFINANCE(""RUBKZT"")*1000/F78"),6241257.5770296)</f>
        <v>6241257.5770295998</v>
      </c>
      <c r="V78" s="27">
        <f t="shared" ca="1" si="6"/>
        <v>0.25797287821418352</v>
      </c>
    </row>
    <row r="79" spans="1:22" ht="12.75" customHeight="1" x14ac:dyDescent="0.2">
      <c r="A79" s="6" t="s">
        <v>481</v>
      </c>
      <c r="B79" s="6" t="s">
        <v>488</v>
      </c>
      <c r="C79" s="7">
        <v>213821</v>
      </c>
      <c r="D79" s="8">
        <v>9280.7999999999993</v>
      </c>
      <c r="E79" s="9" t="s">
        <v>16</v>
      </c>
      <c r="F79" s="23">
        <v>12</v>
      </c>
      <c r="G79" s="25"/>
      <c r="H79" s="14">
        <f t="shared" si="0"/>
        <v>0.55000000000000004</v>
      </c>
      <c r="I79" s="25">
        <f ca="1">IFERROR(__xludf.DUMMYFUNCTION("ROUND(D79*GOOGLEFINANCE(""RUBKZT"")*H79)"),39833)</f>
        <v>39833</v>
      </c>
      <c r="J79" s="26">
        <f ca="1">IFERROR(__xludf.DUMMYFUNCTION("ROUND(I79*GOOGLEFINANCE(""KZTEUR""))"),83)</f>
        <v>83</v>
      </c>
      <c r="K79" s="26">
        <f t="shared" ca="1" si="1"/>
        <v>6917</v>
      </c>
      <c r="L79" s="26">
        <f t="shared" ca="1" si="2"/>
        <v>1314.23</v>
      </c>
      <c r="M79" s="26">
        <f t="shared" ref="M79:N79" si="81">M$3</f>
        <v>500</v>
      </c>
      <c r="N79" s="26">
        <f t="shared" si="81"/>
        <v>500</v>
      </c>
      <c r="O79" s="26">
        <f ca="1">IFERROR(__xludf.DUMMYFUNCTION("ROUND(GOOGLEFINANCE(""Currency:EURKZT"")*K79)"),3303349)</f>
        <v>3303349</v>
      </c>
      <c r="P79" s="26">
        <f ca="1">IFERROR(__xludf.DUMMYFUNCTION("ROUND(GOOGLEFINANCE(""Currency:EURKZT"")*M79)"),238785)</f>
        <v>238785</v>
      </c>
      <c r="Q79" s="26">
        <f ca="1">IFERROR(__xludf.DUMMYFUNCTION("ROUND(GOOGLEFINANCE(""Currency:EURKZT"")*N79)"),238785)</f>
        <v>238785</v>
      </c>
      <c r="R79" s="26">
        <f t="shared" ca="1" si="4"/>
        <v>396402</v>
      </c>
      <c r="S79" s="26">
        <f t="shared" ca="1" si="5"/>
        <v>4177321</v>
      </c>
      <c r="T79" s="26">
        <f ca="1">IFERROR(__xludf.DUMMYFUNCTION("ROUND(GOOGLEFINANCE(""Currency:EURKZT"")*L79+S79)"),4804957)</f>
        <v>4804957</v>
      </c>
      <c r="U79" s="26">
        <f ca="1">IFERROR(__xludf.DUMMYFUNCTION("D79*GOOGLEFINANCE(""RUBKZT"")*1000/F79"),6035244.57373679)</f>
        <v>6035244.5737367896</v>
      </c>
      <c r="V79" s="27">
        <f t="shared" ca="1" si="6"/>
        <v>0.2560454908830172</v>
      </c>
    </row>
    <row r="80" spans="1:22" ht="12.75" customHeight="1" x14ac:dyDescent="0.2">
      <c r="A80" s="6" t="s">
        <v>508</v>
      </c>
      <c r="B80" s="6" t="s">
        <v>488</v>
      </c>
      <c r="C80" s="7">
        <v>213826</v>
      </c>
      <c r="D80" s="8">
        <v>9645.6</v>
      </c>
      <c r="E80" s="9" t="s">
        <v>16</v>
      </c>
      <c r="F80" s="23">
        <v>12</v>
      </c>
      <c r="G80" s="25"/>
      <c r="H80" s="14">
        <f t="shared" si="0"/>
        <v>0.55000000000000004</v>
      </c>
      <c r="I80" s="25">
        <f ca="1">IFERROR(__xludf.DUMMYFUNCTION("ROUND(D80*GOOGLEFINANCE(""RUBKZT"")*H80)"),41398)</f>
        <v>41398</v>
      </c>
      <c r="J80" s="26">
        <f ca="1">IFERROR(__xludf.DUMMYFUNCTION("ROUND(I80*GOOGLEFINANCE(""KZTEUR""))"),87)</f>
        <v>87</v>
      </c>
      <c r="K80" s="26">
        <f t="shared" ca="1" si="1"/>
        <v>7250</v>
      </c>
      <c r="L80" s="26">
        <f t="shared" ca="1" si="2"/>
        <v>1377.5</v>
      </c>
      <c r="M80" s="26">
        <f t="shared" ref="M80:N80" si="82">M$3</f>
        <v>500</v>
      </c>
      <c r="N80" s="26">
        <f t="shared" si="82"/>
        <v>500</v>
      </c>
      <c r="O80" s="26">
        <f ca="1">IFERROR(__xludf.DUMMYFUNCTION("ROUND(GOOGLEFINANCE(""Currency:EURKZT"")*K80)"),3462380)</f>
        <v>3462380</v>
      </c>
      <c r="P80" s="26">
        <f ca="1">IFERROR(__xludf.DUMMYFUNCTION("ROUND(GOOGLEFINANCE(""Currency:EURKZT"")*M80)"),238785)</f>
        <v>238785</v>
      </c>
      <c r="Q80" s="26">
        <f ca="1">IFERROR(__xludf.DUMMYFUNCTION("ROUND(GOOGLEFINANCE(""Currency:EURKZT"")*N80)"),238785)</f>
        <v>238785</v>
      </c>
      <c r="R80" s="26">
        <f t="shared" ca="1" si="4"/>
        <v>415486</v>
      </c>
      <c r="S80" s="26">
        <f t="shared" ca="1" si="5"/>
        <v>4355436</v>
      </c>
      <c r="T80" s="26">
        <f ca="1">IFERROR(__xludf.DUMMYFUNCTION("ROUND(GOOGLEFINANCE(""Currency:EURKZT"")*L80+S80)"),5013288)</f>
        <v>5013288</v>
      </c>
      <c r="U80" s="26">
        <f ca="1">IFERROR(__xludf.DUMMYFUNCTION("D80*GOOGLEFINANCE(""RUBKZT"")*1000/F80"),6272471.6684376)</f>
        <v>6272471.6684376001</v>
      </c>
      <c r="V80" s="27">
        <f t="shared" ca="1" si="6"/>
        <v>0.25116922635156808</v>
      </c>
    </row>
    <row r="81" spans="1:22" ht="12.75" customHeight="1" x14ac:dyDescent="0.2">
      <c r="A81" s="6" t="s">
        <v>509</v>
      </c>
      <c r="B81" s="6" t="s">
        <v>488</v>
      </c>
      <c r="C81" s="7">
        <v>213830</v>
      </c>
      <c r="D81" s="8">
        <v>9625.1999999999989</v>
      </c>
      <c r="E81" s="9" t="s">
        <v>16</v>
      </c>
      <c r="F81" s="23">
        <v>12</v>
      </c>
      <c r="G81" s="25"/>
      <c r="H81" s="14">
        <f t="shared" si="0"/>
        <v>0.55000000000000004</v>
      </c>
      <c r="I81" s="25">
        <f ca="1">IFERROR(__xludf.DUMMYFUNCTION("ROUND(D81*GOOGLEFINANCE(""RUBKZT"")*H81)"),41311)</f>
        <v>41311</v>
      </c>
      <c r="J81" s="26">
        <f ca="1">IFERROR(__xludf.DUMMYFUNCTION("ROUND(I81*GOOGLEFINANCE(""KZTEUR""))"),87)</f>
        <v>87</v>
      </c>
      <c r="K81" s="26">
        <f t="shared" ca="1" si="1"/>
        <v>7250</v>
      </c>
      <c r="L81" s="26">
        <f t="shared" ca="1" si="2"/>
        <v>1377.5</v>
      </c>
      <c r="M81" s="26">
        <f t="shared" ref="M81:N81" si="83">M$3</f>
        <v>500</v>
      </c>
      <c r="N81" s="26">
        <f t="shared" si="83"/>
        <v>500</v>
      </c>
      <c r="O81" s="26">
        <f ca="1">IFERROR(__xludf.DUMMYFUNCTION("ROUND(GOOGLEFINANCE(""Currency:EURKZT"")*K81)"),3462380)</f>
        <v>3462380</v>
      </c>
      <c r="P81" s="26">
        <f ca="1">IFERROR(__xludf.DUMMYFUNCTION("ROUND(GOOGLEFINANCE(""Currency:EURKZT"")*M81)"),238785)</f>
        <v>238785</v>
      </c>
      <c r="Q81" s="26">
        <f ca="1">IFERROR(__xludf.DUMMYFUNCTION("ROUND(GOOGLEFINANCE(""Currency:EURKZT"")*N81)"),238785)</f>
        <v>238785</v>
      </c>
      <c r="R81" s="26">
        <f t="shared" ca="1" si="4"/>
        <v>415486</v>
      </c>
      <c r="S81" s="26">
        <f t="shared" ca="1" si="5"/>
        <v>4355436</v>
      </c>
      <c r="T81" s="26">
        <f ca="1">IFERROR(__xludf.DUMMYFUNCTION("ROUND(GOOGLEFINANCE(""Currency:EURKZT"")*L81+S81)"),5013288)</f>
        <v>5013288</v>
      </c>
      <c r="U81" s="26">
        <f ca="1">IFERROR(__xludf.DUMMYFUNCTION("D81*GOOGLEFINANCE(""RUBKZT"")*1000/F81"),6259205.6795892)</f>
        <v>6259205.6795891998</v>
      </c>
      <c r="V81" s="27">
        <f t="shared" ca="1" si="6"/>
        <v>0.2485230610308444</v>
      </c>
    </row>
    <row r="82" spans="1:22" ht="12.75" customHeight="1" x14ac:dyDescent="0.2">
      <c r="A82" s="6" t="s">
        <v>510</v>
      </c>
      <c r="B82" s="6" t="s">
        <v>488</v>
      </c>
      <c r="C82" s="7">
        <v>213838</v>
      </c>
      <c r="D82" s="8">
        <v>10620</v>
      </c>
      <c r="E82" s="9" t="s">
        <v>16</v>
      </c>
      <c r="F82" s="23">
        <v>12</v>
      </c>
      <c r="G82" s="25"/>
      <c r="H82" s="14">
        <f t="shared" si="0"/>
        <v>0.55000000000000004</v>
      </c>
      <c r="I82" s="25">
        <f ca="1">IFERROR(__xludf.DUMMYFUNCTION("ROUND(D82*GOOGLEFINANCE(""RUBKZT"")*H82)"),45580)</f>
        <v>45580</v>
      </c>
      <c r="J82" s="26">
        <f ca="1">IFERROR(__xludf.DUMMYFUNCTION("ROUND(I82*GOOGLEFINANCE(""KZTEUR""))"),95)</f>
        <v>95</v>
      </c>
      <c r="K82" s="26">
        <f t="shared" ca="1" si="1"/>
        <v>7917</v>
      </c>
      <c r="L82" s="26">
        <f t="shared" ca="1" si="2"/>
        <v>1504.23</v>
      </c>
      <c r="M82" s="26">
        <f t="shared" ref="M82:N82" si="84">M$3</f>
        <v>500</v>
      </c>
      <c r="N82" s="26">
        <f t="shared" si="84"/>
        <v>500</v>
      </c>
      <c r="O82" s="26">
        <f ca="1">IFERROR(__xludf.DUMMYFUNCTION("ROUND(GOOGLEFINANCE(""Currency:EURKZT"")*K82)"),3780919)</f>
        <v>3780919</v>
      </c>
      <c r="P82" s="26">
        <f ca="1">IFERROR(__xludf.DUMMYFUNCTION("ROUND(GOOGLEFINANCE(""Currency:EURKZT"")*M82)"),238785)</f>
        <v>238785</v>
      </c>
      <c r="Q82" s="26">
        <f ca="1">IFERROR(__xludf.DUMMYFUNCTION("ROUND(GOOGLEFINANCE(""Currency:EURKZT"")*N82)"),238785)</f>
        <v>238785</v>
      </c>
      <c r="R82" s="26">
        <f t="shared" ca="1" si="4"/>
        <v>453710</v>
      </c>
      <c r="S82" s="26">
        <f t="shared" ca="1" si="5"/>
        <v>4712199</v>
      </c>
      <c r="T82" s="26">
        <f ca="1">IFERROR(__xludf.DUMMYFUNCTION("ROUND(GOOGLEFINANCE(""Currency:EURKZT"")*L82+S82)"),5430574)</f>
        <v>5430574</v>
      </c>
      <c r="U82" s="26">
        <f ca="1">IFERROR(__xludf.DUMMYFUNCTION("D82*GOOGLEFINANCE(""RUBKZT"")*1000/F82"),6906117.72402)</f>
        <v>6906117.7240199996</v>
      </c>
      <c r="V82" s="27">
        <f t="shared" ca="1" si="6"/>
        <v>0.27171045344746236</v>
      </c>
    </row>
    <row r="83" spans="1:22" ht="12.75" customHeight="1" x14ac:dyDescent="0.2">
      <c r="A83" s="6" t="s">
        <v>512</v>
      </c>
      <c r="B83" s="6" t="s">
        <v>488</v>
      </c>
      <c r="C83" s="7">
        <v>213842</v>
      </c>
      <c r="D83" s="8">
        <v>7389.5999999999995</v>
      </c>
      <c r="E83" s="9" t="s">
        <v>16</v>
      </c>
      <c r="F83" s="23">
        <v>12</v>
      </c>
      <c r="G83" s="25"/>
      <c r="H83" s="14">
        <f t="shared" si="0"/>
        <v>0.55000000000000004</v>
      </c>
      <c r="I83" s="25">
        <f ca="1">IFERROR(__xludf.DUMMYFUNCTION("ROUND(D83*GOOGLEFINANCE(""RUBKZT"")*H83)"),31716)</f>
        <v>31716</v>
      </c>
      <c r="J83" s="26">
        <f ca="1">IFERROR(__xludf.DUMMYFUNCTION("ROUND(I83*GOOGLEFINANCE(""KZTEUR""))"),66)</f>
        <v>66</v>
      </c>
      <c r="K83" s="26">
        <f t="shared" ca="1" si="1"/>
        <v>5500</v>
      </c>
      <c r="L83" s="26">
        <f t="shared" ca="1" si="2"/>
        <v>1045</v>
      </c>
      <c r="M83" s="26">
        <f t="shared" ref="M83:N83" si="85">M$3</f>
        <v>500</v>
      </c>
      <c r="N83" s="26">
        <f t="shared" si="85"/>
        <v>500</v>
      </c>
      <c r="O83" s="26">
        <f ca="1">IFERROR(__xludf.DUMMYFUNCTION("ROUND(GOOGLEFINANCE(""Currency:EURKZT"")*K83)"),2626633)</f>
        <v>2626633</v>
      </c>
      <c r="P83" s="26">
        <f ca="1">IFERROR(__xludf.DUMMYFUNCTION("ROUND(GOOGLEFINANCE(""Currency:EURKZT"")*M83)"),238785)</f>
        <v>238785</v>
      </c>
      <c r="Q83" s="26">
        <f ca="1">IFERROR(__xludf.DUMMYFUNCTION("ROUND(GOOGLEFINANCE(""Currency:EURKZT"")*N83)"),238785)</f>
        <v>238785</v>
      </c>
      <c r="R83" s="26">
        <f t="shared" ca="1" si="4"/>
        <v>315196</v>
      </c>
      <c r="S83" s="26">
        <f t="shared" ca="1" si="5"/>
        <v>3419399</v>
      </c>
      <c r="T83" s="26">
        <f ca="1">IFERROR(__xludf.DUMMYFUNCTION("ROUND(GOOGLEFINANCE(""Currency:EURKZT"")*L83+S83)"),3918459)</f>
        <v>3918459</v>
      </c>
      <c r="U83" s="26">
        <f ca="1">IFERROR(__xludf.DUMMYFUNCTION("D83*GOOGLEFINANCE(""RUBKZT"")*1000/F83"),4805409.3722616)</f>
        <v>4805409.3722615996</v>
      </c>
      <c r="V83" s="27">
        <f t="shared" ca="1" si="6"/>
        <v>0.22635183174344803</v>
      </c>
    </row>
    <row r="84" spans="1:22" ht="12.75" customHeight="1" x14ac:dyDescent="0.2">
      <c r="A84" s="6" t="s">
        <v>513</v>
      </c>
      <c r="B84" s="6" t="s">
        <v>488</v>
      </c>
      <c r="C84" s="7">
        <v>213844</v>
      </c>
      <c r="D84" s="8">
        <v>7762.7999999999993</v>
      </c>
      <c r="E84" s="9" t="s">
        <v>16</v>
      </c>
      <c r="F84" s="23">
        <v>12</v>
      </c>
      <c r="G84" s="25"/>
      <c r="H84" s="14">
        <f t="shared" si="0"/>
        <v>0.55000000000000004</v>
      </c>
      <c r="I84" s="25">
        <f ca="1">IFERROR(__xludf.DUMMYFUNCTION("ROUND(D84*GOOGLEFINANCE(""RUBKZT"")*H84)"),33317)</f>
        <v>33317</v>
      </c>
      <c r="J84" s="26">
        <f ca="1">IFERROR(__xludf.DUMMYFUNCTION("ROUND(I84*GOOGLEFINANCE(""KZTEUR""))"),70)</f>
        <v>70</v>
      </c>
      <c r="K84" s="26">
        <f t="shared" ca="1" si="1"/>
        <v>5833</v>
      </c>
      <c r="L84" s="26">
        <f t="shared" ca="1" si="2"/>
        <v>1108.27</v>
      </c>
      <c r="M84" s="26">
        <f t="shared" ref="M84:N84" si="86">M$3</f>
        <v>500</v>
      </c>
      <c r="N84" s="26">
        <f t="shared" si="86"/>
        <v>500</v>
      </c>
      <c r="O84" s="26">
        <f ca="1">IFERROR(__xludf.DUMMYFUNCTION("ROUND(GOOGLEFINANCE(""Currency:EURKZT"")*K84)"),2785664)</f>
        <v>2785664</v>
      </c>
      <c r="P84" s="26">
        <f ca="1">IFERROR(__xludf.DUMMYFUNCTION("ROUND(GOOGLEFINANCE(""Currency:EURKZT"")*M84)"),238785)</f>
        <v>238785</v>
      </c>
      <c r="Q84" s="26">
        <f ca="1">IFERROR(__xludf.DUMMYFUNCTION("ROUND(GOOGLEFINANCE(""Currency:EURKZT"")*N84)"),238785)</f>
        <v>238785</v>
      </c>
      <c r="R84" s="26">
        <f t="shared" ca="1" si="4"/>
        <v>334280</v>
      </c>
      <c r="S84" s="26">
        <f t="shared" ca="1" si="5"/>
        <v>3597514</v>
      </c>
      <c r="T84" s="26">
        <f ca="1">IFERROR(__xludf.DUMMYFUNCTION("ROUND(GOOGLEFINANCE(""Currency:EURKZT"")*L84+S84)"),4126790)</f>
        <v>4126790</v>
      </c>
      <c r="U84" s="26">
        <f ca="1">IFERROR(__xludf.DUMMYFUNCTION("D84*GOOGLEFINANCE(""RUBKZT"")*1000/F84"),5048098.93295879)</f>
        <v>5048098.9329587901</v>
      </c>
      <c r="V84" s="27">
        <f t="shared" ca="1" si="6"/>
        <v>0.22325074281918636</v>
      </c>
    </row>
    <row r="85" spans="1:22" ht="12.75" customHeight="1" x14ac:dyDescent="0.2">
      <c r="A85" s="6" t="s">
        <v>514</v>
      </c>
      <c r="B85" s="6" t="s">
        <v>488</v>
      </c>
      <c r="C85" s="7">
        <v>213845</v>
      </c>
      <c r="D85" s="8">
        <v>7548</v>
      </c>
      <c r="E85" s="9" t="s">
        <v>16</v>
      </c>
      <c r="F85" s="23">
        <v>12</v>
      </c>
      <c r="G85" s="25"/>
      <c r="H85" s="14">
        <f t="shared" si="0"/>
        <v>0.55000000000000004</v>
      </c>
      <c r="I85" s="25">
        <f ca="1">IFERROR(__xludf.DUMMYFUNCTION("ROUND(D85*GOOGLEFINANCE(""RUBKZT"")*H85)"),32396)</f>
        <v>32396</v>
      </c>
      <c r="J85" s="26">
        <f ca="1">IFERROR(__xludf.DUMMYFUNCTION("ROUND(I85*GOOGLEFINANCE(""KZTEUR""))"),68)</f>
        <v>68</v>
      </c>
      <c r="K85" s="26">
        <f t="shared" ca="1" si="1"/>
        <v>5667</v>
      </c>
      <c r="L85" s="26">
        <f t="shared" ca="1" si="2"/>
        <v>1076.73</v>
      </c>
      <c r="M85" s="26">
        <f t="shared" ref="M85:N85" si="87">M$3</f>
        <v>500</v>
      </c>
      <c r="N85" s="26">
        <f t="shared" si="87"/>
        <v>500</v>
      </c>
      <c r="O85" s="26">
        <f ca="1">IFERROR(__xludf.DUMMYFUNCTION("ROUND(GOOGLEFINANCE(""Currency:EURKZT"")*K85)"),2706387)</f>
        <v>2706387</v>
      </c>
      <c r="P85" s="26">
        <f ca="1">IFERROR(__xludf.DUMMYFUNCTION("ROUND(GOOGLEFINANCE(""Currency:EURKZT"")*M85)"),238785)</f>
        <v>238785</v>
      </c>
      <c r="Q85" s="26">
        <f ca="1">IFERROR(__xludf.DUMMYFUNCTION("ROUND(GOOGLEFINANCE(""Currency:EURKZT"")*N85)"),238785)</f>
        <v>238785</v>
      </c>
      <c r="R85" s="26">
        <f t="shared" ca="1" si="4"/>
        <v>324766</v>
      </c>
      <c r="S85" s="26">
        <f t="shared" ca="1" si="5"/>
        <v>3508723</v>
      </c>
      <c r="T85" s="26">
        <f ca="1">IFERROR(__xludf.DUMMYFUNCTION("ROUND(GOOGLEFINANCE(""Currency:EURKZT"")*L85+S85)"),4022937)</f>
        <v>4022937</v>
      </c>
      <c r="U85" s="26">
        <f ca="1">IFERROR(__xludf.DUMMYFUNCTION("D85*GOOGLEFINANCE(""RUBKZT"")*1000/F85"),4908415.873908)</f>
        <v>4908415.8739080001</v>
      </c>
      <c r="V85" s="27">
        <f t="shared" ca="1" si="6"/>
        <v>0.22010756666286349</v>
      </c>
    </row>
    <row r="86" spans="1:22" ht="12.75" customHeight="1" x14ac:dyDescent="0.2">
      <c r="A86" s="6" t="s">
        <v>515</v>
      </c>
      <c r="B86" s="6" t="s">
        <v>488</v>
      </c>
      <c r="C86" s="7">
        <v>213846</v>
      </c>
      <c r="D86" s="8">
        <v>8950.7999999999993</v>
      </c>
      <c r="E86" s="9" t="s">
        <v>16</v>
      </c>
      <c r="F86" s="23">
        <v>12</v>
      </c>
      <c r="G86" s="25"/>
      <c r="H86" s="14">
        <f t="shared" si="0"/>
        <v>0.55000000000000004</v>
      </c>
      <c r="I86" s="25">
        <f ca="1">IFERROR(__xludf.DUMMYFUNCTION("ROUND(D86*GOOGLEFINANCE(""RUBKZT"")*H86)"),38416)</f>
        <v>38416</v>
      </c>
      <c r="J86" s="26">
        <f ca="1">IFERROR(__xludf.DUMMYFUNCTION("ROUND(I86*GOOGLEFINANCE(""KZTEUR""))"),80)</f>
        <v>80</v>
      </c>
      <c r="K86" s="26">
        <f t="shared" ca="1" si="1"/>
        <v>6667</v>
      </c>
      <c r="L86" s="26">
        <f t="shared" ca="1" si="2"/>
        <v>1266.73</v>
      </c>
      <c r="M86" s="26">
        <f t="shared" ref="M86:N86" si="88">M$3</f>
        <v>500</v>
      </c>
      <c r="N86" s="26">
        <f t="shared" si="88"/>
        <v>500</v>
      </c>
      <c r="O86" s="26">
        <f ca="1">IFERROR(__xludf.DUMMYFUNCTION("ROUND(GOOGLEFINANCE(""Currency:EURKZT"")*K86)"),3183957)</f>
        <v>3183957</v>
      </c>
      <c r="P86" s="26">
        <f ca="1">IFERROR(__xludf.DUMMYFUNCTION("ROUND(GOOGLEFINANCE(""Currency:EURKZT"")*M86)"),238785)</f>
        <v>238785</v>
      </c>
      <c r="Q86" s="26">
        <f ca="1">IFERROR(__xludf.DUMMYFUNCTION("ROUND(GOOGLEFINANCE(""Currency:EURKZT"")*N86)"),238785)</f>
        <v>238785</v>
      </c>
      <c r="R86" s="26">
        <f t="shared" ca="1" si="4"/>
        <v>382075</v>
      </c>
      <c r="S86" s="26">
        <f t="shared" ca="1" si="5"/>
        <v>4043602</v>
      </c>
      <c r="T86" s="26">
        <f ca="1">IFERROR(__xludf.DUMMYFUNCTION("ROUND(GOOGLEFINANCE(""Currency:EURKZT"")*L86+S86)"),4648554)</f>
        <v>4648554</v>
      </c>
      <c r="U86" s="26">
        <f ca="1">IFERROR(__xludf.DUMMYFUNCTION("D86*GOOGLEFINANCE(""RUBKZT"")*1000/F86"),5820647.6953068)</f>
        <v>5820647.6953068003</v>
      </c>
      <c r="V86" s="27">
        <f t="shared" ca="1" si="6"/>
        <v>0.25214156817513583</v>
      </c>
    </row>
    <row r="87" spans="1:22" ht="12.75" customHeight="1" x14ac:dyDescent="0.2">
      <c r="A87" s="6" t="s">
        <v>516</v>
      </c>
      <c r="B87" s="6" t="s">
        <v>488</v>
      </c>
      <c r="C87" s="7">
        <v>213847</v>
      </c>
      <c r="D87" s="8">
        <v>7752</v>
      </c>
      <c r="E87" s="9" t="s">
        <v>16</v>
      </c>
      <c r="F87" s="23">
        <v>12</v>
      </c>
      <c r="G87" s="25"/>
      <c r="H87" s="14">
        <f t="shared" si="0"/>
        <v>0.55000000000000004</v>
      </c>
      <c r="I87" s="25">
        <f ca="1">IFERROR(__xludf.DUMMYFUNCTION("ROUND(D87*GOOGLEFINANCE(""RUBKZT"")*H87)"),33271)</f>
        <v>33271</v>
      </c>
      <c r="J87" s="26">
        <f ca="1">IFERROR(__xludf.DUMMYFUNCTION("ROUND(I87*GOOGLEFINANCE(""KZTEUR""))"),70)</f>
        <v>70</v>
      </c>
      <c r="K87" s="26">
        <f t="shared" ca="1" si="1"/>
        <v>5833</v>
      </c>
      <c r="L87" s="26">
        <f t="shared" ca="1" si="2"/>
        <v>1108.27</v>
      </c>
      <c r="M87" s="26">
        <f t="shared" ref="M87:N87" si="89">M$3</f>
        <v>500</v>
      </c>
      <c r="N87" s="26">
        <f t="shared" si="89"/>
        <v>500</v>
      </c>
      <c r="O87" s="26">
        <f ca="1">IFERROR(__xludf.DUMMYFUNCTION("ROUND(GOOGLEFINANCE(""Currency:EURKZT"")*K87)"),2785664)</f>
        <v>2785664</v>
      </c>
      <c r="P87" s="26">
        <f ca="1">IFERROR(__xludf.DUMMYFUNCTION("ROUND(GOOGLEFINANCE(""Currency:EURKZT"")*M87)"),238785)</f>
        <v>238785</v>
      </c>
      <c r="Q87" s="26">
        <f ca="1">IFERROR(__xludf.DUMMYFUNCTION("ROUND(GOOGLEFINANCE(""Currency:EURKZT"")*N87)"),238785)</f>
        <v>238785</v>
      </c>
      <c r="R87" s="26">
        <f t="shared" ca="1" si="4"/>
        <v>334280</v>
      </c>
      <c r="S87" s="26">
        <f t="shared" ca="1" si="5"/>
        <v>3597514</v>
      </c>
      <c r="T87" s="26">
        <f ca="1">IFERROR(__xludf.DUMMYFUNCTION("ROUND(GOOGLEFINANCE(""Currency:EURKZT"")*L87+S87)"),4126790)</f>
        <v>4126790</v>
      </c>
      <c r="U87" s="26">
        <f ca="1">IFERROR(__xludf.DUMMYFUNCTION("D87*GOOGLEFINANCE(""RUBKZT"")*1000/F87"),5041075.762392)</f>
        <v>5041075.7623920003</v>
      </c>
      <c r="V87" s="27">
        <f t="shared" ca="1" si="6"/>
        <v>0.22154889451413817</v>
      </c>
    </row>
    <row r="88" spans="1:22" ht="12.75" customHeight="1" x14ac:dyDescent="0.2">
      <c r="A88" s="6" t="s">
        <v>517</v>
      </c>
      <c r="B88" s="6" t="s">
        <v>488</v>
      </c>
      <c r="C88" s="7">
        <v>213850</v>
      </c>
      <c r="D88" s="8">
        <v>6158.4</v>
      </c>
      <c r="E88" s="9" t="s">
        <v>16</v>
      </c>
      <c r="F88" s="23">
        <v>12</v>
      </c>
      <c r="G88" s="25"/>
      <c r="H88" s="14">
        <f t="shared" si="0"/>
        <v>0.55000000000000004</v>
      </c>
      <c r="I88" s="25">
        <f ca="1">IFERROR(__xludf.DUMMYFUNCTION("ROUND(D88*GOOGLEFINANCE(""RUBKZT"")*H88)"),26431)</f>
        <v>26431</v>
      </c>
      <c r="J88" s="26">
        <f ca="1">IFERROR(__xludf.DUMMYFUNCTION("ROUND(I88*GOOGLEFINANCE(""KZTEUR""))"),55)</f>
        <v>55</v>
      </c>
      <c r="K88" s="26">
        <f t="shared" ca="1" si="1"/>
        <v>4583</v>
      </c>
      <c r="L88" s="26">
        <f t="shared" ca="1" si="2"/>
        <v>870.77</v>
      </c>
      <c r="M88" s="26">
        <f t="shared" ref="M88:N88" si="90">M$3</f>
        <v>500</v>
      </c>
      <c r="N88" s="26">
        <f t="shared" si="90"/>
        <v>500</v>
      </c>
      <c r="O88" s="26">
        <f ca="1">IFERROR(__xludf.DUMMYFUNCTION("ROUND(GOOGLEFINANCE(""Currency:EURKZT"")*K88)"),2188702)</f>
        <v>2188702</v>
      </c>
      <c r="P88" s="26">
        <f ca="1">IFERROR(__xludf.DUMMYFUNCTION("ROUND(GOOGLEFINANCE(""Currency:EURKZT"")*M88)"),238785)</f>
        <v>238785</v>
      </c>
      <c r="Q88" s="26">
        <f ca="1">IFERROR(__xludf.DUMMYFUNCTION("ROUND(GOOGLEFINANCE(""Currency:EURKZT"")*N88)"),238785)</f>
        <v>238785</v>
      </c>
      <c r="R88" s="26">
        <f t="shared" ca="1" si="4"/>
        <v>262644</v>
      </c>
      <c r="S88" s="26">
        <f t="shared" ca="1" si="5"/>
        <v>2928916</v>
      </c>
      <c r="T88" s="26">
        <f ca="1">IFERROR(__xludf.DUMMYFUNCTION("ROUND(GOOGLEFINANCE(""Currency:EURKZT"")*L88+S88)"),3344769)</f>
        <v>3344769</v>
      </c>
      <c r="U88" s="26">
        <f ca="1">IFERROR(__xludf.DUMMYFUNCTION("D88*GOOGLEFINANCE(""RUBKZT"")*1000/F88"),4004767.9276464)</f>
        <v>4004767.9276463999</v>
      </c>
      <c r="V88" s="27">
        <f t="shared" ca="1" si="6"/>
        <v>0.19732272322734393</v>
      </c>
    </row>
    <row r="89" spans="1:22" ht="12.75" customHeight="1" x14ac:dyDescent="0.2">
      <c r="A89" s="6" t="s">
        <v>518</v>
      </c>
      <c r="B89" s="6" t="s">
        <v>488</v>
      </c>
      <c r="C89" s="7">
        <v>213861</v>
      </c>
      <c r="D89" s="8">
        <v>8941.1999999999989</v>
      </c>
      <c r="E89" s="9" t="s">
        <v>7</v>
      </c>
      <c r="F89" s="23">
        <v>12</v>
      </c>
      <c r="G89" s="25"/>
      <c r="H89" s="14">
        <f t="shared" si="0"/>
        <v>0.55000000000000004</v>
      </c>
      <c r="I89" s="25">
        <f ca="1">IFERROR(__xludf.DUMMYFUNCTION("ROUND(D89*GOOGLEFINANCE(""RUBKZT"")*H89)"),38375)</f>
        <v>38375</v>
      </c>
      <c r="J89" s="26">
        <f ca="1">IFERROR(__xludf.DUMMYFUNCTION("ROUND(I89*GOOGLEFINANCE(""KZTEUR""))"),80)</f>
        <v>80</v>
      </c>
      <c r="K89" s="26">
        <f t="shared" ca="1" si="1"/>
        <v>6667</v>
      </c>
      <c r="L89" s="26">
        <f t="shared" ca="1" si="2"/>
        <v>1266.73</v>
      </c>
      <c r="M89" s="26">
        <f t="shared" ref="M89:N89" si="91">M$3</f>
        <v>500</v>
      </c>
      <c r="N89" s="26">
        <f t="shared" si="91"/>
        <v>500</v>
      </c>
      <c r="O89" s="26">
        <f ca="1">IFERROR(__xludf.DUMMYFUNCTION("ROUND(GOOGLEFINANCE(""Currency:EURKZT"")*K89)"),3183957)</f>
        <v>3183957</v>
      </c>
      <c r="P89" s="26">
        <f ca="1">IFERROR(__xludf.DUMMYFUNCTION("ROUND(GOOGLEFINANCE(""Currency:EURKZT"")*M89)"),238785)</f>
        <v>238785</v>
      </c>
      <c r="Q89" s="26">
        <f ca="1">IFERROR(__xludf.DUMMYFUNCTION("ROUND(GOOGLEFINANCE(""Currency:EURKZT"")*N89)"),238785)</f>
        <v>238785</v>
      </c>
      <c r="R89" s="26">
        <f t="shared" ca="1" si="4"/>
        <v>382075</v>
      </c>
      <c r="S89" s="26">
        <f t="shared" ca="1" si="5"/>
        <v>4043602</v>
      </c>
      <c r="T89" s="26">
        <f ca="1">IFERROR(__xludf.DUMMYFUNCTION("ROUND(GOOGLEFINANCE(""Currency:EURKZT"")*L89+S89)"),4648554)</f>
        <v>4648554</v>
      </c>
      <c r="U89" s="26">
        <f ca="1">IFERROR(__xludf.DUMMYFUNCTION("D89*GOOGLEFINANCE(""RUBKZT"")*1000/F89"),5814404.87702519)</f>
        <v>5814404.8770251898</v>
      </c>
      <c r="V89" s="27">
        <f t="shared" ca="1" si="6"/>
        <v>0.25079860899221346</v>
      </c>
    </row>
    <row r="90" spans="1:22" ht="12.75" customHeight="1" x14ac:dyDescent="0.2">
      <c r="A90" s="6" t="s">
        <v>520</v>
      </c>
      <c r="B90" s="6" t="s">
        <v>488</v>
      </c>
      <c r="C90" s="7">
        <v>213862</v>
      </c>
      <c r="D90" s="8">
        <v>11283.6</v>
      </c>
      <c r="E90" s="9" t="s">
        <v>7</v>
      </c>
      <c r="F90" s="23">
        <v>12</v>
      </c>
      <c r="G90" s="25"/>
      <c r="H90" s="14">
        <f t="shared" si="0"/>
        <v>0.55000000000000004</v>
      </c>
      <c r="I90" s="25">
        <f ca="1">IFERROR(__xludf.DUMMYFUNCTION("ROUND(D90*GOOGLEFINANCE(""RUBKZT"")*H90)"),48429)</f>
        <v>48429</v>
      </c>
      <c r="J90" s="26">
        <f ca="1">IFERROR(__xludf.DUMMYFUNCTION("ROUND(I90*GOOGLEFINANCE(""KZTEUR""))"),101)</f>
        <v>101</v>
      </c>
      <c r="K90" s="26">
        <f t="shared" ca="1" si="1"/>
        <v>8417</v>
      </c>
      <c r="L90" s="26">
        <f t="shared" ca="1" si="2"/>
        <v>1599.23</v>
      </c>
      <c r="M90" s="26">
        <f t="shared" ref="M90:N90" si="92">M$3</f>
        <v>500</v>
      </c>
      <c r="N90" s="26">
        <f t="shared" si="92"/>
        <v>500</v>
      </c>
      <c r="O90" s="26">
        <f ca="1">IFERROR(__xludf.DUMMYFUNCTION("ROUND(GOOGLEFINANCE(""Currency:EURKZT"")*K90)"),4019703)</f>
        <v>4019703</v>
      </c>
      <c r="P90" s="26">
        <f ca="1">IFERROR(__xludf.DUMMYFUNCTION("ROUND(GOOGLEFINANCE(""Currency:EURKZT"")*M90)"),238785)</f>
        <v>238785</v>
      </c>
      <c r="Q90" s="26">
        <f ca="1">IFERROR(__xludf.DUMMYFUNCTION("ROUND(GOOGLEFINANCE(""Currency:EURKZT"")*N90)"),238785)</f>
        <v>238785</v>
      </c>
      <c r="R90" s="26">
        <f t="shared" ca="1" si="4"/>
        <v>482364</v>
      </c>
      <c r="S90" s="26">
        <f t="shared" ca="1" si="5"/>
        <v>4979637</v>
      </c>
      <c r="T90" s="26">
        <f ca="1">IFERROR(__xludf.DUMMYFUNCTION("ROUND(GOOGLEFINANCE(""Currency:EURKZT"")*L90+S90)"),5743381)</f>
        <v>5743381</v>
      </c>
      <c r="U90" s="26">
        <f ca="1">IFERROR(__xludf.DUMMYFUNCTION("D90*GOOGLEFINANCE(""RUBKZT"")*1000/F90"),7337652.5377356)</f>
        <v>7337652.5377356</v>
      </c>
      <c r="V90" s="27">
        <f t="shared" ca="1" si="6"/>
        <v>0.27758415082259041</v>
      </c>
    </row>
    <row r="91" spans="1:22" ht="12.75" customHeight="1" x14ac:dyDescent="0.2">
      <c r="A91" s="6" t="s">
        <v>521</v>
      </c>
      <c r="B91" s="6" t="s">
        <v>488</v>
      </c>
      <c r="C91" s="7">
        <v>213863</v>
      </c>
      <c r="D91" s="8">
        <v>7818</v>
      </c>
      <c r="E91" s="9" t="s">
        <v>7</v>
      </c>
      <c r="F91" s="23">
        <v>12</v>
      </c>
      <c r="G91" s="25"/>
      <c r="H91" s="14">
        <f t="shared" si="0"/>
        <v>0.55000000000000004</v>
      </c>
      <c r="I91" s="25">
        <f ca="1">IFERROR(__xludf.DUMMYFUNCTION("ROUND(D91*GOOGLEFINANCE(""RUBKZT"")*H91)"),33554)</f>
        <v>33554</v>
      </c>
      <c r="J91" s="26">
        <f ca="1">IFERROR(__xludf.DUMMYFUNCTION("ROUND(I91*GOOGLEFINANCE(""KZTEUR""))"),70)</f>
        <v>70</v>
      </c>
      <c r="K91" s="26">
        <f t="shared" ca="1" si="1"/>
        <v>5833</v>
      </c>
      <c r="L91" s="26">
        <f t="shared" ca="1" si="2"/>
        <v>1108.27</v>
      </c>
      <c r="M91" s="26">
        <f t="shared" ref="M91:N91" si="93">M$3</f>
        <v>500</v>
      </c>
      <c r="N91" s="26">
        <f t="shared" si="93"/>
        <v>500</v>
      </c>
      <c r="O91" s="26">
        <f ca="1">IFERROR(__xludf.DUMMYFUNCTION("ROUND(GOOGLEFINANCE(""Currency:EURKZT"")*K91)"),2785664)</f>
        <v>2785664</v>
      </c>
      <c r="P91" s="26">
        <f ca="1">IFERROR(__xludf.DUMMYFUNCTION("ROUND(GOOGLEFINANCE(""Currency:EURKZT"")*M91)"),238785)</f>
        <v>238785</v>
      </c>
      <c r="Q91" s="26">
        <f ca="1">IFERROR(__xludf.DUMMYFUNCTION("ROUND(GOOGLEFINANCE(""Currency:EURKZT"")*N91)"),238785)</f>
        <v>238785</v>
      </c>
      <c r="R91" s="26">
        <f t="shared" ca="1" si="4"/>
        <v>334280</v>
      </c>
      <c r="S91" s="26">
        <f t="shared" ca="1" si="5"/>
        <v>3597514</v>
      </c>
      <c r="T91" s="26">
        <f ca="1">IFERROR(__xludf.DUMMYFUNCTION("ROUND(GOOGLEFINANCE(""Currency:EURKZT"")*L91+S91)"),4126790)</f>
        <v>4126790</v>
      </c>
      <c r="U91" s="26">
        <f ca="1">IFERROR(__xludf.DUMMYFUNCTION("D91*GOOGLEFINANCE(""RUBKZT"")*1000/F91"),5083995.138078)</f>
        <v>5083995.1380780004</v>
      </c>
      <c r="V91" s="27">
        <f t="shared" ca="1" si="6"/>
        <v>0.23194907860055888</v>
      </c>
    </row>
    <row r="92" spans="1:22" ht="12.75" customHeight="1" x14ac:dyDescent="0.2">
      <c r="A92" s="6" t="s">
        <v>522</v>
      </c>
      <c r="B92" s="6" t="s">
        <v>488</v>
      </c>
      <c r="C92" s="7">
        <v>213864</v>
      </c>
      <c r="D92" s="8">
        <v>7622.4</v>
      </c>
      <c r="E92" s="9" t="s">
        <v>7</v>
      </c>
      <c r="F92" s="23">
        <v>12</v>
      </c>
      <c r="G92" s="25"/>
      <c r="H92" s="14">
        <f t="shared" si="0"/>
        <v>0.55000000000000004</v>
      </c>
      <c r="I92" s="25">
        <f ca="1">IFERROR(__xludf.DUMMYFUNCTION("ROUND(D92*GOOGLEFINANCE(""RUBKZT"")*H92)"),32715)</f>
        <v>32715</v>
      </c>
      <c r="J92" s="26">
        <f ca="1">IFERROR(__xludf.DUMMYFUNCTION("ROUND(I92*GOOGLEFINANCE(""KZTEUR""))"),69)</f>
        <v>69</v>
      </c>
      <c r="K92" s="26">
        <f t="shared" ca="1" si="1"/>
        <v>5750</v>
      </c>
      <c r="L92" s="26">
        <f t="shared" ca="1" si="2"/>
        <v>1092.5</v>
      </c>
      <c r="M92" s="26">
        <f t="shared" ref="M92:N92" si="94">M$3</f>
        <v>500</v>
      </c>
      <c r="N92" s="26">
        <f t="shared" si="94"/>
        <v>500</v>
      </c>
      <c r="O92" s="26">
        <f ca="1">IFERROR(__xludf.DUMMYFUNCTION("ROUND(GOOGLEFINANCE(""Currency:EURKZT"")*K92)"),2746025)</f>
        <v>2746025</v>
      </c>
      <c r="P92" s="26">
        <f ca="1">IFERROR(__xludf.DUMMYFUNCTION("ROUND(GOOGLEFINANCE(""Currency:EURKZT"")*M92)"),238785)</f>
        <v>238785</v>
      </c>
      <c r="Q92" s="26">
        <f ca="1">IFERROR(__xludf.DUMMYFUNCTION("ROUND(GOOGLEFINANCE(""Currency:EURKZT"")*N92)"),238785)</f>
        <v>238785</v>
      </c>
      <c r="R92" s="26">
        <f t="shared" ca="1" si="4"/>
        <v>329523</v>
      </c>
      <c r="S92" s="26">
        <f t="shared" ca="1" si="5"/>
        <v>3553118</v>
      </c>
      <c r="T92" s="26">
        <f ca="1">IFERROR(__xludf.DUMMYFUNCTION("ROUND(GOOGLEFINANCE(""Currency:EURKZT"")*L92+S92)"),4074863)</f>
        <v>4074863</v>
      </c>
      <c r="U92" s="26">
        <f ca="1">IFERROR(__xludf.DUMMYFUNCTION("D92*GOOGLEFINANCE(""RUBKZT"")*1000/F92"),4956797.7155904)</f>
        <v>4956797.7155903997</v>
      </c>
      <c r="V92" s="27">
        <f t="shared" ca="1" si="6"/>
        <v>0.21643297347429832</v>
      </c>
    </row>
    <row r="93" spans="1:22" ht="12.75" customHeight="1" x14ac:dyDescent="0.2">
      <c r="A93" s="6" t="s">
        <v>523</v>
      </c>
      <c r="B93" s="6" t="s">
        <v>488</v>
      </c>
      <c r="C93" s="7">
        <v>213866</v>
      </c>
      <c r="D93" s="8">
        <v>5952</v>
      </c>
      <c r="E93" s="9" t="s">
        <v>7</v>
      </c>
      <c r="F93" s="23">
        <v>12</v>
      </c>
      <c r="G93" s="25"/>
      <c r="H93" s="14">
        <f t="shared" si="0"/>
        <v>0.55000000000000004</v>
      </c>
      <c r="I93" s="25">
        <f ca="1">IFERROR(__xludf.DUMMYFUNCTION("ROUND(D93*GOOGLEFINANCE(""RUBKZT"")*H93)"),25546)</f>
        <v>25546</v>
      </c>
      <c r="J93" s="26">
        <f ca="1">IFERROR(__xludf.DUMMYFUNCTION("ROUND(I93*GOOGLEFINANCE(""KZTEUR""))"),54)</f>
        <v>54</v>
      </c>
      <c r="K93" s="26">
        <f t="shared" ca="1" si="1"/>
        <v>4500</v>
      </c>
      <c r="L93" s="26">
        <f t="shared" ca="1" si="2"/>
        <v>855</v>
      </c>
      <c r="M93" s="26">
        <f t="shared" ref="M93:N93" si="95">M$3</f>
        <v>500</v>
      </c>
      <c r="N93" s="26">
        <f t="shared" si="95"/>
        <v>500</v>
      </c>
      <c r="O93" s="26">
        <f ca="1">IFERROR(__xludf.DUMMYFUNCTION("ROUND(GOOGLEFINANCE(""Currency:EURKZT"")*K93)"),2149063)</f>
        <v>2149063</v>
      </c>
      <c r="P93" s="26">
        <f ca="1">IFERROR(__xludf.DUMMYFUNCTION("ROUND(GOOGLEFINANCE(""Currency:EURKZT"")*M93)"),238785)</f>
        <v>238785</v>
      </c>
      <c r="Q93" s="26">
        <f ca="1">IFERROR(__xludf.DUMMYFUNCTION("ROUND(GOOGLEFINANCE(""Currency:EURKZT"")*N93)"),238785)</f>
        <v>238785</v>
      </c>
      <c r="R93" s="26">
        <f t="shared" ca="1" si="4"/>
        <v>257888</v>
      </c>
      <c r="S93" s="26">
        <f t="shared" ca="1" si="5"/>
        <v>2884521</v>
      </c>
      <c r="T93" s="26">
        <f ca="1">IFERROR(__xludf.DUMMYFUNCTION("ROUND(GOOGLEFINANCE(""Currency:EURKZT"")*L93+S93)"),3292843)</f>
        <v>3292843</v>
      </c>
      <c r="U93" s="26">
        <f ca="1">IFERROR(__xludf.DUMMYFUNCTION("D93*GOOGLEFINANCE(""RUBKZT"")*1000/F93"),3870547.334592)</f>
        <v>3870547.3345920001</v>
      </c>
      <c r="V93" s="27">
        <f t="shared" ca="1" si="6"/>
        <v>0.1754424169606629</v>
      </c>
    </row>
    <row r="94" spans="1:22" ht="12.75" customHeight="1" x14ac:dyDescent="0.2">
      <c r="A94" s="6" t="s">
        <v>524</v>
      </c>
      <c r="B94" s="6" t="s">
        <v>488</v>
      </c>
      <c r="C94" s="7">
        <v>213867</v>
      </c>
      <c r="D94" s="8">
        <v>7720.7999999999993</v>
      </c>
      <c r="E94" s="9" t="s">
        <v>7</v>
      </c>
      <c r="F94" s="23">
        <v>12</v>
      </c>
      <c r="G94" s="25"/>
      <c r="H94" s="14">
        <f t="shared" si="0"/>
        <v>0.55000000000000004</v>
      </c>
      <c r="I94" s="25">
        <f ca="1">IFERROR(__xludf.DUMMYFUNCTION("ROUND(D94*GOOGLEFINANCE(""RUBKZT"")*H94)"),33137)</f>
        <v>33137</v>
      </c>
      <c r="J94" s="26">
        <f ca="1">IFERROR(__xludf.DUMMYFUNCTION("ROUND(I94*GOOGLEFINANCE(""KZTEUR""))"),69)</f>
        <v>69</v>
      </c>
      <c r="K94" s="26">
        <f t="shared" ca="1" si="1"/>
        <v>5750</v>
      </c>
      <c r="L94" s="26">
        <f t="shared" ca="1" si="2"/>
        <v>1092.5</v>
      </c>
      <c r="M94" s="26">
        <f t="shared" ref="M94:N94" si="96">M$3</f>
        <v>500</v>
      </c>
      <c r="N94" s="26">
        <f t="shared" si="96"/>
        <v>500</v>
      </c>
      <c r="O94" s="26">
        <f ca="1">IFERROR(__xludf.DUMMYFUNCTION("ROUND(GOOGLEFINANCE(""Currency:EURKZT"")*K94)"),2746025)</f>
        <v>2746025</v>
      </c>
      <c r="P94" s="26">
        <f ca="1">IFERROR(__xludf.DUMMYFUNCTION("ROUND(GOOGLEFINANCE(""Currency:EURKZT"")*M94)"),238785)</f>
        <v>238785</v>
      </c>
      <c r="Q94" s="26">
        <f ca="1">IFERROR(__xludf.DUMMYFUNCTION("ROUND(GOOGLEFINANCE(""Currency:EURKZT"")*N94)"),238785)</f>
        <v>238785</v>
      </c>
      <c r="R94" s="26">
        <f t="shared" ca="1" si="4"/>
        <v>329523</v>
      </c>
      <c r="S94" s="26">
        <f t="shared" ca="1" si="5"/>
        <v>3553118</v>
      </c>
      <c r="T94" s="26">
        <f ca="1">IFERROR(__xludf.DUMMYFUNCTION("ROUND(GOOGLEFINANCE(""Currency:EURKZT"")*L94+S94)"),4074863)</f>
        <v>4074863</v>
      </c>
      <c r="U94" s="26">
        <f ca="1">IFERROR(__xludf.DUMMYFUNCTION("D94*GOOGLEFINANCE(""RUBKZT"")*1000/F94"),5020786.6029768)</f>
        <v>5020786.6029767999</v>
      </c>
      <c r="V94" s="27">
        <f t="shared" ca="1" si="6"/>
        <v>0.23213629586486709</v>
      </c>
    </row>
    <row r="95" spans="1:22" ht="12.75" customHeight="1" x14ac:dyDescent="0.2">
      <c r="A95" s="6" t="s">
        <v>525</v>
      </c>
      <c r="B95" s="6" t="s">
        <v>488</v>
      </c>
      <c r="C95" s="7">
        <v>213868</v>
      </c>
      <c r="D95" s="8">
        <v>9714</v>
      </c>
      <c r="E95" s="9" t="s">
        <v>7</v>
      </c>
      <c r="F95" s="23">
        <v>12</v>
      </c>
      <c r="G95" s="25"/>
      <c r="H95" s="14">
        <f t="shared" si="0"/>
        <v>0.55000000000000004</v>
      </c>
      <c r="I95" s="25">
        <f ca="1">IFERROR(__xludf.DUMMYFUNCTION("ROUND(D95*GOOGLEFINANCE(""RUBKZT"")*H95)"),41692)</f>
        <v>41692</v>
      </c>
      <c r="J95" s="26">
        <f ca="1">IFERROR(__xludf.DUMMYFUNCTION("ROUND(I95*GOOGLEFINANCE(""KZTEUR""))"),87)</f>
        <v>87</v>
      </c>
      <c r="K95" s="26">
        <f t="shared" ca="1" si="1"/>
        <v>7250</v>
      </c>
      <c r="L95" s="26">
        <f t="shared" ca="1" si="2"/>
        <v>1377.5</v>
      </c>
      <c r="M95" s="26">
        <f t="shared" ref="M95:N95" si="97">M$3</f>
        <v>500</v>
      </c>
      <c r="N95" s="26">
        <f t="shared" si="97"/>
        <v>500</v>
      </c>
      <c r="O95" s="26">
        <f ca="1">IFERROR(__xludf.DUMMYFUNCTION("ROUND(GOOGLEFINANCE(""Currency:EURKZT"")*K95)"),3462380)</f>
        <v>3462380</v>
      </c>
      <c r="P95" s="26">
        <f ca="1">IFERROR(__xludf.DUMMYFUNCTION("ROUND(GOOGLEFINANCE(""Currency:EURKZT"")*M95)"),238785)</f>
        <v>238785</v>
      </c>
      <c r="Q95" s="26">
        <f ca="1">IFERROR(__xludf.DUMMYFUNCTION("ROUND(GOOGLEFINANCE(""Currency:EURKZT"")*N95)"),238785)</f>
        <v>238785</v>
      </c>
      <c r="R95" s="26">
        <f t="shared" ca="1" si="4"/>
        <v>415486</v>
      </c>
      <c r="S95" s="26">
        <f t="shared" ca="1" si="5"/>
        <v>4355436</v>
      </c>
      <c r="T95" s="26">
        <f ca="1">IFERROR(__xludf.DUMMYFUNCTION("ROUND(GOOGLEFINANCE(""Currency:EURKZT"")*L95+S95)"),5013288)</f>
        <v>5013288</v>
      </c>
      <c r="U95" s="26">
        <f ca="1">IFERROR(__xludf.DUMMYFUNCTION("D95*GOOGLEFINANCE(""RUBKZT"")*1000/F95"),6316951.748694)</f>
        <v>6316951.7486939998</v>
      </c>
      <c r="V95" s="27">
        <f t="shared" ca="1" si="6"/>
        <v>0.26004166301517084</v>
      </c>
    </row>
    <row r="96" spans="1:22" ht="12.75" customHeight="1" x14ac:dyDescent="0.2">
      <c r="A96" s="6" t="s">
        <v>527</v>
      </c>
      <c r="B96" s="6" t="s">
        <v>488</v>
      </c>
      <c r="C96" s="7">
        <v>213870</v>
      </c>
      <c r="D96" s="8">
        <v>6693.5999999999995</v>
      </c>
      <c r="E96" s="9" t="s">
        <v>7</v>
      </c>
      <c r="F96" s="23">
        <v>12</v>
      </c>
      <c r="G96" s="25"/>
      <c r="H96" s="14">
        <f t="shared" si="0"/>
        <v>0.55000000000000004</v>
      </c>
      <c r="I96" s="25">
        <f ca="1">IFERROR(__xludf.DUMMYFUNCTION("ROUND(D96*GOOGLEFINANCE(""RUBKZT"")*H96)"),28729)</f>
        <v>28729</v>
      </c>
      <c r="J96" s="26">
        <f ca="1">IFERROR(__xludf.DUMMYFUNCTION("ROUND(I96*GOOGLEFINANCE(""KZTEUR""))"),60)</f>
        <v>60</v>
      </c>
      <c r="K96" s="26">
        <f t="shared" ca="1" si="1"/>
        <v>5000</v>
      </c>
      <c r="L96" s="26">
        <f t="shared" ca="1" si="2"/>
        <v>950</v>
      </c>
      <c r="M96" s="26">
        <f t="shared" ref="M96:N96" si="98">M$3</f>
        <v>500</v>
      </c>
      <c r="N96" s="26">
        <f t="shared" si="98"/>
        <v>500</v>
      </c>
      <c r="O96" s="26">
        <f ca="1">IFERROR(__xludf.DUMMYFUNCTION("ROUND(GOOGLEFINANCE(""Currency:EURKZT"")*K96)"),2387848)</f>
        <v>2387848</v>
      </c>
      <c r="P96" s="26">
        <f ca="1">IFERROR(__xludf.DUMMYFUNCTION("ROUND(GOOGLEFINANCE(""Currency:EURKZT"")*M96)"),238785)</f>
        <v>238785</v>
      </c>
      <c r="Q96" s="26">
        <f ca="1">IFERROR(__xludf.DUMMYFUNCTION("ROUND(GOOGLEFINANCE(""Currency:EURKZT"")*N96)"),238785)</f>
        <v>238785</v>
      </c>
      <c r="R96" s="26">
        <f t="shared" ca="1" si="4"/>
        <v>286542</v>
      </c>
      <c r="S96" s="26">
        <f t="shared" ca="1" si="5"/>
        <v>3151960</v>
      </c>
      <c r="T96" s="26">
        <f ca="1">IFERROR(__xludf.DUMMYFUNCTION("ROUND(GOOGLEFINANCE(""Currency:EURKZT"")*L96+S96)"),3605651)</f>
        <v>3605651</v>
      </c>
      <c r="U96" s="26">
        <f ca="1">IFERROR(__xludf.DUMMYFUNCTION("D96*GOOGLEFINANCE(""RUBKZT"")*1000/F96"),4352805.0468456)</f>
        <v>4352805.0468456</v>
      </c>
      <c r="V96" s="27">
        <f t="shared" ca="1" si="6"/>
        <v>0.20721751684941223</v>
      </c>
    </row>
    <row r="97" spans="1:22" ht="12.75" customHeight="1" x14ac:dyDescent="0.2">
      <c r="A97" s="6" t="s">
        <v>528</v>
      </c>
      <c r="B97" s="6" t="s">
        <v>488</v>
      </c>
      <c r="C97" s="7">
        <v>213871</v>
      </c>
      <c r="D97" s="8">
        <v>12736.8</v>
      </c>
      <c r="E97" s="9" t="s">
        <v>7</v>
      </c>
      <c r="F97" s="23">
        <v>12</v>
      </c>
      <c r="G97" s="25"/>
      <c r="H97" s="14">
        <f t="shared" si="0"/>
        <v>0.55000000000000004</v>
      </c>
      <c r="I97" s="25">
        <f ca="1">IFERROR(__xludf.DUMMYFUNCTION("ROUND(D97*GOOGLEFINANCE(""RUBKZT"")*H97)"),54666)</f>
        <v>54666</v>
      </c>
      <c r="J97" s="26">
        <f ca="1">IFERROR(__xludf.DUMMYFUNCTION("ROUND(I97*GOOGLEFINANCE(""KZTEUR""))"),114)</f>
        <v>114</v>
      </c>
      <c r="K97" s="26">
        <f t="shared" ca="1" si="1"/>
        <v>9500</v>
      </c>
      <c r="L97" s="26">
        <f t="shared" ca="1" si="2"/>
        <v>1805</v>
      </c>
      <c r="M97" s="26">
        <f t="shared" ref="M97:N97" si="99">M$3</f>
        <v>500</v>
      </c>
      <c r="N97" s="26">
        <f t="shared" si="99"/>
        <v>500</v>
      </c>
      <c r="O97" s="26">
        <f ca="1">IFERROR(__xludf.DUMMYFUNCTION("ROUND(GOOGLEFINANCE(""Currency:EURKZT"")*K97)"),4536911)</f>
        <v>4536911</v>
      </c>
      <c r="P97" s="26">
        <f ca="1">IFERROR(__xludf.DUMMYFUNCTION("ROUND(GOOGLEFINANCE(""Currency:EURKZT"")*M97)"),238785)</f>
        <v>238785</v>
      </c>
      <c r="Q97" s="26">
        <f ca="1">IFERROR(__xludf.DUMMYFUNCTION("ROUND(GOOGLEFINANCE(""Currency:EURKZT"")*N97)"),238785)</f>
        <v>238785</v>
      </c>
      <c r="R97" s="26">
        <f t="shared" ca="1" si="4"/>
        <v>544429</v>
      </c>
      <c r="S97" s="26">
        <f t="shared" ca="1" si="5"/>
        <v>5558910</v>
      </c>
      <c r="T97" s="26">
        <f ca="1">IFERROR(__xludf.DUMMYFUNCTION("ROUND(GOOGLEFINANCE(""Currency:EURKZT"")*L97+S97)"),6420923)</f>
        <v>6420923</v>
      </c>
      <c r="U97" s="26">
        <f ca="1">IFERROR(__xludf.DUMMYFUNCTION("D97*GOOGLEFINANCE(""RUBKZT"")*1000/F97"),8282659.1551128)</f>
        <v>8282659.1551128002</v>
      </c>
      <c r="V97" s="27">
        <f t="shared" ca="1" si="6"/>
        <v>0.28994836958997955</v>
      </c>
    </row>
    <row r="98" spans="1:22" ht="12.75" customHeight="1" x14ac:dyDescent="0.2">
      <c r="A98" s="6" t="s">
        <v>529</v>
      </c>
      <c r="B98" s="6" t="s">
        <v>488</v>
      </c>
      <c r="C98" s="7">
        <v>213872</v>
      </c>
      <c r="D98" s="8">
        <v>10351.199999999999</v>
      </c>
      <c r="E98" s="9" t="s">
        <v>7</v>
      </c>
      <c r="F98" s="23">
        <v>12</v>
      </c>
      <c r="G98" s="25"/>
      <c r="H98" s="14">
        <f t="shared" si="0"/>
        <v>0.55000000000000004</v>
      </c>
      <c r="I98" s="25">
        <f ca="1">IFERROR(__xludf.DUMMYFUNCTION("ROUND(D98*GOOGLEFINANCE(""RUBKZT"")*H98)"),44427)</f>
        <v>44427</v>
      </c>
      <c r="J98" s="26">
        <f ca="1">IFERROR(__xludf.DUMMYFUNCTION("ROUND(I98*GOOGLEFINANCE(""KZTEUR""))"),93)</f>
        <v>93</v>
      </c>
      <c r="K98" s="26">
        <f t="shared" ca="1" si="1"/>
        <v>7750</v>
      </c>
      <c r="L98" s="26">
        <f t="shared" ca="1" si="2"/>
        <v>1472.5</v>
      </c>
      <c r="M98" s="26">
        <f t="shared" ref="M98:N98" si="100">M$3</f>
        <v>500</v>
      </c>
      <c r="N98" s="26">
        <f t="shared" si="100"/>
        <v>500</v>
      </c>
      <c r="O98" s="26">
        <f ca="1">IFERROR(__xludf.DUMMYFUNCTION("ROUND(GOOGLEFINANCE(""Currency:EURKZT"")*K98)"),3701165)</f>
        <v>3701165</v>
      </c>
      <c r="P98" s="26">
        <f ca="1">IFERROR(__xludf.DUMMYFUNCTION("ROUND(GOOGLEFINANCE(""Currency:EURKZT"")*M98)"),238785)</f>
        <v>238785</v>
      </c>
      <c r="Q98" s="26">
        <f ca="1">IFERROR(__xludf.DUMMYFUNCTION("ROUND(GOOGLEFINANCE(""Currency:EURKZT"")*N98)"),238785)</f>
        <v>238785</v>
      </c>
      <c r="R98" s="26">
        <f t="shared" ca="1" si="4"/>
        <v>444140</v>
      </c>
      <c r="S98" s="26">
        <f t="shared" ca="1" si="5"/>
        <v>4622875</v>
      </c>
      <c r="T98" s="26">
        <f ca="1">IFERROR(__xludf.DUMMYFUNCTION("ROUND(GOOGLEFINANCE(""Currency:EURKZT"")*L98+S98)"),5326096)</f>
        <v>5326096</v>
      </c>
      <c r="U98" s="26">
        <f ca="1">IFERROR(__xludf.DUMMYFUNCTION("D98*GOOGLEFINANCE(""RUBKZT"")*1000/F98"),6731318.8121352)</f>
        <v>6731318.8121352</v>
      </c>
      <c r="V98" s="27">
        <f t="shared" ca="1" si="6"/>
        <v>0.26383730449755316</v>
      </c>
    </row>
    <row r="99" spans="1:22" ht="12.75" customHeight="1" x14ac:dyDescent="0.2">
      <c r="A99" s="6" t="s">
        <v>530</v>
      </c>
      <c r="B99" s="6" t="s">
        <v>488</v>
      </c>
      <c r="C99" s="7">
        <v>213873</v>
      </c>
      <c r="D99" s="8">
        <v>10483.199999999999</v>
      </c>
      <c r="E99" s="9" t="s">
        <v>7</v>
      </c>
      <c r="F99" s="23">
        <v>12</v>
      </c>
      <c r="G99" s="25"/>
      <c r="H99" s="14">
        <f t="shared" si="0"/>
        <v>0.55000000000000004</v>
      </c>
      <c r="I99" s="25">
        <f ca="1">IFERROR(__xludf.DUMMYFUNCTION("ROUND(D99*GOOGLEFINANCE(""RUBKZT"")*H99)"),44993)</f>
        <v>44993</v>
      </c>
      <c r="J99" s="26">
        <f ca="1">IFERROR(__xludf.DUMMYFUNCTION("ROUND(I99*GOOGLEFINANCE(""KZTEUR""))"),94)</f>
        <v>94</v>
      </c>
      <c r="K99" s="26">
        <f t="shared" ca="1" si="1"/>
        <v>7833</v>
      </c>
      <c r="L99" s="26">
        <f t="shared" ca="1" si="2"/>
        <v>1488.27</v>
      </c>
      <c r="M99" s="26">
        <f t="shared" ref="M99:N99" si="101">M$3</f>
        <v>500</v>
      </c>
      <c r="N99" s="26">
        <f t="shared" si="101"/>
        <v>500</v>
      </c>
      <c r="O99" s="26">
        <f ca="1">IFERROR(__xludf.DUMMYFUNCTION("ROUND(GOOGLEFINANCE(""Currency:EURKZT"")*K99)"),3740803)</f>
        <v>3740803</v>
      </c>
      <c r="P99" s="26">
        <f ca="1">IFERROR(__xludf.DUMMYFUNCTION("ROUND(GOOGLEFINANCE(""Currency:EURKZT"")*M99)"),238785)</f>
        <v>238785</v>
      </c>
      <c r="Q99" s="26">
        <f ca="1">IFERROR(__xludf.DUMMYFUNCTION("ROUND(GOOGLEFINANCE(""Currency:EURKZT"")*N99)"),238785)</f>
        <v>238785</v>
      </c>
      <c r="R99" s="26">
        <f t="shared" ca="1" si="4"/>
        <v>448896</v>
      </c>
      <c r="S99" s="26">
        <f t="shared" ca="1" si="5"/>
        <v>4667269</v>
      </c>
      <c r="T99" s="26">
        <f ca="1">IFERROR(__xludf.DUMMYFUNCTION("ROUND(GOOGLEFINANCE(""Currency:EURKZT"")*L99+S99)"),5378022)</f>
        <v>5378022</v>
      </c>
      <c r="U99" s="26">
        <f ca="1">IFERROR(__xludf.DUMMYFUNCTION("D99*GOOGLEFINANCE(""RUBKZT"")*1000/F99"),6817157.56350719)</f>
        <v>6817157.56350719</v>
      </c>
      <c r="V99" s="27">
        <f t="shared" ca="1" si="6"/>
        <v>0.26759570033502839</v>
      </c>
    </row>
    <row r="100" spans="1:22" ht="12.75" customHeight="1" x14ac:dyDescent="0.2">
      <c r="A100" s="6" t="s">
        <v>532</v>
      </c>
      <c r="B100" s="6" t="s">
        <v>488</v>
      </c>
      <c r="C100" s="7">
        <v>213876</v>
      </c>
      <c r="D100" s="8">
        <v>13422</v>
      </c>
      <c r="E100" s="9" t="s">
        <v>7</v>
      </c>
      <c r="F100" s="23">
        <v>12</v>
      </c>
      <c r="G100" s="25"/>
      <c r="H100" s="14">
        <f t="shared" si="0"/>
        <v>0.55000000000000004</v>
      </c>
      <c r="I100" s="25">
        <f ca="1">IFERROR(__xludf.DUMMYFUNCTION("ROUND(D100*GOOGLEFINANCE(""RUBKZT"")*H100)"),57606)</f>
        <v>57606</v>
      </c>
      <c r="J100" s="26">
        <f ca="1">IFERROR(__xludf.DUMMYFUNCTION("ROUND(I100*GOOGLEFINANCE(""KZTEUR""))"),121)</f>
        <v>121</v>
      </c>
      <c r="K100" s="26">
        <f t="shared" ca="1" si="1"/>
        <v>10083</v>
      </c>
      <c r="L100" s="26">
        <f t="shared" ca="1" si="2"/>
        <v>1915.77</v>
      </c>
      <c r="M100" s="26">
        <f t="shared" ref="M100:N100" si="102">M$3</f>
        <v>500</v>
      </c>
      <c r="N100" s="26">
        <f t="shared" si="102"/>
        <v>500</v>
      </c>
      <c r="O100" s="26">
        <f ca="1">IFERROR(__xludf.DUMMYFUNCTION("ROUND(GOOGLEFINANCE(""Currency:EURKZT"")*K100)"),4815334)</f>
        <v>4815334</v>
      </c>
      <c r="P100" s="26">
        <f ca="1">IFERROR(__xludf.DUMMYFUNCTION("ROUND(GOOGLEFINANCE(""Currency:EURKZT"")*M100)"),238785)</f>
        <v>238785</v>
      </c>
      <c r="Q100" s="26">
        <f ca="1">IFERROR(__xludf.DUMMYFUNCTION("ROUND(GOOGLEFINANCE(""Currency:EURKZT"")*N100)"),238785)</f>
        <v>238785</v>
      </c>
      <c r="R100" s="26">
        <f t="shared" ca="1" si="4"/>
        <v>577840</v>
      </c>
      <c r="S100" s="26">
        <f t="shared" ca="1" si="5"/>
        <v>5870744</v>
      </c>
      <c r="T100" s="26">
        <f ca="1">IFERROR(__xludf.DUMMYFUNCTION("ROUND(GOOGLEFINANCE(""Currency:EURKZT"")*L100+S100)"),6785658)</f>
        <v>6785658</v>
      </c>
      <c r="U100" s="26">
        <f ca="1">IFERROR(__xludf.DUMMYFUNCTION("D100*GOOGLEFINANCE(""RUBKZT"")*1000/F100"),8728240.30996199)</f>
        <v>8728240.3099619895</v>
      </c>
      <c r="V100" s="27">
        <f t="shared" ca="1" si="6"/>
        <v>0.28627766238174535</v>
      </c>
    </row>
    <row r="101" spans="1:22" ht="12.75" customHeight="1" x14ac:dyDescent="0.2">
      <c r="A101" s="6" t="s">
        <v>536</v>
      </c>
      <c r="B101" s="6" t="s">
        <v>488</v>
      </c>
      <c r="C101" s="7">
        <v>213888</v>
      </c>
      <c r="D101" s="8">
        <v>9696</v>
      </c>
      <c r="E101" s="9" t="s">
        <v>7</v>
      </c>
      <c r="F101" s="23">
        <v>12</v>
      </c>
      <c r="G101" s="24">
        <v>0.05</v>
      </c>
      <c r="H101" s="14">
        <f t="shared" si="0"/>
        <v>0.60000000000000009</v>
      </c>
      <c r="I101" s="25">
        <f ca="1">IFERROR(__xludf.DUMMYFUNCTION("ROUND(D101*GOOGLEFINANCE(""RUBKZT"")*H101)"),45398)</f>
        <v>45398</v>
      </c>
      <c r="J101" s="26">
        <f ca="1">IFERROR(__xludf.DUMMYFUNCTION("ROUND(I101*GOOGLEFINANCE(""KZTEUR""))"),95)</f>
        <v>95</v>
      </c>
      <c r="K101" s="26">
        <f t="shared" ca="1" si="1"/>
        <v>7917</v>
      </c>
      <c r="L101" s="26">
        <f t="shared" ca="1" si="2"/>
        <v>1504.23</v>
      </c>
      <c r="M101" s="26">
        <f t="shared" ref="M101:N101" si="103">M$3</f>
        <v>500</v>
      </c>
      <c r="N101" s="26">
        <f t="shared" si="103"/>
        <v>500</v>
      </c>
      <c r="O101" s="26">
        <f ca="1">IFERROR(__xludf.DUMMYFUNCTION("ROUND(GOOGLEFINANCE(""Currency:EURKZT"")*K101)"),3780919)</f>
        <v>3780919</v>
      </c>
      <c r="P101" s="26">
        <f ca="1">IFERROR(__xludf.DUMMYFUNCTION("ROUND(GOOGLEFINANCE(""Currency:EURKZT"")*M101)"),238785)</f>
        <v>238785</v>
      </c>
      <c r="Q101" s="26">
        <f ca="1">IFERROR(__xludf.DUMMYFUNCTION("ROUND(GOOGLEFINANCE(""Currency:EURKZT"")*N101)"),238785)</f>
        <v>238785</v>
      </c>
      <c r="R101" s="26">
        <f t="shared" ca="1" si="4"/>
        <v>453710</v>
      </c>
      <c r="S101" s="26">
        <f t="shared" ca="1" si="5"/>
        <v>4712199</v>
      </c>
      <c r="T101" s="26">
        <f ca="1">IFERROR(__xludf.DUMMYFUNCTION("ROUND(GOOGLEFINANCE(""Currency:EURKZT"")*L101+S101)"),5430574)</f>
        <v>5430574</v>
      </c>
      <c r="U101" s="26">
        <f ca="1">IFERROR(__xludf.DUMMYFUNCTION("D101*GOOGLEFINANCE(""RUBKZT"")*1000/F101"),6305246.464416)</f>
        <v>6305246.4644160001</v>
      </c>
      <c r="V101" s="27">
        <f t="shared" ca="1" si="6"/>
        <v>0.16106445919271151</v>
      </c>
    </row>
    <row r="102" spans="1:22" ht="12.75" customHeight="1" x14ac:dyDescent="0.2">
      <c r="A102" s="6" t="s">
        <v>534</v>
      </c>
      <c r="B102" s="6" t="s">
        <v>488</v>
      </c>
      <c r="C102" s="7">
        <v>213891</v>
      </c>
      <c r="D102" s="8">
        <v>7831.2</v>
      </c>
      <c r="E102" s="9" t="s">
        <v>7</v>
      </c>
      <c r="F102" s="23">
        <v>12</v>
      </c>
      <c r="G102" s="25"/>
      <c r="H102" s="14">
        <f t="shared" si="0"/>
        <v>0.55000000000000004</v>
      </c>
      <c r="I102" s="25">
        <f ca="1">IFERROR(__xludf.DUMMYFUNCTION("ROUND(D102*GOOGLEFINANCE(""RUBKZT"")*H102)"),33611)</f>
        <v>33611</v>
      </c>
      <c r="J102" s="26">
        <f ca="1">IFERROR(__xludf.DUMMYFUNCTION("ROUND(I102*GOOGLEFINANCE(""KZTEUR""))"),70)</f>
        <v>70</v>
      </c>
      <c r="K102" s="26">
        <f t="shared" ca="1" si="1"/>
        <v>5833</v>
      </c>
      <c r="L102" s="26">
        <f t="shared" ca="1" si="2"/>
        <v>1108.27</v>
      </c>
      <c r="M102" s="26">
        <f t="shared" ref="M102:N102" si="104">M$3</f>
        <v>500</v>
      </c>
      <c r="N102" s="26">
        <f t="shared" si="104"/>
        <v>500</v>
      </c>
      <c r="O102" s="26">
        <f ca="1">IFERROR(__xludf.DUMMYFUNCTION("ROUND(GOOGLEFINANCE(""Currency:EURKZT"")*K102)"),2785664)</f>
        <v>2785664</v>
      </c>
      <c r="P102" s="26">
        <f ca="1">IFERROR(__xludf.DUMMYFUNCTION("ROUND(GOOGLEFINANCE(""Currency:EURKZT"")*M102)"),238785)</f>
        <v>238785</v>
      </c>
      <c r="Q102" s="26">
        <f ca="1">IFERROR(__xludf.DUMMYFUNCTION("ROUND(GOOGLEFINANCE(""Currency:EURKZT"")*N102)"),238785)</f>
        <v>238785</v>
      </c>
      <c r="R102" s="26">
        <f t="shared" ca="1" si="4"/>
        <v>334280</v>
      </c>
      <c r="S102" s="26">
        <f t="shared" ca="1" si="5"/>
        <v>3597514</v>
      </c>
      <c r="T102" s="26">
        <f ca="1">IFERROR(__xludf.DUMMYFUNCTION("ROUND(GOOGLEFINANCE(""Currency:EURKZT"")*L102+S102)"),4126790)</f>
        <v>4126790</v>
      </c>
      <c r="U102" s="26">
        <f ca="1">IFERROR(__xludf.DUMMYFUNCTION("D102*GOOGLEFINANCE(""RUBKZT"")*1000/F102"),5092579.0132152)</f>
        <v>5092579.0132152</v>
      </c>
      <c r="V102" s="27">
        <f t="shared" ca="1" si="6"/>
        <v>0.23402911541784294</v>
      </c>
    </row>
    <row r="103" spans="1:22" ht="12.75" customHeight="1" x14ac:dyDescent="0.2">
      <c r="A103" s="6" t="s">
        <v>533</v>
      </c>
      <c r="B103" s="6" t="s">
        <v>488</v>
      </c>
      <c r="C103" s="7">
        <v>213893</v>
      </c>
      <c r="D103" s="8">
        <v>6060</v>
      </c>
      <c r="E103" s="9" t="s">
        <v>7</v>
      </c>
      <c r="F103" s="23">
        <v>12</v>
      </c>
      <c r="G103" s="25"/>
      <c r="H103" s="14">
        <f t="shared" si="0"/>
        <v>0.55000000000000004</v>
      </c>
      <c r="I103" s="25">
        <f ca="1">IFERROR(__xludf.DUMMYFUNCTION("ROUND(D103*GOOGLEFINANCE(""RUBKZT"")*H103)"),26009)</f>
        <v>26009</v>
      </c>
      <c r="J103" s="26">
        <f ca="1">IFERROR(__xludf.DUMMYFUNCTION("ROUND(I103*GOOGLEFINANCE(""KZTEUR""))"),54)</f>
        <v>54</v>
      </c>
      <c r="K103" s="26">
        <f t="shared" ca="1" si="1"/>
        <v>4500</v>
      </c>
      <c r="L103" s="26">
        <f t="shared" ca="1" si="2"/>
        <v>855</v>
      </c>
      <c r="M103" s="26">
        <f t="shared" ref="M103:N103" si="105">M$3</f>
        <v>500</v>
      </c>
      <c r="N103" s="26">
        <f t="shared" si="105"/>
        <v>500</v>
      </c>
      <c r="O103" s="26">
        <f ca="1">IFERROR(__xludf.DUMMYFUNCTION("ROUND(GOOGLEFINANCE(""Currency:EURKZT"")*K103)"),2149063)</f>
        <v>2149063</v>
      </c>
      <c r="P103" s="26">
        <f ca="1">IFERROR(__xludf.DUMMYFUNCTION("ROUND(GOOGLEFINANCE(""Currency:EURKZT"")*M103)"),238785)</f>
        <v>238785</v>
      </c>
      <c r="Q103" s="26">
        <f ca="1">IFERROR(__xludf.DUMMYFUNCTION("ROUND(GOOGLEFINANCE(""Currency:EURKZT"")*N103)"),238785)</f>
        <v>238785</v>
      </c>
      <c r="R103" s="26">
        <f t="shared" ca="1" si="4"/>
        <v>257888</v>
      </c>
      <c r="S103" s="26">
        <f t="shared" ca="1" si="5"/>
        <v>2884521</v>
      </c>
      <c r="T103" s="26">
        <f ca="1">IFERROR(__xludf.DUMMYFUNCTION("ROUND(GOOGLEFINANCE(""Currency:EURKZT"")*L103+S103)"),3292843)</f>
        <v>3292843</v>
      </c>
      <c r="U103" s="26">
        <f ca="1">IFERROR(__xludf.DUMMYFUNCTION("D103*GOOGLEFINANCE(""RUBKZT"")*1000/F103"),3940779.04026)</f>
        <v>3940779.0402600002</v>
      </c>
      <c r="V103" s="27">
        <f t="shared" ca="1" si="6"/>
        <v>0.19677100920390075</v>
      </c>
    </row>
    <row r="104" spans="1:22" ht="12.75" customHeight="1" x14ac:dyDescent="0.2">
      <c r="A104" s="6" t="s">
        <v>537</v>
      </c>
      <c r="B104" s="6" t="s">
        <v>488</v>
      </c>
      <c r="C104" s="7">
        <v>213897</v>
      </c>
      <c r="D104" s="8">
        <v>7946.4</v>
      </c>
      <c r="E104" s="9" t="s">
        <v>7</v>
      </c>
      <c r="F104" s="23">
        <v>12</v>
      </c>
      <c r="G104" s="25"/>
      <c r="H104" s="14">
        <f t="shared" si="0"/>
        <v>0.55000000000000004</v>
      </c>
      <c r="I104" s="25">
        <f ca="1">IFERROR(__xludf.DUMMYFUNCTION("ROUND(D104*GOOGLEFINANCE(""RUBKZT"")*H104)"),34105)</f>
        <v>34105</v>
      </c>
      <c r="J104" s="26">
        <f ca="1">IFERROR(__xludf.DUMMYFUNCTION("ROUND(I104*GOOGLEFINANCE(""KZTEUR""))"),71)</f>
        <v>71</v>
      </c>
      <c r="K104" s="26">
        <f t="shared" ca="1" si="1"/>
        <v>5917</v>
      </c>
      <c r="L104" s="26">
        <f t="shared" ca="1" si="2"/>
        <v>1124.23</v>
      </c>
      <c r="M104" s="26">
        <f t="shared" ref="M104:N104" si="106">M$3</f>
        <v>500</v>
      </c>
      <c r="N104" s="26">
        <f t="shared" si="106"/>
        <v>500</v>
      </c>
      <c r="O104" s="26">
        <f ca="1">IFERROR(__xludf.DUMMYFUNCTION("ROUND(GOOGLEFINANCE(""Currency:EURKZT"")*K104)"),2825779)</f>
        <v>2825779</v>
      </c>
      <c r="P104" s="26">
        <f ca="1">IFERROR(__xludf.DUMMYFUNCTION("ROUND(GOOGLEFINANCE(""Currency:EURKZT"")*M104)"),238785)</f>
        <v>238785</v>
      </c>
      <c r="Q104" s="26">
        <f ca="1">IFERROR(__xludf.DUMMYFUNCTION("ROUND(GOOGLEFINANCE(""Currency:EURKZT"")*N104)"),238785)</f>
        <v>238785</v>
      </c>
      <c r="R104" s="26">
        <f t="shared" ca="1" si="4"/>
        <v>339093</v>
      </c>
      <c r="S104" s="26">
        <f t="shared" ca="1" si="5"/>
        <v>3642442</v>
      </c>
      <c r="T104" s="26">
        <f ca="1">IFERROR(__xludf.DUMMYFUNCTION("ROUND(GOOGLEFINANCE(""Currency:EURKZT"")*L104+S104)"),4179340)</f>
        <v>4179340</v>
      </c>
      <c r="U104" s="26">
        <f ca="1">IFERROR(__xludf.DUMMYFUNCTION("D104*GOOGLEFINANCE(""RUBKZT"")*1000/F104"),5167492.8325944)</f>
        <v>5167492.8325944003</v>
      </c>
      <c r="V104" s="27">
        <f t="shared" ca="1" si="6"/>
        <v>0.2364375314270675</v>
      </c>
    </row>
    <row r="105" spans="1:22" ht="12.75" customHeight="1" x14ac:dyDescent="0.2">
      <c r="A105" s="6" t="s">
        <v>535</v>
      </c>
      <c r="B105" s="6" t="s">
        <v>488</v>
      </c>
      <c r="C105" s="7">
        <v>213898</v>
      </c>
      <c r="D105" s="8">
        <v>8169.5999999999995</v>
      </c>
      <c r="E105" s="9" t="s">
        <v>7</v>
      </c>
      <c r="F105" s="23">
        <v>12</v>
      </c>
      <c r="G105" s="25"/>
      <c r="H105" s="14">
        <f t="shared" si="0"/>
        <v>0.55000000000000004</v>
      </c>
      <c r="I105" s="25">
        <f ca="1">IFERROR(__xludf.DUMMYFUNCTION("ROUND(D105*GOOGLEFINANCE(""RUBKZT"")*H105)"),35063)</f>
        <v>35063</v>
      </c>
      <c r="J105" s="26">
        <f ca="1">IFERROR(__xludf.DUMMYFUNCTION("ROUND(I105*GOOGLEFINANCE(""KZTEUR""))"),73)</f>
        <v>73</v>
      </c>
      <c r="K105" s="26">
        <f t="shared" ca="1" si="1"/>
        <v>6083</v>
      </c>
      <c r="L105" s="26">
        <f t="shared" ca="1" si="2"/>
        <v>1155.77</v>
      </c>
      <c r="M105" s="26">
        <f t="shared" ref="M105:N105" si="107">M$3</f>
        <v>500</v>
      </c>
      <c r="N105" s="26">
        <f t="shared" si="107"/>
        <v>500</v>
      </c>
      <c r="O105" s="26">
        <f ca="1">IFERROR(__xludf.DUMMYFUNCTION("ROUND(GOOGLEFINANCE(""Currency:EURKZT"")*K105)"),2905056)</f>
        <v>2905056</v>
      </c>
      <c r="P105" s="26">
        <f ca="1">IFERROR(__xludf.DUMMYFUNCTION("ROUND(GOOGLEFINANCE(""Currency:EURKZT"")*M105)"),238785)</f>
        <v>238785</v>
      </c>
      <c r="Q105" s="26">
        <f ca="1">IFERROR(__xludf.DUMMYFUNCTION("ROUND(GOOGLEFINANCE(""Currency:EURKZT"")*N105)"),238785)</f>
        <v>238785</v>
      </c>
      <c r="R105" s="26">
        <f t="shared" ca="1" si="4"/>
        <v>348607</v>
      </c>
      <c r="S105" s="26">
        <f t="shared" ca="1" si="5"/>
        <v>3731233</v>
      </c>
      <c r="T105" s="26">
        <f ca="1">IFERROR(__xludf.DUMMYFUNCTION("ROUND(GOOGLEFINANCE(""Currency:EURKZT"")*L105+S105)"),4283194)</f>
        <v>4283194</v>
      </c>
      <c r="U105" s="26">
        <f ca="1">IFERROR(__xludf.DUMMYFUNCTION("D105*GOOGLEFINANCE(""RUBKZT"")*1000/F105"),5312638.3576416)</f>
        <v>5312638.3576416001</v>
      </c>
      <c r="V105" s="27">
        <f t="shared" ca="1" si="6"/>
        <v>0.24034502234584754</v>
      </c>
    </row>
    <row r="106" spans="1:22" ht="12.75" customHeight="1" x14ac:dyDescent="0.2">
      <c r="A106" s="6" t="s">
        <v>538</v>
      </c>
      <c r="B106" s="6" t="s">
        <v>488</v>
      </c>
      <c r="C106" s="7">
        <v>213899</v>
      </c>
      <c r="D106" s="8">
        <v>6051.5999999999995</v>
      </c>
      <c r="E106" s="9" t="s">
        <v>7</v>
      </c>
      <c r="F106" s="23">
        <v>12</v>
      </c>
      <c r="G106" s="25"/>
      <c r="H106" s="14">
        <f t="shared" si="0"/>
        <v>0.55000000000000004</v>
      </c>
      <c r="I106" s="25">
        <f ca="1">IFERROR(__xludf.DUMMYFUNCTION("ROUND(D106*GOOGLEFINANCE(""RUBKZT"")*H106)"),25973)</f>
        <v>25973</v>
      </c>
      <c r="J106" s="26">
        <f ca="1">IFERROR(__xludf.DUMMYFUNCTION("ROUND(I106*GOOGLEFINANCE(""KZTEUR""))"),54)</f>
        <v>54</v>
      </c>
      <c r="K106" s="26">
        <f t="shared" ca="1" si="1"/>
        <v>4500</v>
      </c>
      <c r="L106" s="26">
        <f t="shared" ca="1" si="2"/>
        <v>855</v>
      </c>
      <c r="M106" s="26">
        <f t="shared" ref="M106:N106" si="108">M$3</f>
        <v>500</v>
      </c>
      <c r="N106" s="26">
        <f t="shared" si="108"/>
        <v>500</v>
      </c>
      <c r="O106" s="26">
        <f ca="1">IFERROR(__xludf.DUMMYFUNCTION("ROUND(GOOGLEFINANCE(""Currency:EURKZT"")*K106)"),2149063)</f>
        <v>2149063</v>
      </c>
      <c r="P106" s="26">
        <f ca="1">IFERROR(__xludf.DUMMYFUNCTION("ROUND(GOOGLEFINANCE(""Currency:EURKZT"")*M106)"),238785)</f>
        <v>238785</v>
      </c>
      <c r="Q106" s="26">
        <f ca="1">IFERROR(__xludf.DUMMYFUNCTION("ROUND(GOOGLEFINANCE(""Currency:EURKZT"")*N106)"),238785)</f>
        <v>238785</v>
      </c>
      <c r="R106" s="26">
        <f t="shared" ca="1" si="4"/>
        <v>257888</v>
      </c>
      <c r="S106" s="26">
        <f t="shared" ca="1" si="5"/>
        <v>2884521</v>
      </c>
      <c r="T106" s="26">
        <f ca="1">IFERROR(__xludf.DUMMYFUNCTION("ROUND(GOOGLEFINANCE(""Currency:EURKZT"")*L106+S106)"),3292843)</f>
        <v>3292843</v>
      </c>
      <c r="U106" s="26">
        <f ca="1">IFERROR(__xludf.DUMMYFUNCTION("D106*GOOGLEFINANCE(""RUBKZT"")*1000/F106"),3935316.5742636)</f>
        <v>3935316.5742636002</v>
      </c>
      <c r="V106" s="27">
        <f t="shared" ca="1" si="6"/>
        <v>0.19511211869609338</v>
      </c>
    </row>
    <row r="107" spans="1:22" ht="12.75" customHeight="1" x14ac:dyDescent="0.2">
      <c r="A107" s="6" t="s">
        <v>539</v>
      </c>
      <c r="B107" s="6" t="s">
        <v>488</v>
      </c>
      <c r="C107" s="7">
        <v>213905</v>
      </c>
      <c r="D107" s="8">
        <v>9292.7999999999993</v>
      </c>
      <c r="E107" s="9" t="s">
        <v>7</v>
      </c>
      <c r="F107" s="23">
        <v>12</v>
      </c>
      <c r="G107" s="25"/>
      <c r="H107" s="14">
        <f t="shared" si="0"/>
        <v>0.55000000000000004</v>
      </c>
      <c r="I107" s="25">
        <f ca="1">IFERROR(__xludf.DUMMYFUNCTION("ROUND(D107*GOOGLEFINANCE(""RUBKZT"")*H107)"),39884)</f>
        <v>39884</v>
      </c>
      <c r="J107" s="26">
        <f ca="1">IFERROR(__xludf.DUMMYFUNCTION("ROUND(I107*GOOGLEFINANCE(""KZTEUR""))"),84)</f>
        <v>84</v>
      </c>
      <c r="K107" s="26">
        <f t="shared" ca="1" si="1"/>
        <v>7000</v>
      </c>
      <c r="L107" s="26">
        <f t="shared" ca="1" si="2"/>
        <v>1330</v>
      </c>
      <c r="M107" s="26">
        <f t="shared" ref="M107:N107" si="109">M$3</f>
        <v>500</v>
      </c>
      <c r="N107" s="26">
        <f t="shared" si="109"/>
        <v>500</v>
      </c>
      <c r="O107" s="26">
        <f ca="1">IFERROR(__xludf.DUMMYFUNCTION("ROUND(GOOGLEFINANCE(""Currency:EURKZT"")*K107)"),3342987)</f>
        <v>3342987</v>
      </c>
      <c r="P107" s="26">
        <f ca="1">IFERROR(__xludf.DUMMYFUNCTION("ROUND(GOOGLEFINANCE(""Currency:EURKZT"")*M107)"),238785)</f>
        <v>238785</v>
      </c>
      <c r="Q107" s="26">
        <f ca="1">IFERROR(__xludf.DUMMYFUNCTION("ROUND(GOOGLEFINANCE(""Currency:EURKZT"")*N107)"),238785)</f>
        <v>238785</v>
      </c>
      <c r="R107" s="26">
        <f t="shared" ca="1" si="4"/>
        <v>401158</v>
      </c>
      <c r="S107" s="26">
        <f t="shared" ca="1" si="5"/>
        <v>4221715</v>
      </c>
      <c r="T107" s="26">
        <f ca="1">IFERROR(__xludf.DUMMYFUNCTION("ROUND(GOOGLEFINANCE(""Currency:EURKZT"")*L107+S107)"),4856883)</f>
        <v>4856883</v>
      </c>
      <c r="U107" s="26">
        <f ca="1">IFERROR(__xludf.DUMMYFUNCTION("D107*GOOGLEFINANCE(""RUBKZT"")*1000/F107"),6043048.09658879)</f>
        <v>6043048.0965887904</v>
      </c>
      <c r="V107" s="27">
        <f t="shared" ca="1" si="6"/>
        <v>0.24422352702109365</v>
      </c>
    </row>
    <row r="108" spans="1:22" ht="12.75" customHeight="1" x14ac:dyDescent="0.2">
      <c r="A108" s="6" t="s">
        <v>540</v>
      </c>
      <c r="B108" s="6" t="s">
        <v>488</v>
      </c>
      <c r="C108" s="7">
        <v>213911</v>
      </c>
      <c r="D108" s="8">
        <v>9538.7999999999993</v>
      </c>
      <c r="E108" s="9" t="s">
        <v>7</v>
      </c>
      <c r="F108" s="23">
        <v>12</v>
      </c>
      <c r="G108" s="25"/>
      <c r="H108" s="14">
        <f t="shared" si="0"/>
        <v>0.55000000000000004</v>
      </c>
      <c r="I108" s="25">
        <f ca="1">IFERROR(__xludf.DUMMYFUNCTION("ROUND(D108*GOOGLEFINANCE(""RUBKZT"")*H108)"),40940)</f>
        <v>40940</v>
      </c>
      <c r="J108" s="26">
        <f ca="1">IFERROR(__xludf.DUMMYFUNCTION("ROUND(I108*GOOGLEFINANCE(""KZTEUR""))"),86)</f>
        <v>86</v>
      </c>
      <c r="K108" s="26">
        <f t="shared" ca="1" si="1"/>
        <v>7167</v>
      </c>
      <c r="L108" s="26">
        <f t="shared" ca="1" si="2"/>
        <v>1361.73</v>
      </c>
      <c r="M108" s="26">
        <f t="shared" ref="M108:N108" si="110">M$3</f>
        <v>500</v>
      </c>
      <c r="N108" s="26">
        <f t="shared" si="110"/>
        <v>500</v>
      </c>
      <c r="O108" s="26">
        <f ca="1">IFERROR(__xludf.DUMMYFUNCTION("ROUND(GOOGLEFINANCE(""Currency:EURKZT"")*K108)"),3422741)</f>
        <v>3422741</v>
      </c>
      <c r="P108" s="26">
        <f ca="1">IFERROR(__xludf.DUMMYFUNCTION("ROUND(GOOGLEFINANCE(""Currency:EURKZT"")*M108)"),238785)</f>
        <v>238785</v>
      </c>
      <c r="Q108" s="26">
        <f ca="1">IFERROR(__xludf.DUMMYFUNCTION("ROUND(GOOGLEFINANCE(""Currency:EURKZT"")*N108)"),238785)</f>
        <v>238785</v>
      </c>
      <c r="R108" s="26">
        <f t="shared" ca="1" si="4"/>
        <v>410729</v>
      </c>
      <c r="S108" s="26">
        <f t="shared" ca="1" si="5"/>
        <v>4311040</v>
      </c>
      <c r="T108" s="26">
        <f ca="1">IFERROR(__xludf.DUMMYFUNCTION("ROUND(GOOGLEFINANCE(""Currency:EURKZT"")*L108+S108)"),4961361)</f>
        <v>4961361</v>
      </c>
      <c r="U108" s="26">
        <f ca="1">IFERROR(__xludf.DUMMYFUNCTION("D108*GOOGLEFINANCE(""RUBKZT"")*1000/F108"),6203020.3150548)</f>
        <v>6203020.3150548004</v>
      </c>
      <c r="V108" s="27">
        <f t="shared" ca="1" si="6"/>
        <v>0.25026586758246383</v>
      </c>
    </row>
    <row r="109" spans="1:22" ht="12.75" customHeight="1" x14ac:dyDescent="0.2">
      <c r="A109" s="6" t="s">
        <v>541</v>
      </c>
      <c r="B109" s="6" t="s">
        <v>488</v>
      </c>
      <c r="C109" s="7">
        <v>213916</v>
      </c>
      <c r="D109" s="8">
        <v>8308.7999999999993</v>
      </c>
      <c r="E109" s="9" t="s">
        <v>7</v>
      </c>
      <c r="F109" s="23">
        <v>12</v>
      </c>
      <c r="G109" s="25"/>
      <c r="H109" s="14">
        <f t="shared" si="0"/>
        <v>0.55000000000000004</v>
      </c>
      <c r="I109" s="25">
        <f ca="1">IFERROR(__xludf.DUMMYFUNCTION("ROUND(D109*GOOGLEFINANCE(""RUBKZT"")*H109)"),35661)</f>
        <v>35661</v>
      </c>
      <c r="J109" s="26">
        <f ca="1">IFERROR(__xludf.DUMMYFUNCTION("ROUND(I109*GOOGLEFINANCE(""KZTEUR""))"),75)</f>
        <v>75</v>
      </c>
      <c r="K109" s="26">
        <f t="shared" ca="1" si="1"/>
        <v>6250</v>
      </c>
      <c r="L109" s="26">
        <f t="shared" ca="1" si="2"/>
        <v>1187.5</v>
      </c>
      <c r="M109" s="26">
        <f t="shared" ref="M109:N109" si="111">M$3</f>
        <v>500</v>
      </c>
      <c r="N109" s="26">
        <f t="shared" si="111"/>
        <v>500</v>
      </c>
      <c r="O109" s="26">
        <f ca="1">IFERROR(__xludf.DUMMYFUNCTION("ROUND(GOOGLEFINANCE(""Currency:EURKZT"")*K109)"),2984810)</f>
        <v>2984810</v>
      </c>
      <c r="P109" s="26">
        <f ca="1">IFERROR(__xludf.DUMMYFUNCTION("ROUND(GOOGLEFINANCE(""Currency:EURKZT"")*M109)"),238785)</f>
        <v>238785</v>
      </c>
      <c r="Q109" s="26">
        <f ca="1">IFERROR(__xludf.DUMMYFUNCTION("ROUND(GOOGLEFINANCE(""Currency:EURKZT"")*N109)"),238785)</f>
        <v>238785</v>
      </c>
      <c r="R109" s="26">
        <f t="shared" ca="1" si="4"/>
        <v>358177</v>
      </c>
      <c r="S109" s="26">
        <f t="shared" ca="1" si="5"/>
        <v>3820557</v>
      </c>
      <c r="T109" s="26">
        <f ca="1">IFERROR(__xludf.DUMMYFUNCTION("ROUND(GOOGLEFINANCE(""Currency:EURKZT"")*L109+S109)"),4387671)</f>
        <v>4387671</v>
      </c>
      <c r="U109" s="26">
        <f ca="1">IFERROR(__xludf.DUMMYFUNCTION("D109*GOOGLEFINANCE(""RUBKZT"")*1000/F109"),5403159.2227248)</f>
        <v>5403159.2227248</v>
      </c>
      <c r="V109" s="27">
        <f t="shared" ca="1" si="6"/>
        <v>0.23144128689794655</v>
      </c>
    </row>
    <row r="110" spans="1:22" ht="12.75" customHeight="1" x14ac:dyDescent="0.2">
      <c r="A110" s="6" t="s">
        <v>542</v>
      </c>
      <c r="B110" s="6" t="s">
        <v>488</v>
      </c>
      <c r="C110" s="7">
        <v>213918</v>
      </c>
      <c r="D110" s="8">
        <v>8566.7999999999993</v>
      </c>
      <c r="E110" s="9" t="s">
        <v>7</v>
      </c>
      <c r="F110" s="23">
        <v>12</v>
      </c>
      <c r="G110" s="25"/>
      <c r="H110" s="14">
        <f t="shared" si="0"/>
        <v>0.55000000000000004</v>
      </c>
      <c r="I110" s="25">
        <f ca="1">IFERROR(__xludf.DUMMYFUNCTION("ROUND(D110*GOOGLEFINANCE(""RUBKZT"")*H110)"),36768)</f>
        <v>36768</v>
      </c>
      <c r="J110" s="26">
        <f ca="1">IFERROR(__xludf.DUMMYFUNCTION("ROUND(I110*GOOGLEFINANCE(""KZTEUR""))"),77)</f>
        <v>77</v>
      </c>
      <c r="K110" s="26">
        <f t="shared" ca="1" si="1"/>
        <v>6417</v>
      </c>
      <c r="L110" s="26">
        <f t="shared" ca="1" si="2"/>
        <v>1219.23</v>
      </c>
      <c r="M110" s="26">
        <f t="shared" ref="M110:N110" si="112">M$3</f>
        <v>500</v>
      </c>
      <c r="N110" s="26">
        <f t="shared" si="112"/>
        <v>500</v>
      </c>
      <c r="O110" s="26">
        <f ca="1">IFERROR(__xludf.DUMMYFUNCTION("ROUND(GOOGLEFINANCE(""Currency:EURKZT"")*K110)"),3064564)</f>
        <v>3064564</v>
      </c>
      <c r="P110" s="26">
        <f ca="1">IFERROR(__xludf.DUMMYFUNCTION("ROUND(GOOGLEFINANCE(""Currency:EURKZT"")*M110)"),238785)</f>
        <v>238785</v>
      </c>
      <c r="Q110" s="26">
        <f ca="1">IFERROR(__xludf.DUMMYFUNCTION("ROUND(GOOGLEFINANCE(""Currency:EURKZT"")*N110)"),238785)</f>
        <v>238785</v>
      </c>
      <c r="R110" s="26">
        <f t="shared" ca="1" si="4"/>
        <v>367748</v>
      </c>
      <c r="S110" s="26">
        <f t="shared" ca="1" si="5"/>
        <v>3909882</v>
      </c>
      <c r="T110" s="26">
        <f ca="1">IFERROR(__xludf.DUMMYFUNCTION("ROUND(GOOGLEFINANCE(""Currency:EURKZT"")*L110+S110)"),4492149)</f>
        <v>4492149</v>
      </c>
      <c r="U110" s="26">
        <f ca="1">IFERROR(__xludf.DUMMYFUNCTION("D110*GOOGLEFINANCE(""RUBKZT"")*1000/F110"),5570934.9640428)</f>
        <v>5570934.9640427995</v>
      </c>
      <c r="V110" s="27">
        <f t="shared" ca="1" si="6"/>
        <v>0.24014919452645039</v>
      </c>
    </row>
    <row r="111" spans="1:22" ht="12.75" customHeight="1" x14ac:dyDescent="0.2">
      <c r="A111" s="6" t="s">
        <v>543</v>
      </c>
      <c r="B111" s="6" t="s">
        <v>488</v>
      </c>
      <c r="C111" s="7">
        <v>213921</v>
      </c>
      <c r="D111" s="8">
        <v>8334</v>
      </c>
      <c r="E111" s="9" t="s">
        <v>7</v>
      </c>
      <c r="F111" s="23">
        <v>12</v>
      </c>
      <c r="G111" s="25"/>
      <c r="H111" s="14">
        <f t="shared" si="0"/>
        <v>0.55000000000000004</v>
      </c>
      <c r="I111" s="25">
        <f ca="1">IFERROR(__xludf.DUMMYFUNCTION("ROUND(D111*GOOGLEFINANCE(""RUBKZT"")*H111)"),35769)</f>
        <v>35769</v>
      </c>
      <c r="J111" s="26">
        <f ca="1">IFERROR(__xludf.DUMMYFUNCTION("ROUND(I111*GOOGLEFINANCE(""KZTEUR""))"),75)</f>
        <v>75</v>
      </c>
      <c r="K111" s="26">
        <f t="shared" ca="1" si="1"/>
        <v>6250</v>
      </c>
      <c r="L111" s="26">
        <f t="shared" ca="1" si="2"/>
        <v>1187.5</v>
      </c>
      <c r="M111" s="26">
        <f t="shared" ref="M111:N111" si="113">M$3</f>
        <v>500</v>
      </c>
      <c r="N111" s="26">
        <f t="shared" si="113"/>
        <v>500</v>
      </c>
      <c r="O111" s="26">
        <f ca="1">IFERROR(__xludf.DUMMYFUNCTION("ROUND(GOOGLEFINANCE(""Currency:EURKZT"")*K111)"),2984810)</f>
        <v>2984810</v>
      </c>
      <c r="P111" s="26">
        <f ca="1">IFERROR(__xludf.DUMMYFUNCTION("ROUND(GOOGLEFINANCE(""Currency:EURKZT"")*M111)"),238785)</f>
        <v>238785</v>
      </c>
      <c r="Q111" s="26">
        <f ca="1">IFERROR(__xludf.DUMMYFUNCTION("ROUND(GOOGLEFINANCE(""Currency:EURKZT"")*N111)"),238785)</f>
        <v>238785</v>
      </c>
      <c r="R111" s="26">
        <f t="shared" ca="1" si="4"/>
        <v>358177</v>
      </c>
      <c r="S111" s="26">
        <f t="shared" ca="1" si="5"/>
        <v>3820557</v>
      </c>
      <c r="T111" s="26">
        <f ca="1">IFERROR(__xludf.DUMMYFUNCTION("ROUND(GOOGLEFINANCE(""Currency:EURKZT"")*L111+S111)"),4387671)</f>
        <v>4387671</v>
      </c>
      <c r="U111" s="26">
        <f ca="1">IFERROR(__xludf.DUMMYFUNCTION("D111*GOOGLEFINANCE(""RUBKZT"")*1000/F111"),5419546.620714)</f>
        <v>5419546.6207140004</v>
      </c>
      <c r="V111" s="27">
        <f t="shared" ca="1" si="6"/>
        <v>0.23517616081834769</v>
      </c>
    </row>
    <row r="112" spans="1:22" ht="12.75" customHeight="1" x14ac:dyDescent="0.2">
      <c r="A112" s="6" t="s">
        <v>544</v>
      </c>
      <c r="B112" s="6" t="s">
        <v>488</v>
      </c>
      <c r="C112" s="7">
        <v>213931</v>
      </c>
      <c r="D112" s="8">
        <v>9045.6</v>
      </c>
      <c r="E112" s="9" t="s">
        <v>7</v>
      </c>
      <c r="F112" s="23">
        <v>12</v>
      </c>
      <c r="G112" s="25"/>
      <c r="H112" s="14">
        <f t="shared" si="0"/>
        <v>0.55000000000000004</v>
      </c>
      <c r="I112" s="25">
        <f ca="1">IFERROR(__xludf.DUMMYFUNCTION("ROUND(D112*GOOGLEFINANCE(""RUBKZT"")*H112)"),38823)</f>
        <v>38823</v>
      </c>
      <c r="J112" s="26">
        <f ca="1">IFERROR(__xludf.DUMMYFUNCTION("ROUND(I112*GOOGLEFINANCE(""KZTEUR""))"),81)</f>
        <v>81</v>
      </c>
      <c r="K112" s="26">
        <f t="shared" ca="1" si="1"/>
        <v>6750</v>
      </c>
      <c r="L112" s="26">
        <f t="shared" ca="1" si="2"/>
        <v>1282.5</v>
      </c>
      <c r="M112" s="26">
        <f t="shared" ref="M112:N112" si="114">M$3</f>
        <v>500</v>
      </c>
      <c r="N112" s="26">
        <f t="shared" si="114"/>
        <v>500</v>
      </c>
      <c r="O112" s="26">
        <f ca="1">IFERROR(__xludf.DUMMYFUNCTION("ROUND(GOOGLEFINANCE(""Currency:EURKZT"")*K112)"),3223595)</f>
        <v>3223595</v>
      </c>
      <c r="P112" s="26">
        <f ca="1">IFERROR(__xludf.DUMMYFUNCTION("ROUND(GOOGLEFINANCE(""Currency:EURKZT"")*M112)"),238785)</f>
        <v>238785</v>
      </c>
      <c r="Q112" s="26">
        <f ca="1">IFERROR(__xludf.DUMMYFUNCTION("ROUND(GOOGLEFINANCE(""Currency:EURKZT"")*N112)"),238785)</f>
        <v>238785</v>
      </c>
      <c r="R112" s="26">
        <f t="shared" ca="1" si="4"/>
        <v>386831</v>
      </c>
      <c r="S112" s="26">
        <f t="shared" ca="1" si="5"/>
        <v>4087996</v>
      </c>
      <c r="T112" s="26">
        <f ca="1">IFERROR(__xludf.DUMMYFUNCTION("ROUND(GOOGLEFINANCE(""Currency:EURKZT"")*L112+S112)"),4700479)</f>
        <v>4700479</v>
      </c>
      <c r="U112" s="26">
        <f ca="1">IFERROR(__xludf.DUMMYFUNCTION("D112*GOOGLEFINANCE(""RUBKZT"")*1000/F112"),5882295.5258376)</f>
        <v>5882295.5258376002</v>
      </c>
      <c r="V112" s="27">
        <f t="shared" ca="1" si="6"/>
        <v>0.25142470072467088</v>
      </c>
    </row>
    <row r="113" spans="1:22" ht="12.75" customHeight="1" x14ac:dyDescent="0.2">
      <c r="A113" s="6" t="s">
        <v>545</v>
      </c>
      <c r="B113" s="6" t="s">
        <v>488</v>
      </c>
      <c r="C113" s="7">
        <v>213933</v>
      </c>
      <c r="D113" s="8">
        <v>8265.6</v>
      </c>
      <c r="E113" s="9" t="s">
        <v>7</v>
      </c>
      <c r="F113" s="23">
        <v>12</v>
      </c>
      <c r="G113" s="25"/>
      <c r="H113" s="14">
        <f t="shared" si="0"/>
        <v>0.55000000000000004</v>
      </c>
      <c r="I113" s="25">
        <f ca="1">IFERROR(__xludf.DUMMYFUNCTION("ROUND(D113*GOOGLEFINANCE(""RUBKZT"")*H113)"),35475)</f>
        <v>35475</v>
      </c>
      <c r="J113" s="26">
        <f ca="1">IFERROR(__xludf.DUMMYFUNCTION("ROUND(I113*GOOGLEFINANCE(""KZTEUR""))"),74)</f>
        <v>74</v>
      </c>
      <c r="K113" s="26">
        <f t="shared" ca="1" si="1"/>
        <v>6167</v>
      </c>
      <c r="L113" s="26">
        <f t="shared" ca="1" si="2"/>
        <v>1171.73</v>
      </c>
      <c r="M113" s="26">
        <f t="shared" ref="M113:N113" si="115">M$3</f>
        <v>500</v>
      </c>
      <c r="N113" s="26">
        <f t="shared" si="115"/>
        <v>500</v>
      </c>
      <c r="O113" s="26">
        <f ca="1">IFERROR(__xludf.DUMMYFUNCTION("ROUND(GOOGLEFINANCE(""Currency:EURKZT"")*K113)"),2945172)</f>
        <v>2945172</v>
      </c>
      <c r="P113" s="26">
        <f ca="1">IFERROR(__xludf.DUMMYFUNCTION("ROUND(GOOGLEFINANCE(""Currency:EURKZT"")*M113)"),238785)</f>
        <v>238785</v>
      </c>
      <c r="Q113" s="26">
        <f ca="1">IFERROR(__xludf.DUMMYFUNCTION("ROUND(GOOGLEFINANCE(""Currency:EURKZT"")*N113)"),238785)</f>
        <v>238785</v>
      </c>
      <c r="R113" s="26">
        <f t="shared" ca="1" si="4"/>
        <v>353421</v>
      </c>
      <c r="S113" s="26">
        <f t="shared" ca="1" si="5"/>
        <v>3776163</v>
      </c>
      <c r="T113" s="26">
        <f ca="1">IFERROR(__xludf.DUMMYFUNCTION("ROUND(GOOGLEFINANCE(""Currency:EURKZT"")*L113+S113)"),4335746)</f>
        <v>4335746</v>
      </c>
      <c r="U113" s="26">
        <f ca="1">IFERROR(__xludf.DUMMYFUNCTION("D113*GOOGLEFINANCE(""RUBKZT"")*1000/F113"),5375066.5404576)</f>
        <v>5375066.5404575998</v>
      </c>
      <c r="V113" s="27">
        <f t="shared" ca="1" si="6"/>
        <v>0.23970973863727252</v>
      </c>
    </row>
    <row r="114" spans="1:22" ht="12.75" customHeight="1" x14ac:dyDescent="0.2">
      <c r="A114" s="6" t="s">
        <v>546</v>
      </c>
      <c r="B114" s="6" t="s">
        <v>488</v>
      </c>
      <c r="C114" s="7">
        <v>213937</v>
      </c>
      <c r="D114" s="8">
        <v>8054.4</v>
      </c>
      <c r="E114" s="9" t="s">
        <v>7</v>
      </c>
      <c r="F114" s="23">
        <v>12</v>
      </c>
      <c r="G114" s="25"/>
      <c r="H114" s="14">
        <f t="shared" si="0"/>
        <v>0.55000000000000004</v>
      </c>
      <c r="I114" s="25">
        <f ca="1">IFERROR(__xludf.DUMMYFUNCTION("ROUND(D114*GOOGLEFINANCE(""RUBKZT"")*H114)"),34569)</f>
        <v>34569</v>
      </c>
      <c r="J114" s="26">
        <f ca="1">IFERROR(__xludf.DUMMYFUNCTION("ROUND(I114*GOOGLEFINANCE(""KZTEUR""))"),72)</f>
        <v>72</v>
      </c>
      <c r="K114" s="26">
        <f t="shared" ca="1" si="1"/>
        <v>6000</v>
      </c>
      <c r="L114" s="26">
        <f t="shared" ca="1" si="2"/>
        <v>1140</v>
      </c>
      <c r="M114" s="26">
        <f t="shared" ref="M114:N114" si="116">M$3</f>
        <v>500</v>
      </c>
      <c r="N114" s="26">
        <f t="shared" si="116"/>
        <v>500</v>
      </c>
      <c r="O114" s="26">
        <f ca="1">IFERROR(__xludf.DUMMYFUNCTION("ROUND(GOOGLEFINANCE(""Currency:EURKZT"")*K114)"),2865418)</f>
        <v>2865418</v>
      </c>
      <c r="P114" s="26">
        <f ca="1">IFERROR(__xludf.DUMMYFUNCTION("ROUND(GOOGLEFINANCE(""Currency:EURKZT"")*M114)"),238785)</f>
        <v>238785</v>
      </c>
      <c r="Q114" s="26">
        <f ca="1">IFERROR(__xludf.DUMMYFUNCTION("ROUND(GOOGLEFINANCE(""Currency:EURKZT"")*N114)"),238785)</f>
        <v>238785</v>
      </c>
      <c r="R114" s="26">
        <f t="shared" ca="1" si="4"/>
        <v>343850</v>
      </c>
      <c r="S114" s="26">
        <f t="shared" ca="1" si="5"/>
        <v>3686838</v>
      </c>
      <c r="T114" s="26">
        <f ca="1">IFERROR(__xludf.DUMMYFUNCTION("ROUND(GOOGLEFINANCE(""Currency:EURKZT"")*L114+S114)"),4231267)</f>
        <v>4231267</v>
      </c>
      <c r="U114" s="26">
        <f ca="1">IFERROR(__xludf.DUMMYFUNCTION("D114*GOOGLEFINANCE(""RUBKZT"")*1000/F114"),5237724.5382624)</f>
        <v>5237724.5382623998</v>
      </c>
      <c r="V114" s="27">
        <f t="shared" ca="1" si="6"/>
        <v>0.23786197804638654</v>
      </c>
    </row>
    <row r="115" spans="1:22" ht="12.75" customHeight="1" x14ac:dyDescent="0.2">
      <c r="A115" s="6" t="s">
        <v>547</v>
      </c>
      <c r="B115" s="6" t="s">
        <v>488</v>
      </c>
      <c r="C115" s="7">
        <v>213939</v>
      </c>
      <c r="D115" s="8">
        <v>9571.1999999999989</v>
      </c>
      <c r="E115" s="9" t="s">
        <v>7</v>
      </c>
      <c r="F115" s="23">
        <v>12</v>
      </c>
      <c r="G115" s="25"/>
      <c r="H115" s="14">
        <f t="shared" si="0"/>
        <v>0.55000000000000004</v>
      </c>
      <c r="I115" s="25">
        <f ca="1">IFERROR(__xludf.DUMMYFUNCTION("ROUND(D115*GOOGLEFINANCE(""RUBKZT"")*H115)"),41079)</f>
        <v>41079</v>
      </c>
      <c r="J115" s="26">
        <f ca="1">IFERROR(__xludf.DUMMYFUNCTION("ROUND(I115*GOOGLEFINANCE(""KZTEUR""))"),86)</f>
        <v>86</v>
      </c>
      <c r="K115" s="26">
        <f t="shared" ca="1" si="1"/>
        <v>7167</v>
      </c>
      <c r="L115" s="26">
        <f t="shared" ca="1" si="2"/>
        <v>1361.73</v>
      </c>
      <c r="M115" s="26">
        <f t="shared" ref="M115:N115" si="117">M$3</f>
        <v>500</v>
      </c>
      <c r="N115" s="26">
        <f t="shared" si="117"/>
        <v>500</v>
      </c>
      <c r="O115" s="26">
        <f ca="1">IFERROR(__xludf.DUMMYFUNCTION("ROUND(GOOGLEFINANCE(""Currency:EURKZT"")*K115)"),3422741)</f>
        <v>3422741</v>
      </c>
      <c r="P115" s="26">
        <f ca="1">IFERROR(__xludf.DUMMYFUNCTION("ROUND(GOOGLEFINANCE(""Currency:EURKZT"")*M115)"),238785)</f>
        <v>238785</v>
      </c>
      <c r="Q115" s="26">
        <f ca="1">IFERROR(__xludf.DUMMYFUNCTION("ROUND(GOOGLEFINANCE(""Currency:EURKZT"")*N115)"),238785)</f>
        <v>238785</v>
      </c>
      <c r="R115" s="26">
        <f t="shared" ca="1" si="4"/>
        <v>410729</v>
      </c>
      <c r="S115" s="26">
        <f t="shared" ca="1" si="5"/>
        <v>4311040</v>
      </c>
      <c r="T115" s="26">
        <f ca="1">IFERROR(__xludf.DUMMYFUNCTION("ROUND(GOOGLEFINANCE(""Currency:EURKZT"")*L115+S115)"),4961361)</f>
        <v>4961361</v>
      </c>
      <c r="U115" s="26">
        <f ca="1">IFERROR(__xludf.DUMMYFUNCTION("D115*GOOGLEFINANCE(""RUBKZT"")*1000/F115"),6224089.8267552)</f>
        <v>6224089.8267551996</v>
      </c>
      <c r="V115" s="27">
        <f t="shared" ca="1" si="6"/>
        <v>0.25451258772647256</v>
      </c>
    </row>
    <row r="116" spans="1:22" ht="12.75" customHeight="1" x14ac:dyDescent="0.2">
      <c r="A116" s="6" t="s">
        <v>548</v>
      </c>
      <c r="B116" s="6" t="s">
        <v>488</v>
      </c>
      <c r="C116" s="7">
        <v>213942</v>
      </c>
      <c r="D116" s="8">
        <v>7922.4</v>
      </c>
      <c r="E116" s="9" t="s">
        <v>7</v>
      </c>
      <c r="F116" s="23">
        <v>12</v>
      </c>
      <c r="G116" s="25"/>
      <c r="H116" s="14">
        <f t="shared" si="0"/>
        <v>0.55000000000000004</v>
      </c>
      <c r="I116" s="25">
        <f ca="1">IFERROR(__xludf.DUMMYFUNCTION("ROUND(D116*GOOGLEFINANCE(""RUBKZT"")*H116)"),34002)</f>
        <v>34002</v>
      </c>
      <c r="J116" s="26">
        <f ca="1">IFERROR(__xludf.DUMMYFUNCTION("ROUND(I116*GOOGLEFINANCE(""KZTEUR""))"),71)</f>
        <v>71</v>
      </c>
      <c r="K116" s="26">
        <f t="shared" ca="1" si="1"/>
        <v>5917</v>
      </c>
      <c r="L116" s="26">
        <f t="shared" ca="1" si="2"/>
        <v>1124.23</v>
      </c>
      <c r="M116" s="26">
        <f t="shared" ref="M116:N116" si="118">M$3</f>
        <v>500</v>
      </c>
      <c r="N116" s="26">
        <f t="shared" si="118"/>
        <v>500</v>
      </c>
      <c r="O116" s="26">
        <f ca="1">IFERROR(__xludf.DUMMYFUNCTION("ROUND(GOOGLEFINANCE(""Currency:EURKZT"")*K116)"),2825779)</f>
        <v>2825779</v>
      </c>
      <c r="P116" s="26">
        <f ca="1">IFERROR(__xludf.DUMMYFUNCTION("ROUND(GOOGLEFINANCE(""Currency:EURKZT"")*M116)"),238785)</f>
        <v>238785</v>
      </c>
      <c r="Q116" s="26">
        <f ca="1">IFERROR(__xludf.DUMMYFUNCTION("ROUND(GOOGLEFINANCE(""Currency:EURKZT"")*N116)"),238785)</f>
        <v>238785</v>
      </c>
      <c r="R116" s="26">
        <f t="shared" ca="1" si="4"/>
        <v>339093</v>
      </c>
      <c r="S116" s="26">
        <f t="shared" ca="1" si="5"/>
        <v>3642442</v>
      </c>
      <c r="T116" s="26">
        <f ca="1">IFERROR(__xludf.DUMMYFUNCTION("ROUND(GOOGLEFINANCE(""Currency:EURKZT"")*L116+S116)"),4179340)</f>
        <v>4179340</v>
      </c>
      <c r="U116" s="26">
        <f ca="1">IFERROR(__xludf.DUMMYFUNCTION("D116*GOOGLEFINANCE(""RUBKZT"")*1000/F116"),5151885.7868904)</f>
        <v>5151885.7868903996</v>
      </c>
      <c r="V116" s="27">
        <f t="shared" ca="1" si="6"/>
        <v>0.23270319880421303</v>
      </c>
    </row>
    <row r="117" spans="1:22" ht="12.75" customHeight="1" x14ac:dyDescent="0.2">
      <c r="A117" s="6" t="s">
        <v>549</v>
      </c>
      <c r="B117" s="6" t="s">
        <v>488</v>
      </c>
      <c r="C117" s="7">
        <v>213943</v>
      </c>
      <c r="D117" s="8">
        <v>7542</v>
      </c>
      <c r="E117" s="9" t="s">
        <v>7</v>
      </c>
      <c r="F117" s="23">
        <v>12</v>
      </c>
      <c r="G117" s="25"/>
      <c r="H117" s="14">
        <f t="shared" si="0"/>
        <v>0.55000000000000004</v>
      </c>
      <c r="I117" s="25">
        <f ca="1">IFERROR(__xludf.DUMMYFUNCTION("ROUND(D117*GOOGLEFINANCE(""RUBKZT"")*H117)"),32370)</f>
        <v>32370</v>
      </c>
      <c r="J117" s="26">
        <f ca="1">IFERROR(__xludf.DUMMYFUNCTION("ROUND(I117*GOOGLEFINANCE(""KZTEUR""))"),68)</f>
        <v>68</v>
      </c>
      <c r="K117" s="26">
        <f t="shared" ca="1" si="1"/>
        <v>5667</v>
      </c>
      <c r="L117" s="26">
        <f t="shared" ca="1" si="2"/>
        <v>1076.73</v>
      </c>
      <c r="M117" s="26">
        <f t="shared" ref="M117:N117" si="119">M$3</f>
        <v>500</v>
      </c>
      <c r="N117" s="26">
        <f t="shared" si="119"/>
        <v>500</v>
      </c>
      <c r="O117" s="26">
        <f ca="1">IFERROR(__xludf.DUMMYFUNCTION("ROUND(GOOGLEFINANCE(""Currency:EURKZT"")*K117)"),2706387)</f>
        <v>2706387</v>
      </c>
      <c r="P117" s="26">
        <f ca="1">IFERROR(__xludf.DUMMYFUNCTION("ROUND(GOOGLEFINANCE(""Currency:EURKZT"")*M117)"),238785)</f>
        <v>238785</v>
      </c>
      <c r="Q117" s="26">
        <f ca="1">IFERROR(__xludf.DUMMYFUNCTION("ROUND(GOOGLEFINANCE(""Currency:EURKZT"")*N117)"),238785)</f>
        <v>238785</v>
      </c>
      <c r="R117" s="26">
        <f t="shared" ca="1" si="4"/>
        <v>324766</v>
      </c>
      <c r="S117" s="26">
        <f t="shared" ca="1" si="5"/>
        <v>3508723</v>
      </c>
      <c r="T117" s="26">
        <f ca="1">IFERROR(__xludf.DUMMYFUNCTION("ROUND(GOOGLEFINANCE(""Currency:EURKZT"")*L117+S117)"),4022937)</f>
        <v>4022937</v>
      </c>
      <c r="U117" s="26">
        <f ca="1">IFERROR(__xludf.DUMMYFUNCTION("D117*GOOGLEFINANCE(""RUBKZT"")*1000/F117"),4904514.112482)</f>
        <v>4904514.1124820001</v>
      </c>
      <c r="V117" s="27">
        <f t="shared" ca="1" si="6"/>
        <v>0.2191376878340377</v>
      </c>
    </row>
    <row r="118" spans="1:22" ht="12.75" customHeight="1" x14ac:dyDescent="0.2">
      <c r="A118" s="6" t="s">
        <v>550</v>
      </c>
      <c r="B118" s="6" t="s">
        <v>488</v>
      </c>
      <c r="C118" s="7">
        <v>213944</v>
      </c>
      <c r="D118" s="8">
        <v>8052</v>
      </c>
      <c r="E118" s="9" t="s">
        <v>7</v>
      </c>
      <c r="F118" s="23">
        <v>12</v>
      </c>
      <c r="G118" s="25"/>
      <c r="H118" s="14">
        <f t="shared" si="0"/>
        <v>0.55000000000000004</v>
      </c>
      <c r="I118" s="25">
        <f ca="1">IFERROR(__xludf.DUMMYFUNCTION("ROUND(D118*GOOGLEFINANCE(""RUBKZT"")*H118)"),34559)</f>
        <v>34559</v>
      </c>
      <c r="J118" s="26">
        <f ca="1">IFERROR(__xludf.DUMMYFUNCTION("ROUND(I118*GOOGLEFINANCE(""KZTEUR""))"),72)</f>
        <v>72</v>
      </c>
      <c r="K118" s="26">
        <f t="shared" ca="1" si="1"/>
        <v>6000</v>
      </c>
      <c r="L118" s="26">
        <f t="shared" ca="1" si="2"/>
        <v>1140</v>
      </c>
      <c r="M118" s="26">
        <f t="shared" ref="M118:N118" si="120">M$3</f>
        <v>500</v>
      </c>
      <c r="N118" s="26">
        <f t="shared" si="120"/>
        <v>500</v>
      </c>
      <c r="O118" s="26">
        <f ca="1">IFERROR(__xludf.DUMMYFUNCTION("ROUND(GOOGLEFINANCE(""Currency:EURKZT"")*K118)"),2865418)</f>
        <v>2865418</v>
      </c>
      <c r="P118" s="26">
        <f ca="1">IFERROR(__xludf.DUMMYFUNCTION("ROUND(GOOGLEFINANCE(""Currency:EURKZT"")*M118)"),238785)</f>
        <v>238785</v>
      </c>
      <c r="Q118" s="26">
        <f ca="1">IFERROR(__xludf.DUMMYFUNCTION("ROUND(GOOGLEFINANCE(""Currency:EURKZT"")*N118)"),238785)</f>
        <v>238785</v>
      </c>
      <c r="R118" s="26">
        <f t="shared" ca="1" si="4"/>
        <v>343850</v>
      </c>
      <c r="S118" s="26">
        <f t="shared" ca="1" si="5"/>
        <v>3686838</v>
      </c>
      <c r="T118" s="26">
        <f ca="1">IFERROR(__xludf.DUMMYFUNCTION("ROUND(GOOGLEFINANCE(""Currency:EURKZT"")*L118+S118)"),4231267)</f>
        <v>4231267</v>
      </c>
      <c r="U118" s="26">
        <f ca="1">IFERROR(__xludf.DUMMYFUNCTION("D118*GOOGLEFINANCE(""RUBKZT"")*1000/F118"),5236163.833692)</f>
        <v>5236163.8336920002</v>
      </c>
      <c r="V118" s="27">
        <f t="shared" ca="1" si="6"/>
        <v>0.23749312763576494</v>
      </c>
    </row>
    <row r="119" spans="1:22" ht="12.75" customHeight="1" x14ac:dyDescent="0.2">
      <c r="A119" s="6" t="s">
        <v>551</v>
      </c>
      <c r="B119" s="6" t="s">
        <v>488</v>
      </c>
      <c r="C119" s="7">
        <v>213947</v>
      </c>
      <c r="D119" s="8">
        <v>9698.4</v>
      </c>
      <c r="E119" s="9" t="s">
        <v>7</v>
      </c>
      <c r="F119" s="23">
        <v>12</v>
      </c>
      <c r="G119" s="25"/>
      <c r="H119" s="14">
        <f t="shared" si="0"/>
        <v>0.55000000000000004</v>
      </c>
      <c r="I119" s="25">
        <f ca="1">IFERROR(__xludf.DUMMYFUNCTION("ROUND(D119*GOOGLEFINANCE(""RUBKZT"")*H119)"),41625)</f>
        <v>41625</v>
      </c>
      <c r="J119" s="26">
        <f ca="1">IFERROR(__xludf.DUMMYFUNCTION("ROUND(I119*GOOGLEFINANCE(""KZTEUR""))"),87)</f>
        <v>87</v>
      </c>
      <c r="K119" s="26">
        <f t="shared" ca="1" si="1"/>
        <v>7250</v>
      </c>
      <c r="L119" s="26">
        <f t="shared" ca="1" si="2"/>
        <v>1377.5</v>
      </c>
      <c r="M119" s="26">
        <f t="shared" ref="M119:N119" si="121">M$3</f>
        <v>500</v>
      </c>
      <c r="N119" s="26">
        <f t="shared" si="121"/>
        <v>500</v>
      </c>
      <c r="O119" s="26">
        <f ca="1">IFERROR(__xludf.DUMMYFUNCTION("ROUND(GOOGLEFINANCE(""Currency:EURKZT"")*K119)"),3462380)</f>
        <v>3462380</v>
      </c>
      <c r="P119" s="26">
        <f ca="1">IFERROR(__xludf.DUMMYFUNCTION("ROUND(GOOGLEFINANCE(""Currency:EURKZT"")*M119)"),238785)</f>
        <v>238785</v>
      </c>
      <c r="Q119" s="26">
        <f ca="1">IFERROR(__xludf.DUMMYFUNCTION("ROUND(GOOGLEFINANCE(""Currency:EURKZT"")*N119)"),238785)</f>
        <v>238785</v>
      </c>
      <c r="R119" s="26">
        <f t="shared" ca="1" si="4"/>
        <v>415486</v>
      </c>
      <c r="S119" s="26">
        <f t="shared" ca="1" si="5"/>
        <v>4355436</v>
      </c>
      <c r="T119" s="26">
        <f ca="1">IFERROR(__xludf.DUMMYFUNCTION("ROUND(GOOGLEFINANCE(""Currency:EURKZT"")*L119+S119)"),5013288)</f>
        <v>5013288</v>
      </c>
      <c r="U119" s="26">
        <f ca="1">IFERROR(__xludf.DUMMYFUNCTION("D119*GOOGLEFINANCE(""RUBKZT"")*1000/F119"),6306807.1689864)</f>
        <v>6306807.1689863997</v>
      </c>
      <c r="V119" s="27">
        <f t="shared" ca="1" si="6"/>
        <v>0.2580181248287351</v>
      </c>
    </row>
    <row r="120" spans="1:22" ht="12.75" customHeight="1" x14ac:dyDescent="0.2">
      <c r="A120" s="6" t="s">
        <v>552</v>
      </c>
      <c r="B120" s="6" t="s">
        <v>488</v>
      </c>
      <c r="C120" s="7">
        <v>213949</v>
      </c>
      <c r="D120" s="8">
        <v>7605.5999999999995</v>
      </c>
      <c r="E120" s="9" t="s">
        <v>7</v>
      </c>
      <c r="F120" s="23">
        <v>12</v>
      </c>
      <c r="G120" s="25"/>
      <c r="H120" s="14">
        <f t="shared" si="0"/>
        <v>0.55000000000000004</v>
      </c>
      <c r="I120" s="25">
        <f ca="1">IFERROR(__xludf.DUMMYFUNCTION("ROUND(D120*GOOGLEFINANCE(""RUBKZT"")*H120)"),32643)</f>
        <v>32643</v>
      </c>
      <c r="J120" s="26">
        <f ca="1">IFERROR(__xludf.DUMMYFUNCTION("ROUND(I120*GOOGLEFINANCE(""KZTEUR""))"),68)</f>
        <v>68</v>
      </c>
      <c r="K120" s="26">
        <f t="shared" ca="1" si="1"/>
        <v>5667</v>
      </c>
      <c r="L120" s="26">
        <f t="shared" ca="1" si="2"/>
        <v>1076.73</v>
      </c>
      <c r="M120" s="26">
        <f t="shared" ref="M120:N120" si="122">M$3</f>
        <v>500</v>
      </c>
      <c r="N120" s="26">
        <f t="shared" si="122"/>
        <v>500</v>
      </c>
      <c r="O120" s="26">
        <f ca="1">IFERROR(__xludf.DUMMYFUNCTION("ROUND(GOOGLEFINANCE(""Currency:EURKZT"")*K120)"),2706387)</f>
        <v>2706387</v>
      </c>
      <c r="P120" s="26">
        <f ca="1">IFERROR(__xludf.DUMMYFUNCTION("ROUND(GOOGLEFINANCE(""Currency:EURKZT"")*M120)"),238785)</f>
        <v>238785</v>
      </c>
      <c r="Q120" s="26">
        <f ca="1">IFERROR(__xludf.DUMMYFUNCTION("ROUND(GOOGLEFINANCE(""Currency:EURKZT"")*N120)"),238785)</f>
        <v>238785</v>
      </c>
      <c r="R120" s="26">
        <f t="shared" ca="1" si="4"/>
        <v>324766</v>
      </c>
      <c r="S120" s="26">
        <f t="shared" ca="1" si="5"/>
        <v>3508723</v>
      </c>
      <c r="T120" s="26">
        <f ca="1">IFERROR(__xludf.DUMMYFUNCTION("ROUND(GOOGLEFINANCE(""Currency:EURKZT"")*L120+S120)"),4022937)</f>
        <v>4022937</v>
      </c>
      <c r="U120" s="26">
        <f ca="1">IFERROR(__xludf.DUMMYFUNCTION("D120*GOOGLEFINANCE(""RUBKZT"")*1000/F120"),4945872.7835976)</f>
        <v>4945872.7835975997</v>
      </c>
      <c r="V120" s="27">
        <f t="shared" ca="1" si="6"/>
        <v>0.22941840341959113</v>
      </c>
    </row>
    <row r="121" spans="1:22" ht="12.75" customHeight="1" x14ac:dyDescent="0.2">
      <c r="A121" s="6" t="s">
        <v>553</v>
      </c>
      <c r="B121" s="6" t="s">
        <v>488</v>
      </c>
      <c r="C121" s="7">
        <v>213951</v>
      </c>
      <c r="D121" s="8">
        <v>9231.6</v>
      </c>
      <c r="E121" s="9" t="s">
        <v>7</v>
      </c>
      <c r="F121" s="23">
        <v>12</v>
      </c>
      <c r="G121" s="25"/>
      <c r="H121" s="14">
        <f t="shared" si="0"/>
        <v>0.55000000000000004</v>
      </c>
      <c r="I121" s="25">
        <f ca="1">IFERROR(__xludf.DUMMYFUNCTION("ROUND(D121*GOOGLEFINANCE(""RUBKZT"")*H121)"),39621)</f>
        <v>39621</v>
      </c>
      <c r="J121" s="26">
        <f ca="1">IFERROR(__xludf.DUMMYFUNCTION("ROUND(I121*GOOGLEFINANCE(""KZTEUR""))"),83)</f>
        <v>83</v>
      </c>
      <c r="K121" s="26">
        <f t="shared" ca="1" si="1"/>
        <v>6917</v>
      </c>
      <c r="L121" s="26">
        <f t="shared" ca="1" si="2"/>
        <v>1314.23</v>
      </c>
      <c r="M121" s="26">
        <f t="shared" ref="M121:N121" si="123">M$3</f>
        <v>500</v>
      </c>
      <c r="N121" s="26">
        <f t="shared" si="123"/>
        <v>500</v>
      </c>
      <c r="O121" s="26">
        <f ca="1">IFERROR(__xludf.DUMMYFUNCTION("ROUND(GOOGLEFINANCE(""Currency:EURKZT"")*K121)"),3303349)</f>
        <v>3303349</v>
      </c>
      <c r="P121" s="26">
        <f ca="1">IFERROR(__xludf.DUMMYFUNCTION("ROUND(GOOGLEFINANCE(""Currency:EURKZT"")*M121)"),238785)</f>
        <v>238785</v>
      </c>
      <c r="Q121" s="26">
        <f ca="1">IFERROR(__xludf.DUMMYFUNCTION("ROUND(GOOGLEFINANCE(""Currency:EURKZT"")*N121)"),238785)</f>
        <v>238785</v>
      </c>
      <c r="R121" s="26">
        <f t="shared" ca="1" si="4"/>
        <v>396402</v>
      </c>
      <c r="S121" s="26">
        <f t="shared" ca="1" si="5"/>
        <v>4177321</v>
      </c>
      <c r="T121" s="26">
        <f ca="1">IFERROR(__xludf.DUMMYFUNCTION("ROUND(GOOGLEFINANCE(""Currency:EURKZT"")*L121+S121)"),4804957)</f>
        <v>4804957</v>
      </c>
      <c r="U121" s="26">
        <f ca="1">IFERROR(__xludf.DUMMYFUNCTION("D121*GOOGLEFINANCE(""RUBKZT"")*1000/F121"),6003250.1300436)</f>
        <v>6003250.1300435998</v>
      </c>
      <c r="V121" s="27">
        <f t="shared" ca="1" si="6"/>
        <v>0.24938685820572373</v>
      </c>
    </row>
    <row r="122" spans="1:22" ht="12.75" customHeight="1" x14ac:dyDescent="0.2">
      <c r="A122" s="6" t="s">
        <v>554</v>
      </c>
      <c r="B122" s="6" t="s">
        <v>488</v>
      </c>
      <c r="C122" s="7">
        <v>213952</v>
      </c>
      <c r="D122" s="8">
        <v>7354.8</v>
      </c>
      <c r="E122" s="9" t="s">
        <v>7</v>
      </c>
      <c r="F122" s="23">
        <v>12</v>
      </c>
      <c r="G122" s="25"/>
      <c r="H122" s="14">
        <f t="shared" si="0"/>
        <v>0.55000000000000004</v>
      </c>
      <c r="I122" s="25">
        <f ca="1">IFERROR(__xludf.DUMMYFUNCTION("ROUND(D122*GOOGLEFINANCE(""RUBKZT"")*H122)"),31566)</f>
        <v>31566</v>
      </c>
      <c r="J122" s="26">
        <f ca="1">IFERROR(__xludf.DUMMYFUNCTION("ROUND(I122*GOOGLEFINANCE(""KZTEUR""))"),66)</f>
        <v>66</v>
      </c>
      <c r="K122" s="26">
        <f t="shared" ca="1" si="1"/>
        <v>5500</v>
      </c>
      <c r="L122" s="26">
        <f t="shared" ca="1" si="2"/>
        <v>1045</v>
      </c>
      <c r="M122" s="26">
        <f t="shared" ref="M122:N122" si="124">M$3</f>
        <v>500</v>
      </c>
      <c r="N122" s="26">
        <f t="shared" si="124"/>
        <v>500</v>
      </c>
      <c r="O122" s="26">
        <f ca="1">IFERROR(__xludf.DUMMYFUNCTION("ROUND(GOOGLEFINANCE(""Currency:EURKZT"")*K122)"),2626633)</f>
        <v>2626633</v>
      </c>
      <c r="P122" s="26">
        <f ca="1">IFERROR(__xludf.DUMMYFUNCTION("ROUND(GOOGLEFINANCE(""Currency:EURKZT"")*M122)"),238785)</f>
        <v>238785</v>
      </c>
      <c r="Q122" s="26">
        <f ca="1">IFERROR(__xludf.DUMMYFUNCTION("ROUND(GOOGLEFINANCE(""Currency:EURKZT"")*N122)"),238785)</f>
        <v>238785</v>
      </c>
      <c r="R122" s="26">
        <f t="shared" ca="1" si="4"/>
        <v>315196</v>
      </c>
      <c r="S122" s="26">
        <f t="shared" ca="1" si="5"/>
        <v>3419399</v>
      </c>
      <c r="T122" s="26">
        <f ca="1">IFERROR(__xludf.DUMMYFUNCTION("ROUND(GOOGLEFINANCE(""Currency:EURKZT"")*L122+S122)"),3918459)</f>
        <v>3918459</v>
      </c>
      <c r="U122" s="26">
        <f ca="1">IFERROR(__xludf.DUMMYFUNCTION("D122*GOOGLEFINANCE(""RUBKZT"")*1000/F122"),4782779.1559908)</f>
        <v>4782779.1559907999</v>
      </c>
      <c r="V122" s="27">
        <f t="shared" ca="1" si="6"/>
        <v>0.22057654705352281</v>
      </c>
    </row>
    <row r="123" spans="1:22" ht="12.75" customHeight="1" x14ac:dyDescent="0.2">
      <c r="A123" s="6" t="s">
        <v>555</v>
      </c>
      <c r="B123" s="6" t="s">
        <v>488</v>
      </c>
      <c r="C123" s="7">
        <v>213954</v>
      </c>
      <c r="D123" s="8">
        <v>7594.7999999999993</v>
      </c>
      <c r="E123" s="9" t="s">
        <v>7</v>
      </c>
      <c r="F123" s="23">
        <v>12</v>
      </c>
      <c r="G123" s="25"/>
      <c r="H123" s="14">
        <f t="shared" si="0"/>
        <v>0.55000000000000004</v>
      </c>
      <c r="I123" s="25">
        <f ca="1">IFERROR(__xludf.DUMMYFUNCTION("ROUND(D123*GOOGLEFINANCE(""RUBKZT"")*H123)"),32596)</f>
        <v>32596</v>
      </c>
      <c r="J123" s="26">
        <f ca="1">IFERROR(__xludf.DUMMYFUNCTION("ROUND(I123*GOOGLEFINANCE(""KZTEUR""))"),68)</f>
        <v>68</v>
      </c>
      <c r="K123" s="26">
        <f t="shared" ca="1" si="1"/>
        <v>5667</v>
      </c>
      <c r="L123" s="26">
        <f t="shared" ca="1" si="2"/>
        <v>1076.73</v>
      </c>
      <c r="M123" s="26">
        <f t="shared" ref="M123:N123" si="125">M$3</f>
        <v>500</v>
      </c>
      <c r="N123" s="26">
        <f t="shared" si="125"/>
        <v>500</v>
      </c>
      <c r="O123" s="26">
        <f ca="1">IFERROR(__xludf.DUMMYFUNCTION("ROUND(GOOGLEFINANCE(""Currency:EURKZT"")*K123)"),2706387)</f>
        <v>2706387</v>
      </c>
      <c r="P123" s="26">
        <f ca="1">IFERROR(__xludf.DUMMYFUNCTION("ROUND(GOOGLEFINANCE(""Currency:EURKZT"")*M123)"),238785)</f>
        <v>238785</v>
      </c>
      <c r="Q123" s="26">
        <f ca="1">IFERROR(__xludf.DUMMYFUNCTION("ROUND(GOOGLEFINANCE(""Currency:EURKZT"")*N123)"),238785)</f>
        <v>238785</v>
      </c>
      <c r="R123" s="26">
        <f t="shared" ca="1" si="4"/>
        <v>324766</v>
      </c>
      <c r="S123" s="26">
        <f t="shared" ca="1" si="5"/>
        <v>3508723</v>
      </c>
      <c r="T123" s="26">
        <f ca="1">IFERROR(__xludf.DUMMYFUNCTION("ROUND(GOOGLEFINANCE(""Currency:EURKZT"")*L123+S123)"),4022937)</f>
        <v>4022937</v>
      </c>
      <c r="U123" s="26">
        <f ca="1">IFERROR(__xludf.DUMMYFUNCTION("D123*GOOGLEFINANCE(""RUBKZT"")*1000/F123"),4938849.6130308)</f>
        <v>4938849.6130307997</v>
      </c>
      <c r="V123" s="27">
        <f t="shared" ca="1" si="6"/>
        <v>0.22767262152770468</v>
      </c>
    </row>
    <row r="124" spans="1:22" ht="12.75" customHeight="1" x14ac:dyDescent="0.2">
      <c r="A124" s="6" t="s">
        <v>556</v>
      </c>
      <c r="B124" s="6" t="s">
        <v>488</v>
      </c>
      <c r="C124" s="7">
        <v>213956</v>
      </c>
      <c r="D124" s="8">
        <v>7500</v>
      </c>
      <c r="E124" s="9" t="s">
        <v>7</v>
      </c>
      <c r="F124" s="23">
        <v>12</v>
      </c>
      <c r="G124" s="25"/>
      <c r="H124" s="14">
        <f t="shared" si="0"/>
        <v>0.55000000000000004</v>
      </c>
      <c r="I124" s="25">
        <f ca="1">IFERROR(__xludf.DUMMYFUNCTION("ROUND(D124*GOOGLEFINANCE(""RUBKZT"")*H124)"),32190)</f>
        <v>32190</v>
      </c>
      <c r="J124" s="26">
        <f ca="1">IFERROR(__xludf.DUMMYFUNCTION("ROUND(I124*GOOGLEFINANCE(""KZTEUR""))"),67)</f>
        <v>67</v>
      </c>
      <c r="K124" s="26">
        <f t="shared" ca="1" si="1"/>
        <v>5583</v>
      </c>
      <c r="L124" s="26">
        <f t="shared" ca="1" si="2"/>
        <v>1060.77</v>
      </c>
      <c r="M124" s="26">
        <f t="shared" ref="M124:N124" si="126">M$3</f>
        <v>500</v>
      </c>
      <c r="N124" s="26">
        <f t="shared" si="126"/>
        <v>500</v>
      </c>
      <c r="O124" s="26">
        <f ca="1">IFERROR(__xludf.DUMMYFUNCTION("ROUND(GOOGLEFINANCE(""Currency:EURKZT"")*K124)"),2666271)</f>
        <v>2666271</v>
      </c>
      <c r="P124" s="26">
        <f ca="1">IFERROR(__xludf.DUMMYFUNCTION("ROUND(GOOGLEFINANCE(""Currency:EURKZT"")*M124)"),238785)</f>
        <v>238785</v>
      </c>
      <c r="Q124" s="26">
        <f ca="1">IFERROR(__xludf.DUMMYFUNCTION("ROUND(GOOGLEFINANCE(""Currency:EURKZT"")*N124)"),238785)</f>
        <v>238785</v>
      </c>
      <c r="R124" s="26">
        <f t="shared" ca="1" si="4"/>
        <v>319953</v>
      </c>
      <c r="S124" s="26">
        <f t="shared" ca="1" si="5"/>
        <v>3463794</v>
      </c>
      <c r="T124" s="26">
        <f ca="1">IFERROR(__xludf.DUMMYFUNCTION("ROUND(GOOGLEFINANCE(""Currency:EURKZT"")*L124+S124)"),3970386)</f>
        <v>3970386</v>
      </c>
      <c r="U124" s="26">
        <f ca="1">IFERROR(__xludf.DUMMYFUNCTION("D124*GOOGLEFINANCE(""RUBKZT"")*1000/F124"),4877201.7825)</f>
        <v>4877201.7824999997</v>
      </c>
      <c r="V124" s="27">
        <f t="shared" ca="1" si="6"/>
        <v>0.22839486702300474</v>
      </c>
    </row>
    <row r="125" spans="1:22" ht="12.75" customHeight="1" x14ac:dyDescent="0.2">
      <c r="A125" s="6" t="s">
        <v>557</v>
      </c>
      <c r="B125" s="6" t="s">
        <v>488</v>
      </c>
      <c r="C125" s="7">
        <v>213957</v>
      </c>
      <c r="D125" s="8">
        <v>6810</v>
      </c>
      <c r="E125" s="9" t="s">
        <v>7</v>
      </c>
      <c r="F125" s="23">
        <v>12</v>
      </c>
      <c r="G125" s="25"/>
      <c r="H125" s="14">
        <f t="shared" si="0"/>
        <v>0.55000000000000004</v>
      </c>
      <c r="I125" s="25">
        <f ca="1">IFERROR(__xludf.DUMMYFUNCTION("ROUND(D125*GOOGLEFINANCE(""RUBKZT"")*H125)"),29228)</f>
        <v>29228</v>
      </c>
      <c r="J125" s="26">
        <f ca="1">IFERROR(__xludf.DUMMYFUNCTION("ROUND(I125*GOOGLEFINANCE(""KZTEUR""))"),61)</f>
        <v>61</v>
      </c>
      <c r="K125" s="26">
        <f t="shared" ca="1" si="1"/>
        <v>5083</v>
      </c>
      <c r="L125" s="26">
        <f t="shared" ca="1" si="2"/>
        <v>965.77</v>
      </c>
      <c r="M125" s="26">
        <f t="shared" ref="M125:N125" si="127">M$3</f>
        <v>500</v>
      </c>
      <c r="N125" s="26">
        <f t="shared" si="127"/>
        <v>500</v>
      </c>
      <c r="O125" s="26">
        <f ca="1">IFERROR(__xludf.DUMMYFUNCTION("ROUND(GOOGLEFINANCE(""Currency:EURKZT"")*K125)"),2427486)</f>
        <v>2427486</v>
      </c>
      <c r="P125" s="26">
        <f ca="1">IFERROR(__xludf.DUMMYFUNCTION("ROUND(GOOGLEFINANCE(""Currency:EURKZT"")*M125)"),238785)</f>
        <v>238785</v>
      </c>
      <c r="Q125" s="26">
        <f ca="1">IFERROR(__xludf.DUMMYFUNCTION("ROUND(GOOGLEFINANCE(""Currency:EURKZT"")*N125)"),238785)</f>
        <v>238785</v>
      </c>
      <c r="R125" s="26">
        <f t="shared" ca="1" si="4"/>
        <v>291298</v>
      </c>
      <c r="S125" s="26">
        <f t="shared" ca="1" si="5"/>
        <v>3196354</v>
      </c>
      <c r="T125" s="26">
        <f ca="1">IFERROR(__xludf.DUMMYFUNCTION("ROUND(GOOGLEFINANCE(""Currency:EURKZT"")*L125+S125)"),3657576)</f>
        <v>3657576</v>
      </c>
      <c r="U125" s="26">
        <f ca="1">IFERROR(__xludf.DUMMYFUNCTION("D125*GOOGLEFINANCE(""RUBKZT"")*1000/F125"),4428499.21851)</f>
        <v>4428499.21851</v>
      </c>
      <c r="V125" s="27">
        <f t="shared" ca="1" si="6"/>
        <v>0.21077435397377936</v>
      </c>
    </row>
    <row r="126" spans="1:22" ht="12.75" customHeight="1" x14ac:dyDescent="0.2">
      <c r="A126" s="6" t="s">
        <v>558</v>
      </c>
      <c r="B126" s="6" t="s">
        <v>488</v>
      </c>
      <c r="C126" s="7">
        <v>213959</v>
      </c>
      <c r="D126" s="8">
        <v>9231.6</v>
      </c>
      <c r="E126" s="9" t="s">
        <v>7</v>
      </c>
      <c r="F126" s="23">
        <v>12</v>
      </c>
      <c r="G126" s="25"/>
      <c r="H126" s="14">
        <f t="shared" si="0"/>
        <v>0.55000000000000004</v>
      </c>
      <c r="I126" s="25">
        <f ca="1">IFERROR(__xludf.DUMMYFUNCTION("ROUND(D126*GOOGLEFINANCE(""RUBKZT"")*H126)"),39621)</f>
        <v>39621</v>
      </c>
      <c r="J126" s="26">
        <f ca="1">IFERROR(__xludf.DUMMYFUNCTION("ROUND(I126*GOOGLEFINANCE(""KZTEUR""))"),83)</f>
        <v>83</v>
      </c>
      <c r="K126" s="26">
        <f t="shared" ca="1" si="1"/>
        <v>6917</v>
      </c>
      <c r="L126" s="26">
        <f t="shared" ca="1" si="2"/>
        <v>1314.23</v>
      </c>
      <c r="M126" s="26">
        <f t="shared" ref="M126:N126" si="128">M$3</f>
        <v>500</v>
      </c>
      <c r="N126" s="26">
        <f t="shared" si="128"/>
        <v>500</v>
      </c>
      <c r="O126" s="26">
        <f ca="1">IFERROR(__xludf.DUMMYFUNCTION("ROUND(GOOGLEFINANCE(""Currency:EURKZT"")*K126)"),3303349)</f>
        <v>3303349</v>
      </c>
      <c r="P126" s="26">
        <f ca="1">IFERROR(__xludf.DUMMYFUNCTION("ROUND(GOOGLEFINANCE(""Currency:EURKZT"")*M126)"),238785)</f>
        <v>238785</v>
      </c>
      <c r="Q126" s="26">
        <f ca="1">IFERROR(__xludf.DUMMYFUNCTION("ROUND(GOOGLEFINANCE(""Currency:EURKZT"")*N126)"),238785)</f>
        <v>238785</v>
      </c>
      <c r="R126" s="26">
        <f t="shared" ca="1" si="4"/>
        <v>396402</v>
      </c>
      <c r="S126" s="26">
        <f t="shared" ca="1" si="5"/>
        <v>4177321</v>
      </c>
      <c r="T126" s="26">
        <f ca="1">IFERROR(__xludf.DUMMYFUNCTION("ROUND(GOOGLEFINANCE(""Currency:EURKZT"")*L126+S126)"),4804957)</f>
        <v>4804957</v>
      </c>
      <c r="U126" s="26">
        <f ca="1">IFERROR(__xludf.DUMMYFUNCTION("D126*GOOGLEFINANCE(""RUBKZT"")*1000/F126"),6003250.1300436)</f>
        <v>6003250.1300435998</v>
      </c>
      <c r="V126" s="27">
        <f t="shared" ca="1" si="6"/>
        <v>0.24938685820572373</v>
      </c>
    </row>
    <row r="127" spans="1:22" ht="12.75" customHeight="1" x14ac:dyDescent="0.2">
      <c r="A127" s="6" t="s">
        <v>559</v>
      </c>
      <c r="B127" s="6" t="s">
        <v>488</v>
      </c>
      <c r="C127" s="7">
        <v>213960</v>
      </c>
      <c r="D127" s="8">
        <v>7489.2</v>
      </c>
      <c r="E127" s="9" t="s">
        <v>7</v>
      </c>
      <c r="F127" s="23">
        <v>12</v>
      </c>
      <c r="G127" s="25"/>
      <c r="H127" s="14">
        <f t="shared" si="0"/>
        <v>0.55000000000000004</v>
      </c>
      <c r="I127" s="25">
        <f ca="1">IFERROR(__xludf.DUMMYFUNCTION("ROUND(D127*GOOGLEFINANCE(""RUBKZT"")*H127)"),32143)</f>
        <v>32143</v>
      </c>
      <c r="J127" s="26">
        <f ca="1">IFERROR(__xludf.DUMMYFUNCTION("ROUND(I127*GOOGLEFINANCE(""KZTEUR""))"),67)</f>
        <v>67</v>
      </c>
      <c r="K127" s="26">
        <f t="shared" ca="1" si="1"/>
        <v>5583</v>
      </c>
      <c r="L127" s="26">
        <f t="shared" ca="1" si="2"/>
        <v>1060.77</v>
      </c>
      <c r="M127" s="26">
        <f t="shared" ref="M127:N127" si="129">M$3</f>
        <v>500</v>
      </c>
      <c r="N127" s="26">
        <f t="shared" si="129"/>
        <v>500</v>
      </c>
      <c r="O127" s="26">
        <f ca="1">IFERROR(__xludf.DUMMYFUNCTION("ROUND(GOOGLEFINANCE(""Currency:EURKZT"")*K127)"),2666271)</f>
        <v>2666271</v>
      </c>
      <c r="P127" s="26">
        <f ca="1">IFERROR(__xludf.DUMMYFUNCTION("ROUND(GOOGLEFINANCE(""Currency:EURKZT"")*M127)"),238785)</f>
        <v>238785</v>
      </c>
      <c r="Q127" s="26">
        <f ca="1">IFERROR(__xludf.DUMMYFUNCTION("ROUND(GOOGLEFINANCE(""Currency:EURKZT"")*N127)"),238785)</f>
        <v>238785</v>
      </c>
      <c r="R127" s="26">
        <f t="shared" ca="1" si="4"/>
        <v>319953</v>
      </c>
      <c r="S127" s="26">
        <f t="shared" ca="1" si="5"/>
        <v>3463794</v>
      </c>
      <c r="T127" s="26">
        <f ca="1">IFERROR(__xludf.DUMMYFUNCTION("ROUND(GOOGLEFINANCE(""Currency:EURKZT"")*L127+S127)"),3970386)</f>
        <v>3970386</v>
      </c>
      <c r="U127" s="26">
        <f ca="1">IFERROR(__xludf.DUMMYFUNCTION("D127*GOOGLEFINANCE(""RUBKZT"")*1000/F127"),4870178.6119332)</f>
        <v>4870178.6119331997</v>
      </c>
      <c r="V127" s="27">
        <f t="shared" ca="1" si="6"/>
        <v>0.22662597841449161</v>
      </c>
    </row>
    <row r="128" spans="1:22" ht="12.75" customHeight="1" x14ac:dyDescent="0.2">
      <c r="A128" s="6" t="s">
        <v>560</v>
      </c>
      <c r="B128" s="6" t="s">
        <v>488</v>
      </c>
      <c r="C128" s="7">
        <v>213961</v>
      </c>
      <c r="D128" s="8">
        <v>6765.5999999999995</v>
      </c>
      <c r="E128" s="9" t="s">
        <v>7</v>
      </c>
      <c r="F128" s="23">
        <v>12</v>
      </c>
      <c r="G128" s="25"/>
      <c r="H128" s="14">
        <f t="shared" si="0"/>
        <v>0.55000000000000004</v>
      </c>
      <c r="I128" s="25">
        <f ca="1">IFERROR(__xludf.DUMMYFUNCTION("ROUND(D128*GOOGLEFINANCE(""RUBKZT"")*H128)"),29038)</f>
        <v>29038</v>
      </c>
      <c r="J128" s="26">
        <f ca="1">IFERROR(__xludf.DUMMYFUNCTION("ROUND(I128*GOOGLEFINANCE(""KZTEUR""))"),61)</f>
        <v>61</v>
      </c>
      <c r="K128" s="26">
        <f t="shared" ca="1" si="1"/>
        <v>5083</v>
      </c>
      <c r="L128" s="26">
        <f t="shared" ca="1" si="2"/>
        <v>965.77</v>
      </c>
      <c r="M128" s="26">
        <f t="shared" ref="M128:N128" si="130">M$3</f>
        <v>500</v>
      </c>
      <c r="N128" s="26">
        <f t="shared" si="130"/>
        <v>500</v>
      </c>
      <c r="O128" s="26">
        <f ca="1">IFERROR(__xludf.DUMMYFUNCTION("ROUND(GOOGLEFINANCE(""Currency:EURKZT"")*K128)"),2427486)</f>
        <v>2427486</v>
      </c>
      <c r="P128" s="26">
        <f ca="1">IFERROR(__xludf.DUMMYFUNCTION("ROUND(GOOGLEFINANCE(""Currency:EURKZT"")*M128)"),238785)</f>
        <v>238785</v>
      </c>
      <c r="Q128" s="26">
        <f ca="1">IFERROR(__xludf.DUMMYFUNCTION("ROUND(GOOGLEFINANCE(""Currency:EURKZT"")*N128)"),238785)</f>
        <v>238785</v>
      </c>
      <c r="R128" s="26">
        <f t="shared" ca="1" si="4"/>
        <v>291298</v>
      </c>
      <c r="S128" s="26">
        <f t="shared" ca="1" si="5"/>
        <v>3196354</v>
      </c>
      <c r="T128" s="26">
        <f ca="1">IFERROR(__xludf.DUMMYFUNCTION("ROUND(GOOGLEFINANCE(""Currency:EURKZT"")*L128+S128)"),3657576)</f>
        <v>3657576</v>
      </c>
      <c r="U128" s="26">
        <f ca="1">IFERROR(__xludf.DUMMYFUNCTION("D128*GOOGLEFINANCE(""RUBKZT"")*1000/F128"),4399626.1839576)</f>
        <v>4399626.1839576</v>
      </c>
      <c r="V128" s="27">
        <f t="shared" ca="1" si="6"/>
        <v>0.20288031853817939</v>
      </c>
    </row>
    <row r="129" spans="1:22" ht="12.75" customHeight="1" x14ac:dyDescent="0.2">
      <c r="A129" s="6" t="s">
        <v>561</v>
      </c>
      <c r="B129" s="6" t="s">
        <v>488</v>
      </c>
      <c r="C129" s="7">
        <v>213962</v>
      </c>
      <c r="D129" s="8">
        <v>7255.2</v>
      </c>
      <c r="E129" s="9" t="s">
        <v>7</v>
      </c>
      <c r="F129" s="23">
        <v>12</v>
      </c>
      <c r="G129" s="25"/>
      <c r="H129" s="14">
        <f t="shared" si="0"/>
        <v>0.55000000000000004</v>
      </c>
      <c r="I129" s="25">
        <f ca="1">IFERROR(__xludf.DUMMYFUNCTION("ROUND(D129*GOOGLEFINANCE(""RUBKZT"")*H129)"),31139)</f>
        <v>31139</v>
      </c>
      <c r="J129" s="26">
        <f ca="1">IFERROR(__xludf.DUMMYFUNCTION("ROUND(I129*GOOGLEFINANCE(""KZTEUR""))"),65)</f>
        <v>65</v>
      </c>
      <c r="K129" s="26">
        <f t="shared" ca="1" si="1"/>
        <v>5417</v>
      </c>
      <c r="L129" s="26">
        <f t="shared" ca="1" si="2"/>
        <v>1029.23</v>
      </c>
      <c r="M129" s="26">
        <f t="shared" ref="M129:N129" si="131">M$3</f>
        <v>500</v>
      </c>
      <c r="N129" s="26">
        <f t="shared" si="131"/>
        <v>500</v>
      </c>
      <c r="O129" s="26">
        <f ca="1">IFERROR(__xludf.DUMMYFUNCTION("ROUND(GOOGLEFINANCE(""Currency:EURKZT"")*K129)"),2586995)</f>
        <v>2586995</v>
      </c>
      <c r="P129" s="26">
        <f ca="1">IFERROR(__xludf.DUMMYFUNCTION("ROUND(GOOGLEFINANCE(""Currency:EURKZT"")*M129)"),238785)</f>
        <v>238785</v>
      </c>
      <c r="Q129" s="26">
        <f ca="1">IFERROR(__xludf.DUMMYFUNCTION("ROUND(GOOGLEFINANCE(""Currency:EURKZT"")*N129)"),238785)</f>
        <v>238785</v>
      </c>
      <c r="R129" s="26">
        <f t="shared" ca="1" si="4"/>
        <v>310439</v>
      </c>
      <c r="S129" s="26">
        <f t="shared" ca="1" si="5"/>
        <v>3375004</v>
      </c>
      <c r="T129" s="26">
        <f ca="1">IFERROR(__xludf.DUMMYFUNCTION("ROUND(GOOGLEFINANCE(""Currency:EURKZT"")*L129+S129)"),3866533)</f>
        <v>3866533</v>
      </c>
      <c r="U129" s="26">
        <f ca="1">IFERROR(__xludf.DUMMYFUNCTION("D129*GOOGLEFINANCE(""RUBKZT"")*1000/F129"),4718009.9163192)</f>
        <v>4718009.9163191998</v>
      </c>
      <c r="V129" s="27">
        <f t="shared" ca="1" si="6"/>
        <v>0.22021716000334146</v>
      </c>
    </row>
    <row r="130" spans="1:22" ht="12.75" customHeight="1" x14ac:dyDescent="0.2">
      <c r="A130" s="6" t="s">
        <v>569</v>
      </c>
      <c r="B130" s="6" t="s">
        <v>488</v>
      </c>
      <c r="C130" s="7">
        <v>213971</v>
      </c>
      <c r="D130" s="8">
        <v>8870.4</v>
      </c>
      <c r="E130" s="9" t="s">
        <v>7</v>
      </c>
      <c r="F130" s="23">
        <v>12</v>
      </c>
      <c r="G130" s="25"/>
      <c r="H130" s="14">
        <f t="shared" si="0"/>
        <v>0.55000000000000004</v>
      </c>
      <c r="I130" s="25">
        <f ca="1">IFERROR(__xludf.DUMMYFUNCTION("ROUND(D130*GOOGLEFINANCE(""RUBKZT"")*H130)"),38071)</f>
        <v>38071</v>
      </c>
      <c r="J130" s="26">
        <f ca="1">IFERROR(__xludf.DUMMYFUNCTION("ROUND(I130*GOOGLEFINANCE(""KZTEUR""))"),80)</f>
        <v>80</v>
      </c>
      <c r="K130" s="26">
        <f t="shared" ca="1" si="1"/>
        <v>6667</v>
      </c>
      <c r="L130" s="26">
        <f t="shared" ca="1" si="2"/>
        <v>1266.73</v>
      </c>
      <c r="M130" s="26">
        <f t="shared" ref="M130:N130" si="132">M$3</f>
        <v>500</v>
      </c>
      <c r="N130" s="26">
        <f t="shared" si="132"/>
        <v>500</v>
      </c>
      <c r="O130" s="26">
        <f ca="1">IFERROR(__xludf.DUMMYFUNCTION("ROUND(GOOGLEFINANCE(""Currency:EURKZT"")*K130)"),3183957)</f>
        <v>3183957</v>
      </c>
      <c r="P130" s="26">
        <f ca="1">IFERROR(__xludf.DUMMYFUNCTION("ROUND(GOOGLEFINANCE(""Currency:EURKZT"")*M130)"),238785)</f>
        <v>238785</v>
      </c>
      <c r="Q130" s="26">
        <f ca="1">IFERROR(__xludf.DUMMYFUNCTION("ROUND(GOOGLEFINANCE(""Currency:EURKZT"")*N130)"),238785)</f>
        <v>238785</v>
      </c>
      <c r="R130" s="26">
        <f t="shared" ca="1" si="4"/>
        <v>382075</v>
      </c>
      <c r="S130" s="26">
        <f t="shared" ca="1" si="5"/>
        <v>4043602</v>
      </c>
      <c r="T130" s="26">
        <f ca="1">IFERROR(__xludf.DUMMYFUNCTION("ROUND(GOOGLEFINANCE(""Currency:EURKZT"")*L130+S130)"),4648554)</f>
        <v>4648554</v>
      </c>
      <c r="U130" s="26">
        <f ca="1">IFERROR(__xludf.DUMMYFUNCTION("D130*GOOGLEFINANCE(""RUBKZT"")*1000/F130"),5768364.0921984)</f>
        <v>5768364.0921983998</v>
      </c>
      <c r="V130" s="27">
        <f t="shared" ca="1" si="6"/>
        <v>0.2408942850181798</v>
      </c>
    </row>
    <row r="131" spans="1:22" ht="12.75" customHeight="1" x14ac:dyDescent="0.2">
      <c r="A131" s="6" t="s">
        <v>570</v>
      </c>
      <c r="B131" s="6" t="s">
        <v>488</v>
      </c>
      <c r="C131" s="7">
        <v>213973</v>
      </c>
      <c r="D131" s="8">
        <v>6794.4</v>
      </c>
      <c r="E131" s="9" t="s">
        <v>7</v>
      </c>
      <c r="F131" s="23">
        <v>12</v>
      </c>
      <c r="G131" s="25"/>
      <c r="H131" s="14">
        <f t="shared" si="0"/>
        <v>0.55000000000000004</v>
      </c>
      <c r="I131" s="25">
        <f ca="1">IFERROR(__xludf.DUMMYFUNCTION("ROUND(D131*GOOGLEFINANCE(""RUBKZT"")*H131)"),29161)</f>
        <v>29161</v>
      </c>
      <c r="J131" s="26">
        <f ca="1">IFERROR(__xludf.DUMMYFUNCTION("ROUND(I131*GOOGLEFINANCE(""KZTEUR""))"),61)</f>
        <v>61</v>
      </c>
      <c r="K131" s="26">
        <f t="shared" ca="1" si="1"/>
        <v>5083</v>
      </c>
      <c r="L131" s="26">
        <f t="shared" ca="1" si="2"/>
        <v>965.77</v>
      </c>
      <c r="M131" s="26">
        <f t="shared" ref="M131:N131" si="133">M$3</f>
        <v>500</v>
      </c>
      <c r="N131" s="26">
        <f t="shared" si="133"/>
        <v>500</v>
      </c>
      <c r="O131" s="26">
        <f ca="1">IFERROR(__xludf.DUMMYFUNCTION("ROUND(GOOGLEFINANCE(""Currency:EURKZT"")*K131)"),2427486)</f>
        <v>2427486</v>
      </c>
      <c r="P131" s="26">
        <f ca="1">IFERROR(__xludf.DUMMYFUNCTION("ROUND(GOOGLEFINANCE(""Currency:EURKZT"")*M131)"),238785)</f>
        <v>238785</v>
      </c>
      <c r="Q131" s="26">
        <f ca="1">IFERROR(__xludf.DUMMYFUNCTION("ROUND(GOOGLEFINANCE(""Currency:EURKZT"")*N131)"),238785)</f>
        <v>238785</v>
      </c>
      <c r="R131" s="26">
        <f t="shared" ca="1" si="4"/>
        <v>291298</v>
      </c>
      <c r="S131" s="26">
        <f t="shared" ca="1" si="5"/>
        <v>3196354</v>
      </c>
      <c r="T131" s="26">
        <f ca="1">IFERROR(__xludf.DUMMYFUNCTION("ROUND(GOOGLEFINANCE(""Currency:EURKZT"")*L131+S131)"),3657576)</f>
        <v>3657576</v>
      </c>
      <c r="U131" s="26">
        <f ca="1">IFERROR(__xludf.DUMMYFUNCTION("D131*GOOGLEFINANCE(""RUBKZT"")*1000/F131"),4418354.6388024)</f>
        <v>4418354.6388023999</v>
      </c>
      <c r="V131" s="27">
        <f t="shared" ca="1" si="6"/>
        <v>0.2080007739558658</v>
      </c>
    </row>
    <row r="132" spans="1:22" ht="12.75" customHeight="1" x14ac:dyDescent="0.2">
      <c r="A132" s="6" t="s">
        <v>571</v>
      </c>
      <c r="B132" s="6" t="s">
        <v>488</v>
      </c>
      <c r="C132" s="7">
        <v>213974</v>
      </c>
      <c r="D132" s="8">
        <v>8683.1999999999989</v>
      </c>
      <c r="E132" s="9" t="s">
        <v>7</v>
      </c>
      <c r="F132" s="23">
        <v>12</v>
      </c>
      <c r="G132" s="25"/>
      <c r="H132" s="14">
        <f t="shared" si="0"/>
        <v>0.55000000000000004</v>
      </c>
      <c r="I132" s="25">
        <f ca="1">IFERROR(__xludf.DUMMYFUNCTION("ROUND(D132*GOOGLEFINANCE(""RUBKZT"")*H132)"),37268)</f>
        <v>37268</v>
      </c>
      <c r="J132" s="26">
        <f ca="1">IFERROR(__xludf.DUMMYFUNCTION("ROUND(I132*GOOGLEFINANCE(""KZTEUR""))"),78)</f>
        <v>78</v>
      </c>
      <c r="K132" s="26">
        <f t="shared" ca="1" si="1"/>
        <v>6500</v>
      </c>
      <c r="L132" s="26">
        <f t="shared" ca="1" si="2"/>
        <v>1235</v>
      </c>
      <c r="M132" s="26">
        <f t="shared" ref="M132:N132" si="134">M$3</f>
        <v>500</v>
      </c>
      <c r="N132" s="26">
        <f t="shared" si="134"/>
        <v>500</v>
      </c>
      <c r="O132" s="26">
        <f ca="1">IFERROR(__xludf.DUMMYFUNCTION("ROUND(GOOGLEFINANCE(""Currency:EURKZT"")*K132)"),3104202)</f>
        <v>3104202</v>
      </c>
      <c r="P132" s="26">
        <f ca="1">IFERROR(__xludf.DUMMYFUNCTION("ROUND(GOOGLEFINANCE(""Currency:EURKZT"")*M132)"),238785)</f>
        <v>238785</v>
      </c>
      <c r="Q132" s="26">
        <f ca="1">IFERROR(__xludf.DUMMYFUNCTION("ROUND(GOOGLEFINANCE(""Currency:EURKZT"")*N132)"),238785)</f>
        <v>238785</v>
      </c>
      <c r="R132" s="26">
        <f t="shared" ca="1" si="4"/>
        <v>372504</v>
      </c>
      <c r="S132" s="26">
        <f t="shared" ca="1" si="5"/>
        <v>3954276</v>
      </c>
      <c r="T132" s="26">
        <f ca="1">IFERROR(__xludf.DUMMYFUNCTION("ROUND(GOOGLEFINANCE(""Currency:EURKZT"")*L132+S132)"),4544074)</f>
        <v>4544074</v>
      </c>
      <c r="U132" s="26">
        <f ca="1">IFERROR(__xludf.DUMMYFUNCTION("D132*GOOGLEFINANCE(""RUBKZT"")*1000/F132"),5646629.1357072)</f>
        <v>5646629.1357071996</v>
      </c>
      <c r="V132" s="27">
        <f t="shared" ca="1" si="6"/>
        <v>0.24263582320780858</v>
      </c>
    </row>
    <row r="133" spans="1:22" ht="12.75" customHeight="1" x14ac:dyDescent="0.2">
      <c r="A133" s="6" t="s">
        <v>519</v>
      </c>
      <c r="B133" s="6" t="s">
        <v>488</v>
      </c>
      <c r="C133" s="7">
        <v>213978</v>
      </c>
      <c r="D133" s="8">
        <v>9165.6</v>
      </c>
      <c r="E133" s="9" t="s">
        <v>16</v>
      </c>
      <c r="F133" s="23">
        <v>12</v>
      </c>
      <c r="G133" s="25"/>
      <c r="H133" s="14">
        <f t="shared" si="0"/>
        <v>0.55000000000000004</v>
      </c>
      <c r="I133" s="25">
        <f ca="1">IFERROR(__xludf.DUMMYFUNCTION("ROUND(D133*GOOGLEFINANCE(""RUBKZT"")*H133)"),39338)</f>
        <v>39338</v>
      </c>
      <c r="J133" s="26">
        <f ca="1">IFERROR(__xludf.DUMMYFUNCTION("ROUND(I133*GOOGLEFINANCE(""KZTEUR""))"),82)</f>
        <v>82</v>
      </c>
      <c r="K133" s="26">
        <f t="shared" ca="1" si="1"/>
        <v>6833</v>
      </c>
      <c r="L133" s="26">
        <f t="shared" ca="1" si="2"/>
        <v>1298.27</v>
      </c>
      <c r="M133" s="26">
        <f t="shared" ref="M133:N133" si="135">M$3</f>
        <v>500</v>
      </c>
      <c r="N133" s="26">
        <f t="shared" si="135"/>
        <v>500</v>
      </c>
      <c r="O133" s="26">
        <f ca="1">IFERROR(__xludf.DUMMYFUNCTION("ROUND(GOOGLEFINANCE(""Currency:EURKZT"")*K133)"),3263233)</f>
        <v>3263233</v>
      </c>
      <c r="P133" s="26">
        <f ca="1">IFERROR(__xludf.DUMMYFUNCTION("ROUND(GOOGLEFINANCE(""Currency:EURKZT"")*M133)"),238785)</f>
        <v>238785</v>
      </c>
      <c r="Q133" s="26">
        <f ca="1">IFERROR(__xludf.DUMMYFUNCTION("ROUND(GOOGLEFINANCE(""Currency:EURKZT"")*N133)"),238785)</f>
        <v>238785</v>
      </c>
      <c r="R133" s="26">
        <f t="shared" ca="1" si="4"/>
        <v>391588</v>
      </c>
      <c r="S133" s="26">
        <f t="shared" ca="1" si="5"/>
        <v>4132391</v>
      </c>
      <c r="T133" s="26">
        <f ca="1">IFERROR(__xludf.DUMMYFUNCTION("ROUND(GOOGLEFINANCE(""Currency:EURKZT"")*L133+S133)"),4752405)</f>
        <v>4752405</v>
      </c>
      <c r="U133" s="26">
        <f ca="1">IFERROR(__xludf.DUMMYFUNCTION("D133*GOOGLEFINANCE(""RUBKZT"")*1000/F133"),5960330.7543576)</f>
        <v>5960330.7543575997</v>
      </c>
      <c r="V133" s="27">
        <f t="shared" ca="1" si="6"/>
        <v>0.25417146778475314</v>
      </c>
    </row>
    <row r="134" spans="1:22" ht="12.75" customHeight="1" x14ac:dyDescent="0.2">
      <c r="A134" s="6" t="s">
        <v>573</v>
      </c>
      <c r="B134" s="6" t="s">
        <v>488</v>
      </c>
      <c r="C134" s="7">
        <v>213982</v>
      </c>
      <c r="D134" s="8">
        <v>7825.2</v>
      </c>
      <c r="E134" s="9" t="s">
        <v>7</v>
      </c>
      <c r="F134" s="23">
        <v>12</v>
      </c>
      <c r="G134" s="25"/>
      <c r="H134" s="14">
        <f t="shared" si="0"/>
        <v>0.55000000000000004</v>
      </c>
      <c r="I134" s="25">
        <f ca="1">IFERROR(__xludf.DUMMYFUNCTION("ROUND(D134*GOOGLEFINANCE(""RUBKZT"")*H134)"),33585)</f>
        <v>33585</v>
      </c>
      <c r="J134" s="26">
        <f ca="1">IFERROR(__xludf.DUMMYFUNCTION("ROUND(I134*GOOGLEFINANCE(""KZTEUR""))"),70)</f>
        <v>70</v>
      </c>
      <c r="K134" s="26">
        <f t="shared" ca="1" si="1"/>
        <v>5833</v>
      </c>
      <c r="L134" s="26">
        <f t="shared" ca="1" si="2"/>
        <v>1108.27</v>
      </c>
      <c r="M134" s="26">
        <f t="shared" ref="M134:N134" si="136">M$3</f>
        <v>500</v>
      </c>
      <c r="N134" s="26">
        <f t="shared" si="136"/>
        <v>500</v>
      </c>
      <c r="O134" s="26">
        <f ca="1">IFERROR(__xludf.DUMMYFUNCTION("ROUND(GOOGLEFINANCE(""Currency:EURKZT"")*K134)"),2785664)</f>
        <v>2785664</v>
      </c>
      <c r="P134" s="26">
        <f ca="1">IFERROR(__xludf.DUMMYFUNCTION("ROUND(GOOGLEFINANCE(""Currency:EURKZT"")*M134)"),238785)</f>
        <v>238785</v>
      </c>
      <c r="Q134" s="26">
        <f ca="1">IFERROR(__xludf.DUMMYFUNCTION("ROUND(GOOGLEFINANCE(""Currency:EURKZT"")*N134)"),238785)</f>
        <v>238785</v>
      </c>
      <c r="R134" s="26">
        <f t="shared" ca="1" si="4"/>
        <v>334280</v>
      </c>
      <c r="S134" s="26">
        <f t="shared" ca="1" si="5"/>
        <v>3597514</v>
      </c>
      <c r="T134" s="26">
        <f ca="1">IFERROR(__xludf.DUMMYFUNCTION("ROUND(GOOGLEFINANCE(""Currency:EURKZT"")*L134+S134)"),4126790)</f>
        <v>4126790</v>
      </c>
      <c r="U134" s="26">
        <f ca="1">IFERROR(__xludf.DUMMYFUNCTION("D134*GOOGLEFINANCE(""RUBKZT"")*1000/F134"),5088677.2517892)</f>
        <v>5088677.2517892001</v>
      </c>
      <c r="V134" s="27">
        <f t="shared" ca="1" si="6"/>
        <v>0.23308364413725927</v>
      </c>
    </row>
    <row r="135" spans="1:22" ht="12.75" customHeight="1" x14ac:dyDescent="0.2">
      <c r="A135" s="6" t="s">
        <v>574</v>
      </c>
      <c r="B135" s="6" t="s">
        <v>488</v>
      </c>
      <c r="C135" s="7">
        <v>213983</v>
      </c>
      <c r="D135" s="8">
        <v>6854.4</v>
      </c>
      <c r="E135" s="9" t="s">
        <v>7</v>
      </c>
      <c r="F135" s="23">
        <v>12</v>
      </c>
      <c r="G135" s="25"/>
      <c r="H135" s="14">
        <f t="shared" si="0"/>
        <v>0.55000000000000004</v>
      </c>
      <c r="I135" s="25">
        <f ca="1">IFERROR(__xludf.DUMMYFUNCTION("ROUND(D135*GOOGLEFINANCE(""RUBKZT"")*H135)"),29419)</f>
        <v>29419</v>
      </c>
      <c r="J135" s="26">
        <f ca="1">IFERROR(__xludf.DUMMYFUNCTION("ROUND(I135*GOOGLEFINANCE(""KZTEUR""))"),62)</f>
        <v>62</v>
      </c>
      <c r="K135" s="26">
        <f t="shared" ca="1" si="1"/>
        <v>5167</v>
      </c>
      <c r="L135" s="26">
        <f t="shared" ca="1" si="2"/>
        <v>981.73</v>
      </c>
      <c r="M135" s="26">
        <f t="shared" ref="M135:N135" si="137">M$3</f>
        <v>500</v>
      </c>
      <c r="N135" s="26">
        <f t="shared" si="137"/>
        <v>500</v>
      </c>
      <c r="O135" s="26">
        <f ca="1">IFERROR(__xludf.DUMMYFUNCTION("ROUND(GOOGLEFINANCE(""Currency:EURKZT"")*K135)"),2467602)</f>
        <v>2467602</v>
      </c>
      <c r="P135" s="26">
        <f ca="1">IFERROR(__xludf.DUMMYFUNCTION("ROUND(GOOGLEFINANCE(""Currency:EURKZT"")*M135)"),238785)</f>
        <v>238785</v>
      </c>
      <c r="Q135" s="26">
        <f ca="1">IFERROR(__xludf.DUMMYFUNCTION("ROUND(GOOGLEFINANCE(""Currency:EURKZT"")*N135)"),238785)</f>
        <v>238785</v>
      </c>
      <c r="R135" s="26">
        <f t="shared" ca="1" si="4"/>
        <v>296112</v>
      </c>
      <c r="S135" s="26">
        <f t="shared" ca="1" si="5"/>
        <v>3241284</v>
      </c>
      <c r="T135" s="26">
        <f ca="1">IFERROR(__xludf.DUMMYFUNCTION("ROUND(GOOGLEFINANCE(""Currency:EURKZT"")*L135+S135)"),3710128)</f>
        <v>3710128</v>
      </c>
      <c r="U135" s="26">
        <f ca="1">IFERROR(__xludf.DUMMYFUNCTION("D135*GOOGLEFINANCE(""RUBKZT"")*1000/F135"),4457372.2530624)</f>
        <v>4457372.2530624</v>
      </c>
      <c r="V135" s="27">
        <f t="shared" ca="1" si="6"/>
        <v>0.20140659650082154</v>
      </c>
    </row>
    <row r="136" spans="1:22" ht="12.75" customHeight="1" x14ac:dyDescent="0.2">
      <c r="A136" s="6" t="s">
        <v>575</v>
      </c>
      <c r="B136" s="6" t="s">
        <v>488</v>
      </c>
      <c r="C136" s="7">
        <v>213988</v>
      </c>
      <c r="D136" s="8">
        <v>10216.799999999999</v>
      </c>
      <c r="E136" s="9" t="s">
        <v>16</v>
      </c>
      <c r="F136" s="23">
        <v>12</v>
      </c>
      <c r="G136" s="25"/>
      <c r="H136" s="14">
        <f t="shared" si="0"/>
        <v>0.55000000000000004</v>
      </c>
      <c r="I136" s="25">
        <f ca="1">IFERROR(__xludf.DUMMYFUNCTION("ROUND(D136*GOOGLEFINANCE(""RUBKZT"")*H136)"),43850)</f>
        <v>43850</v>
      </c>
      <c r="J136" s="26">
        <f ca="1">IFERROR(__xludf.DUMMYFUNCTION("ROUND(I136*GOOGLEFINANCE(""KZTEUR""))"),92)</f>
        <v>92</v>
      </c>
      <c r="K136" s="26">
        <f t="shared" ca="1" si="1"/>
        <v>7667</v>
      </c>
      <c r="L136" s="26">
        <f t="shared" ca="1" si="2"/>
        <v>1456.73</v>
      </c>
      <c r="M136" s="26">
        <f t="shared" ref="M136:N136" si="138">M$3</f>
        <v>500</v>
      </c>
      <c r="N136" s="26">
        <f t="shared" si="138"/>
        <v>500</v>
      </c>
      <c r="O136" s="26">
        <f ca="1">IFERROR(__xludf.DUMMYFUNCTION("ROUND(GOOGLEFINANCE(""Currency:EURKZT"")*K136)"),3661526)</f>
        <v>3661526</v>
      </c>
      <c r="P136" s="26">
        <f ca="1">IFERROR(__xludf.DUMMYFUNCTION("ROUND(GOOGLEFINANCE(""Currency:EURKZT"")*M136)"),238785)</f>
        <v>238785</v>
      </c>
      <c r="Q136" s="26">
        <f ca="1">IFERROR(__xludf.DUMMYFUNCTION("ROUND(GOOGLEFINANCE(""Currency:EURKZT"")*N136)"),238785)</f>
        <v>238785</v>
      </c>
      <c r="R136" s="26">
        <f t="shared" ca="1" si="4"/>
        <v>439383</v>
      </c>
      <c r="S136" s="26">
        <f t="shared" ca="1" si="5"/>
        <v>4578479</v>
      </c>
      <c r="T136" s="26">
        <f ca="1">IFERROR(__xludf.DUMMYFUNCTION("ROUND(GOOGLEFINANCE(""Currency:EURKZT"")*L136+S136)"),5274169)</f>
        <v>5274169</v>
      </c>
      <c r="U136" s="26">
        <f ca="1">IFERROR(__xludf.DUMMYFUNCTION("D136*GOOGLEFINANCE(""RUBKZT"")*1000/F136"),6643919.35619279)</f>
        <v>6643919.35619279</v>
      </c>
      <c r="V136" s="27">
        <f t="shared" ca="1" si="6"/>
        <v>0.25970922740488406</v>
      </c>
    </row>
    <row r="137" spans="1:22" ht="12.75" customHeight="1" x14ac:dyDescent="0.2">
      <c r="A137" s="6" t="s">
        <v>577</v>
      </c>
      <c r="B137" s="6" t="s">
        <v>488</v>
      </c>
      <c r="C137" s="7">
        <v>213994</v>
      </c>
      <c r="D137" s="8">
        <v>9564</v>
      </c>
      <c r="E137" s="9" t="s">
        <v>7</v>
      </c>
      <c r="F137" s="23">
        <v>12</v>
      </c>
      <c r="G137" s="25"/>
      <c r="H137" s="14">
        <f t="shared" si="0"/>
        <v>0.55000000000000004</v>
      </c>
      <c r="I137" s="25">
        <f ca="1">IFERROR(__xludf.DUMMYFUNCTION("ROUND(D137*GOOGLEFINANCE(""RUBKZT"")*H137)"),41048)</f>
        <v>41048</v>
      </c>
      <c r="J137" s="26">
        <f ca="1">IFERROR(__xludf.DUMMYFUNCTION("ROUND(I137*GOOGLEFINANCE(""KZTEUR""))"),86)</f>
        <v>86</v>
      </c>
      <c r="K137" s="26">
        <f t="shared" ca="1" si="1"/>
        <v>7167</v>
      </c>
      <c r="L137" s="26">
        <f t="shared" ca="1" si="2"/>
        <v>1361.73</v>
      </c>
      <c r="M137" s="26">
        <f t="shared" ref="M137:N137" si="139">M$3</f>
        <v>500</v>
      </c>
      <c r="N137" s="26">
        <f t="shared" si="139"/>
        <v>500</v>
      </c>
      <c r="O137" s="26">
        <f ca="1">IFERROR(__xludf.DUMMYFUNCTION("ROUND(GOOGLEFINANCE(""Currency:EURKZT"")*K137)"),3422741)</f>
        <v>3422741</v>
      </c>
      <c r="P137" s="26">
        <f ca="1">IFERROR(__xludf.DUMMYFUNCTION("ROUND(GOOGLEFINANCE(""Currency:EURKZT"")*M137)"),238785)</f>
        <v>238785</v>
      </c>
      <c r="Q137" s="26">
        <f ca="1">IFERROR(__xludf.DUMMYFUNCTION("ROUND(GOOGLEFINANCE(""Currency:EURKZT"")*N137)"),238785)</f>
        <v>238785</v>
      </c>
      <c r="R137" s="26">
        <f t="shared" ca="1" si="4"/>
        <v>410729</v>
      </c>
      <c r="S137" s="26">
        <f t="shared" ca="1" si="5"/>
        <v>4311040</v>
      </c>
      <c r="T137" s="26">
        <f ca="1">IFERROR(__xludf.DUMMYFUNCTION("ROUND(GOOGLEFINANCE(""Currency:EURKZT"")*L137+S137)"),4961361)</f>
        <v>4961361</v>
      </c>
      <c r="U137" s="26">
        <f ca="1">IFERROR(__xludf.DUMMYFUNCTION("D137*GOOGLEFINANCE(""RUBKZT"")*1000/F137"),6219407.713044)</f>
        <v>6219407.7130439999</v>
      </c>
      <c r="V137" s="27">
        <f t="shared" ca="1" si="6"/>
        <v>0.2535688721389151</v>
      </c>
    </row>
    <row r="138" spans="1:22" ht="12.75" customHeight="1" x14ac:dyDescent="0.2">
      <c r="A138" s="6" t="s">
        <v>578</v>
      </c>
      <c r="B138" s="6" t="s">
        <v>488</v>
      </c>
      <c r="C138" s="7">
        <v>214002</v>
      </c>
      <c r="D138" s="8">
        <v>8874</v>
      </c>
      <c r="E138" s="9" t="s">
        <v>16</v>
      </c>
      <c r="F138" s="23">
        <v>12</v>
      </c>
      <c r="G138" s="25"/>
      <c r="H138" s="14">
        <f t="shared" si="0"/>
        <v>0.55000000000000004</v>
      </c>
      <c r="I138" s="25">
        <f ca="1">IFERROR(__xludf.DUMMYFUNCTION("ROUND(D138*GOOGLEFINANCE(""RUBKZT"")*H138)"),38087)</f>
        <v>38087</v>
      </c>
      <c r="J138" s="26">
        <f ca="1">IFERROR(__xludf.DUMMYFUNCTION("ROUND(I138*GOOGLEFINANCE(""KZTEUR""))"),80)</f>
        <v>80</v>
      </c>
      <c r="K138" s="26">
        <f t="shared" ca="1" si="1"/>
        <v>6667</v>
      </c>
      <c r="L138" s="26">
        <f t="shared" ca="1" si="2"/>
        <v>1266.73</v>
      </c>
      <c r="M138" s="26">
        <f t="shared" ref="M138:N138" si="140">M$3</f>
        <v>500</v>
      </c>
      <c r="N138" s="26">
        <f t="shared" si="140"/>
        <v>500</v>
      </c>
      <c r="O138" s="26">
        <f ca="1">IFERROR(__xludf.DUMMYFUNCTION("ROUND(GOOGLEFINANCE(""Currency:EURKZT"")*K138)"),3183957)</f>
        <v>3183957</v>
      </c>
      <c r="P138" s="26">
        <f ca="1">IFERROR(__xludf.DUMMYFUNCTION("ROUND(GOOGLEFINANCE(""Currency:EURKZT"")*M138)"),238785)</f>
        <v>238785</v>
      </c>
      <c r="Q138" s="26">
        <f ca="1">IFERROR(__xludf.DUMMYFUNCTION("ROUND(GOOGLEFINANCE(""Currency:EURKZT"")*N138)"),238785)</f>
        <v>238785</v>
      </c>
      <c r="R138" s="26">
        <f t="shared" ca="1" si="4"/>
        <v>382075</v>
      </c>
      <c r="S138" s="26">
        <f t="shared" ca="1" si="5"/>
        <v>4043602</v>
      </c>
      <c r="T138" s="26">
        <f ca="1">IFERROR(__xludf.DUMMYFUNCTION("ROUND(GOOGLEFINANCE(""Currency:EURKZT"")*L138+S138)"),4648554)</f>
        <v>4648554</v>
      </c>
      <c r="U138" s="26">
        <f ca="1">IFERROR(__xludf.DUMMYFUNCTION("D138*GOOGLEFINANCE(""RUBKZT"")*1000/F138"),5770705.14905399)</f>
        <v>5770705.1490539899</v>
      </c>
      <c r="V138" s="27">
        <f t="shared" ca="1" si="6"/>
        <v>0.24139789471177273</v>
      </c>
    </row>
    <row r="139" spans="1:22" ht="12.75" customHeight="1" x14ac:dyDescent="0.2">
      <c r="A139" s="6" t="s">
        <v>579</v>
      </c>
      <c r="B139" s="6" t="s">
        <v>488</v>
      </c>
      <c r="C139" s="7">
        <v>214003</v>
      </c>
      <c r="D139" s="8">
        <v>8138.4</v>
      </c>
      <c r="E139" s="9" t="s">
        <v>7</v>
      </c>
      <c r="F139" s="23">
        <v>12</v>
      </c>
      <c r="G139" s="25"/>
      <c r="H139" s="14">
        <f t="shared" si="0"/>
        <v>0.55000000000000004</v>
      </c>
      <c r="I139" s="25">
        <f ca="1">IFERROR(__xludf.DUMMYFUNCTION("ROUND(D139*GOOGLEFINANCE(""RUBKZT"")*H139)"),34930)</f>
        <v>34930</v>
      </c>
      <c r="J139" s="26">
        <f ca="1">IFERROR(__xludf.DUMMYFUNCTION("ROUND(I139*GOOGLEFINANCE(""KZTEUR""))"),73)</f>
        <v>73</v>
      </c>
      <c r="K139" s="26">
        <f t="shared" ca="1" si="1"/>
        <v>6083</v>
      </c>
      <c r="L139" s="26">
        <f t="shared" ca="1" si="2"/>
        <v>1155.77</v>
      </c>
      <c r="M139" s="26">
        <f t="shared" ref="M139:N139" si="141">M$3</f>
        <v>500</v>
      </c>
      <c r="N139" s="26">
        <f t="shared" si="141"/>
        <v>500</v>
      </c>
      <c r="O139" s="26">
        <f ca="1">IFERROR(__xludf.DUMMYFUNCTION("ROUND(GOOGLEFINANCE(""Currency:EURKZT"")*K139)"),2905056)</f>
        <v>2905056</v>
      </c>
      <c r="P139" s="26">
        <f ca="1">IFERROR(__xludf.DUMMYFUNCTION("ROUND(GOOGLEFINANCE(""Currency:EURKZT"")*M139)"),238785)</f>
        <v>238785</v>
      </c>
      <c r="Q139" s="26">
        <f ca="1">IFERROR(__xludf.DUMMYFUNCTION("ROUND(GOOGLEFINANCE(""Currency:EURKZT"")*N139)"),238785)</f>
        <v>238785</v>
      </c>
      <c r="R139" s="26">
        <f t="shared" ca="1" si="4"/>
        <v>348607</v>
      </c>
      <c r="S139" s="26">
        <f t="shared" ca="1" si="5"/>
        <v>3731233</v>
      </c>
      <c r="T139" s="26">
        <f ca="1">IFERROR(__xludf.DUMMYFUNCTION("ROUND(GOOGLEFINANCE(""Currency:EURKZT"")*L139+S139)"),4283194)</f>
        <v>4283194</v>
      </c>
      <c r="U139" s="26">
        <f ca="1">IFERROR(__xludf.DUMMYFUNCTION("D139*GOOGLEFINANCE(""RUBKZT"")*1000/F139"),5292349.1982264)</f>
        <v>5292349.1982263997</v>
      </c>
      <c r="V139" s="27">
        <f t="shared" ca="1" si="6"/>
        <v>0.23560809952255249</v>
      </c>
    </row>
    <row r="140" spans="1:22" ht="12.75" customHeight="1" x14ac:dyDescent="0.2">
      <c r="A140" s="6" t="s">
        <v>580</v>
      </c>
      <c r="B140" s="6" t="s">
        <v>488</v>
      </c>
      <c r="C140" s="7">
        <v>214004</v>
      </c>
      <c r="D140" s="8">
        <v>7946.4</v>
      </c>
      <c r="E140" s="9" t="s">
        <v>7</v>
      </c>
      <c r="F140" s="23">
        <v>12</v>
      </c>
      <c r="G140" s="25"/>
      <c r="H140" s="14">
        <f t="shared" si="0"/>
        <v>0.55000000000000004</v>
      </c>
      <c r="I140" s="25">
        <f ca="1">IFERROR(__xludf.DUMMYFUNCTION("ROUND(D140*GOOGLEFINANCE(""RUBKZT"")*H140)"),34105)</f>
        <v>34105</v>
      </c>
      <c r="J140" s="26">
        <f ca="1">IFERROR(__xludf.DUMMYFUNCTION("ROUND(I140*GOOGLEFINANCE(""KZTEUR""))"),71)</f>
        <v>71</v>
      </c>
      <c r="K140" s="26">
        <f t="shared" ca="1" si="1"/>
        <v>5917</v>
      </c>
      <c r="L140" s="26">
        <f t="shared" ca="1" si="2"/>
        <v>1124.23</v>
      </c>
      <c r="M140" s="26">
        <f t="shared" ref="M140:N140" si="142">M$3</f>
        <v>500</v>
      </c>
      <c r="N140" s="26">
        <f t="shared" si="142"/>
        <v>500</v>
      </c>
      <c r="O140" s="26">
        <f ca="1">IFERROR(__xludf.DUMMYFUNCTION("ROUND(GOOGLEFINANCE(""Currency:EURKZT"")*K140)"),2825779)</f>
        <v>2825779</v>
      </c>
      <c r="P140" s="26">
        <f ca="1">IFERROR(__xludf.DUMMYFUNCTION("ROUND(GOOGLEFINANCE(""Currency:EURKZT"")*M140)"),238785)</f>
        <v>238785</v>
      </c>
      <c r="Q140" s="26">
        <f ca="1">IFERROR(__xludf.DUMMYFUNCTION("ROUND(GOOGLEFINANCE(""Currency:EURKZT"")*N140)"),238785)</f>
        <v>238785</v>
      </c>
      <c r="R140" s="26">
        <f t="shared" ca="1" si="4"/>
        <v>339093</v>
      </c>
      <c r="S140" s="26">
        <f t="shared" ca="1" si="5"/>
        <v>3642442</v>
      </c>
      <c r="T140" s="26">
        <f ca="1">IFERROR(__xludf.DUMMYFUNCTION("ROUND(GOOGLEFINANCE(""Currency:EURKZT"")*L140+S140)"),4179340)</f>
        <v>4179340</v>
      </c>
      <c r="U140" s="26">
        <f ca="1">IFERROR(__xludf.DUMMYFUNCTION("D140*GOOGLEFINANCE(""RUBKZT"")*1000/F140"),5167492.8325944)</f>
        <v>5167492.8325944003</v>
      </c>
      <c r="V140" s="27">
        <f t="shared" ca="1" si="6"/>
        <v>0.2364375314270675</v>
      </c>
    </row>
    <row r="141" spans="1:22" ht="12.75" customHeight="1" x14ac:dyDescent="0.2">
      <c r="A141" s="6" t="s">
        <v>581</v>
      </c>
      <c r="B141" s="6" t="s">
        <v>488</v>
      </c>
      <c r="C141" s="7">
        <v>214005</v>
      </c>
      <c r="D141" s="8">
        <v>14162.4</v>
      </c>
      <c r="E141" s="9" t="s">
        <v>7</v>
      </c>
      <c r="F141" s="23">
        <v>12</v>
      </c>
      <c r="G141" s="25"/>
      <c r="H141" s="14">
        <f t="shared" si="0"/>
        <v>0.55000000000000004</v>
      </c>
      <c r="I141" s="25">
        <f ca="1">IFERROR(__xludf.DUMMYFUNCTION("ROUND(D141*GOOGLEFINANCE(""RUBKZT"")*H141)"),60784)</f>
        <v>60784</v>
      </c>
      <c r="J141" s="26">
        <f ca="1">IFERROR(__xludf.DUMMYFUNCTION("ROUND(I141*GOOGLEFINANCE(""KZTEUR""))"),127)</f>
        <v>127</v>
      </c>
      <c r="K141" s="26">
        <f t="shared" ca="1" si="1"/>
        <v>10583</v>
      </c>
      <c r="L141" s="26">
        <f t="shared" ca="1" si="2"/>
        <v>2010.77</v>
      </c>
      <c r="M141" s="26">
        <f t="shared" ref="M141:N141" si="143">M$3</f>
        <v>500</v>
      </c>
      <c r="N141" s="26">
        <f t="shared" si="143"/>
        <v>500</v>
      </c>
      <c r="O141" s="26">
        <f ca="1">IFERROR(__xludf.DUMMYFUNCTION("ROUND(GOOGLEFINANCE(""Currency:EURKZT"")*K141)"),5054119)</f>
        <v>5054119</v>
      </c>
      <c r="P141" s="26">
        <f ca="1">IFERROR(__xludf.DUMMYFUNCTION("ROUND(GOOGLEFINANCE(""Currency:EURKZT"")*M141)"),238785)</f>
        <v>238785</v>
      </c>
      <c r="Q141" s="26">
        <f ca="1">IFERROR(__xludf.DUMMYFUNCTION("ROUND(GOOGLEFINANCE(""Currency:EURKZT"")*N141)"),238785)</f>
        <v>238785</v>
      </c>
      <c r="R141" s="26">
        <f t="shared" ca="1" si="4"/>
        <v>606494</v>
      </c>
      <c r="S141" s="26">
        <f t="shared" ca="1" si="5"/>
        <v>6138183</v>
      </c>
      <c r="T141" s="26">
        <f ca="1">IFERROR(__xludf.DUMMYFUNCTION("ROUND(GOOGLEFINANCE(""Currency:EURKZT"")*L141+S141)"),7098466)</f>
        <v>7098466</v>
      </c>
      <c r="U141" s="26">
        <f ca="1">IFERROR(__xludf.DUMMYFUNCTION("D141*GOOGLEFINANCE(""RUBKZT"")*1000/F141"),9209717.6699304)</f>
        <v>9209717.6699304003</v>
      </c>
      <c r="V141" s="27">
        <f t="shared" ca="1" si="6"/>
        <v>0.29742365039578977</v>
      </c>
    </row>
    <row r="142" spans="1:22" ht="12.75" customHeight="1" x14ac:dyDescent="0.2">
      <c r="A142" s="6" t="s">
        <v>582</v>
      </c>
      <c r="B142" s="6" t="s">
        <v>488</v>
      </c>
      <c r="C142" s="7">
        <v>214012</v>
      </c>
      <c r="D142" s="8">
        <v>8901.6</v>
      </c>
      <c r="E142" s="9" t="s">
        <v>16</v>
      </c>
      <c r="F142" s="23">
        <v>12</v>
      </c>
      <c r="G142" s="25"/>
      <c r="H142" s="14">
        <f t="shared" si="0"/>
        <v>0.55000000000000004</v>
      </c>
      <c r="I142" s="25">
        <f ca="1">IFERROR(__xludf.DUMMYFUNCTION("ROUND(D142*GOOGLEFINANCE(""RUBKZT"")*H142)"),38205)</f>
        <v>38205</v>
      </c>
      <c r="J142" s="26">
        <f ca="1">IFERROR(__xludf.DUMMYFUNCTION("ROUND(I142*GOOGLEFINANCE(""KZTEUR""))"),80)</f>
        <v>80</v>
      </c>
      <c r="K142" s="26">
        <f t="shared" ca="1" si="1"/>
        <v>6667</v>
      </c>
      <c r="L142" s="26">
        <f t="shared" ca="1" si="2"/>
        <v>1266.73</v>
      </c>
      <c r="M142" s="26">
        <f t="shared" ref="M142:N142" si="144">M$3</f>
        <v>500</v>
      </c>
      <c r="N142" s="26">
        <f t="shared" si="144"/>
        <v>500</v>
      </c>
      <c r="O142" s="26">
        <f ca="1">IFERROR(__xludf.DUMMYFUNCTION("ROUND(GOOGLEFINANCE(""Currency:EURKZT"")*K142)"),3183957)</f>
        <v>3183957</v>
      </c>
      <c r="P142" s="26">
        <f ca="1">IFERROR(__xludf.DUMMYFUNCTION("ROUND(GOOGLEFINANCE(""Currency:EURKZT"")*M142)"),238785)</f>
        <v>238785</v>
      </c>
      <c r="Q142" s="26">
        <f ca="1">IFERROR(__xludf.DUMMYFUNCTION("ROUND(GOOGLEFINANCE(""Currency:EURKZT"")*N142)"),238785)</f>
        <v>238785</v>
      </c>
      <c r="R142" s="26">
        <f t="shared" ca="1" si="4"/>
        <v>382075</v>
      </c>
      <c r="S142" s="26">
        <f t="shared" ca="1" si="5"/>
        <v>4043602</v>
      </c>
      <c r="T142" s="26">
        <f ca="1">IFERROR(__xludf.DUMMYFUNCTION("ROUND(GOOGLEFINANCE(""Currency:EURKZT"")*L142+S142)"),4648554)</f>
        <v>4648554</v>
      </c>
      <c r="U142" s="26">
        <f ca="1">IFERROR(__xludf.DUMMYFUNCTION("D142*GOOGLEFINANCE(""RUBKZT"")*1000/F142"),5788653.2516136)</f>
        <v>5788653.2516136002</v>
      </c>
      <c r="V142" s="27">
        <f t="shared" ca="1" si="6"/>
        <v>0.24525890236267023</v>
      </c>
    </row>
    <row r="143" spans="1:22" ht="12.75" customHeight="1" x14ac:dyDescent="0.2">
      <c r="A143" s="6" t="s">
        <v>584</v>
      </c>
      <c r="B143" s="6" t="s">
        <v>488</v>
      </c>
      <c r="C143" s="7">
        <v>214016</v>
      </c>
      <c r="D143" s="8">
        <v>7438.7999999999993</v>
      </c>
      <c r="E143" s="9" t="s">
        <v>16</v>
      </c>
      <c r="F143" s="23">
        <v>12</v>
      </c>
      <c r="G143" s="25"/>
      <c r="H143" s="14">
        <f t="shared" si="0"/>
        <v>0.55000000000000004</v>
      </c>
      <c r="I143" s="25">
        <f ca="1">IFERROR(__xludf.DUMMYFUNCTION("ROUND(D143*GOOGLEFINANCE(""RUBKZT"")*H143)"),31927)</f>
        <v>31927</v>
      </c>
      <c r="J143" s="26">
        <f ca="1">IFERROR(__xludf.DUMMYFUNCTION("ROUND(I143*GOOGLEFINANCE(""KZTEUR""))"),67)</f>
        <v>67</v>
      </c>
      <c r="K143" s="26">
        <f t="shared" ca="1" si="1"/>
        <v>5583</v>
      </c>
      <c r="L143" s="26">
        <f t="shared" ca="1" si="2"/>
        <v>1060.77</v>
      </c>
      <c r="M143" s="26">
        <f t="shared" ref="M143:N143" si="145">M$3</f>
        <v>500</v>
      </c>
      <c r="N143" s="26">
        <f t="shared" si="145"/>
        <v>500</v>
      </c>
      <c r="O143" s="26">
        <f ca="1">IFERROR(__xludf.DUMMYFUNCTION("ROUND(GOOGLEFINANCE(""Currency:EURKZT"")*K143)"),2666271)</f>
        <v>2666271</v>
      </c>
      <c r="P143" s="26">
        <f ca="1">IFERROR(__xludf.DUMMYFUNCTION("ROUND(GOOGLEFINANCE(""Currency:EURKZT"")*M143)"),238785)</f>
        <v>238785</v>
      </c>
      <c r="Q143" s="26">
        <f ca="1">IFERROR(__xludf.DUMMYFUNCTION("ROUND(GOOGLEFINANCE(""Currency:EURKZT"")*N143)"),238785)</f>
        <v>238785</v>
      </c>
      <c r="R143" s="26">
        <f t="shared" ca="1" si="4"/>
        <v>319953</v>
      </c>
      <c r="S143" s="26">
        <f t="shared" ca="1" si="5"/>
        <v>3463794</v>
      </c>
      <c r="T143" s="26">
        <f ca="1">IFERROR(__xludf.DUMMYFUNCTION("ROUND(GOOGLEFINANCE(""Currency:EURKZT"")*L143+S143)"),3970386)</f>
        <v>3970386</v>
      </c>
      <c r="U143" s="26">
        <f ca="1">IFERROR(__xludf.DUMMYFUNCTION("D143*GOOGLEFINANCE(""RUBKZT"")*1000/F143"),4837403.8159548)</f>
        <v>4837403.8159547998</v>
      </c>
      <c r="V143" s="27">
        <f t="shared" ca="1" si="6"/>
        <v>0.21837116490809705</v>
      </c>
    </row>
    <row r="144" spans="1:22" ht="12.75" customHeight="1" x14ac:dyDescent="0.2">
      <c r="A144" s="6" t="s">
        <v>585</v>
      </c>
      <c r="B144" s="6" t="s">
        <v>488</v>
      </c>
      <c r="C144" s="7">
        <v>214024</v>
      </c>
      <c r="D144" s="8">
        <v>26216.399999999998</v>
      </c>
      <c r="E144" s="9" t="s">
        <v>7</v>
      </c>
      <c r="F144" s="23">
        <v>12</v>
      </c>
      <c r="G144" s="25"/>
      <c r="H144" s="14">
        <f t="shared" si="0"/>
        <v>0.55000000000000004</v>
      </c>
      <c r="I144" s="25">
        <f ca="1">IFERROR(__xludf.DUMMYFUNCTION("ROUND(D144*GOOGLEFINANCE(""RUBKZT"")*H144)"),112519)</f>
        <v>112519</v>
      </c>
      <c r="J144" s="26">
        <f ca="1">IFERROR(__xludf.DUMMYFUNCTION("ROUND(I144*GOOGLEFINANCE(""KZTEUR""))"),236)</f>
        <v>236</v>
      </c>
      <c r="K144" s="26">
        <f t="shared" ca="1" si="1"/>
        <v>19667</v>
      </c>
      <c r="L144" s="26">
        <f t="shared" ca="1" si="2"/>
        <v>3736.73</v>
      </c>
      <c r="M144" s="26">
        <f t="shared" ref="M144:N144" si="146">M$3</f>
        <v>500</v>
      </c>
      <c r="N144" s="26">
        <f t="shared" si="146"/>
        <v>500</v>
      </c>
      <c r="O144" s="26">
        <f ca="1">IFERROR(__xludf.DUMMYFUNCTION("ROUND(GOOGLEFINANCE(""Currency:EURKZT"")*K144)"),9392362)</f>
        <v>9392362</v>
      </c>
      <c r="P144" s="26">
        <f ca="1">IFERROR(__xludf.DUMMYFUNCTION("ROUND(GOOGLEFINANCE(""Currency:EURKZT"")*M144)"),238785)</f>
        <v>238785</v>
      </c>
      <c r="Q144" s="26">
        <f ca="1">IFERROR(__xludf.DUMMYFUNCTION("ROUND(GOOGLEFINANCE(""Currency:EURKZT"")*N144)"),238785)</f>
        <v>238785</v>
      </c>
      <c r="R144" s="26">
        <f t="shared" ca="1" si="4"/>
        <v>1127083</v>
      </c>
      <c r="S144" s="26">
        <f t="shared" ca="1" si="5"/>
        <v>10997015</v>
      </c>
      <c r="T144" s="26">
        <f ca="1">IFERROR(__xludf.DUMMYFUNCTION("ROUND(GOOGLEFINANCE(""Currency:EURKZT"")*L144+S144)"),12781564)</f>
        <v>12781564</v>
      </c>
      <c r="U144" s="26">
        <f ca="1">IFERROR(__xludf.DUMMYFUNCTION("D144*GOOGLEFINANCE(""RUBKZT"")*1000/F144"),17048356.3747644)</f>
        <v>17048356.374764401</v>
      </c>
      <c r="V144" s="27">
        <f t="shared" ca="1" si="6"/>
        <v>0.33382396510821377</v>
      </c>
    </row>
    <row r="145" spans="1:22" ht="12.75" customHeight="1" x14ac:dyDescent="0.2">
      <c r="A145" s="6" t="s">
        <v>587</v>
      </c>
      <c r="B145" s="6" t="s">
        <v>488</v>
      </c>
      <c r="C145" s="7">
        <v>214026</v>
      </c>
      <c r="D145" s="8">
        <v>28466.399999999998</v>
      </c>
      <c r="E145" s="9" t="s">
        <v>7</v>
      </c>
      <c r="F145" s="23">
        <v>12</v>
      </c>
      <c r="G145" s="25"/>
      <c r="H145" s="14">
        <f t="shared" si="0"/>
        <v>0.55000000000000004</v>
      </c>
      <c r="I145" s="25">
        <f ca="1">IFERROR(__xludf.DUMMYFUNCTION("ROUND(D145*GOOGLEFINANCE(""RUBKZT"")*H145)"),122176)</f>
        <v>122176</v>
      </c>
      <c r="J145" s="26">
        <f ca="1">IFERROR(__xludf.DUMMYFUNCTION("ROUND(I145*GOOGLEFINANCE(""KZTEUR""))"),256)</f>
        <v>256</v>
      </c>
      <c r="K145" s="26">
        <f t="shared" ca="1" si="1"/>
        <v>21333</v>
      </c>
      <c r="L145" s="26">
        <f t="shared" ca="1" si="2"/>
        <v>4053.27</v>
      </c>
      <c r="M145" s="26">
        <f t="shared" ref="M145:N145" si="147">M$3</f>
        <v>500</v>
      </c>
      <c r="N145" s="26">
        <f t="shared" si="147"/>
        <v>500</v>
      </c>
      <c r="O145" s="26">
        <f ca="1">IFERROR(__xludf.DUMMYFUNCTION("ROUND(GOOGLEFINANCE(""Currency:EURKZT"")*K145)"),10187993)</f>
        <v>10187993</v>
      </c>
      <c r="P145" s="26">
        <f ca="1">IFERROR(__xludf.DUMMYFUNCTION("ROUND(GOOGLEFINANCE(""Currency:EURKZT"")*M145)"),238785)</f>
        <v>238785</v>
      </c>
      <c r="Q145" s="26">
        <f ca="1">IFERROR(__xludf.DUMMYFUNCTION("ROUND(GOOGLEFINANCE(""Currency:EURKZT"")*N145)"),238785)</f>
        <v>238785</v>
      </c>
      <c r="R145" s="26">
        <f t="shared" ca="1" si="4"/>
        <v>1222559</v>
      </c>
      <c r="S145" s="26">
        <f t="shared" ca="1" si="5"/>
        <v>11888122</v>
      </c>
      <c r="T145" s="26">
        <f ca="1">IFERROR(__xludf.DUMMYFUNCTION("ROUND(GOOGLEFINANCE(""Currency:EURKZT"")*L145+S145)"),13823841)</f>
        <v>13823841</v>
      </c>
      <c r="U145" s="26">
        <f ca="1">IFERROR(__xludf.DUMMYFUNCTION("D145*GOOGLEFINANCE(""RUBKZT"")*1000/F145"),18511516.9095143)</f>
        <v>18511516.909514301</v>
      </c>
      <c r="V145" s="27">
        <f t="shared" ca="1" si="6"/>
        <v>0.33910082657304147</v>
      </c>
    </row>
    <row r="146" spans="1:22" ht="12.75" customHeight="1" x14ac:dyDescent="0.2">
      <c r="A146" s="6" t="s">
        <v>588</v>
      </c>
      <c r="B146" s="6" t="s">
        <v>488</v>
      </c>
      <c r="C146" s="7">
        <v>214027</v>
      </c>
      <c r="D146" s="8">
        <v>8680.7999999999993</v>
      </c>
      <c r="E146" s="9" t="s">
        <v>16</v>
      </c>
      <c r="F146" s="23">
        <v>12</v>
      </c>
      <c r="G146" s="25"/>
      <c r="H146" s="14">
        <f t="shared" si="0"/>
        <v>0.55000000000000004</v>
      </c>
      <c r="I146" s="25">
        <f ca="1">IFERROR(__xludf.DUMMYFUNCTION("ROUND(D146*GOOGLEFINANCE(""RUBKZT"")*H146)"),37257)</f>
        <v>37257</v>
      </c>
      <c r="J146" s="26">
        <f ca="1">IFERROR(__xludf.DUMMYFUNCTION("ROUND(I146*GOOGLEFINANCE(""KZTEUR""))"),78)</f>
        <v>78</v>
      </c>
      <c r="K146" s="26">
        <f t="shared" ca="1" si="1"/>
        <v>6500</v>
      </c>
      <c r="L146" s="26">
        <f t="shared" ca="1" si="2"/>
        <v>1235</v>
      </c>
      <c r="M146" s="26">
        <f t="shared" ref="M146:N146" si="148">M$3</f>
        <v>500</v>
      </c>
      <c r="N146" s="26">
        <f t="shared" si="148"/>
        <v>500</v>
      </c>
      <c r="O146" s="26">
        <f ca="1">IFERROR(__xludf.DUMMYFUNCTION("ROUND(GOOGLEFINANCE(""Currency:EURKZT"")*K146)"),3104202)</f>
        <v>3104202</v>
      </c>
      <c r="P146" s="26">
        <f ca="1">IFERROR(__xludf.DUMMYFUNCTION("ROUND(GOOGLEFINANCE(""Currency:EURKZT"")*M146)"),238785)</f>
        <v>238785</v>
      </c>
      <c r="Q146" s="26">
        <f ca="1">IFERROR(__xludf.DUMMYFUNCTION("ROUND(GOOGLEFINANCE(""Currency:EURKZT"")*N146)"),238785)</f>
        <v>238785</v>
      </c>
      <c r="R146" s="26">
        <f t="shared" ca="1" si="4"/>
        <v>372504</v>
      </c>
      <c r="S146" s="26">
        <f t="shared" ca="1" si="5"/>
        <v>3954276</v>
      </c>
      <c r="T146" s="26">
        <f ca="1">IFERROR(__xludf.DUMMYFUNCTION("ROUND(GOOGLEFINANCE(""Currency:EURKZT"")*L146+S146)"),4544074)</f>
        <v>4544074</v>
      </c>
      <c r="U146" s="26">
        <f ca="1">IFERROR(__xludf.DUMMYFUNCTION("D146*GOOGLEFINANCE(""RUBKZT"")*1000/F146"),5645068.43113679)</f>
        <v>5645068.4311367897</v>
      </c>
      <c r="V146" s="27">
        <f t="shared" ca="1" si="6"/>
        <v>0.24229236388685346</v>
      </c>
    </row>
    <row r="147" spans="1:22" ht="12.75" customHeight="1" x14ac:dyDescent="0.2">
      <c r="A147" s="6" t="s">
        <v>583</v>
      </c>
      <c r="B147" s="6" t="s">
        <v>488</v>
      </c>
      <c r="C147" s="7">
        <v>214028</v>
      </c>
      <c r="D147" s="8">
        <v>7803.5999999999995</v>
      </c>
      <c r="E147" s="9" t="s">
        <v>16</v>
      </c>
      <c r="F147" s="23">
        <v>12</v>
      </c>
      <c r="G147" s="25"/>
      <c r="H147" s="14">
        <f t="shared" si="0"/>
        <v>0.55000000000000004</v>
      </c>
      <c r="I147" s="25">
        <f ca="1">IFERROR(__xludf.DUMMYFUNCTION("ROUND(D147*GOOGLEFINANCE(""RUBKZT"")*H147)"),33493)</f>
        <v>33493</v>
      </c>
      <c r="J147" s="26">
        <f ca="1">IFERROR(__xludf.DUMMYFUNCTION("ROUND(I147*GOOGLEFINANCE(""KZTEUR""))"),70)</f>
        <v>70</v>
      </c>
      <c r="K147" s="26">
        <f t="shared" ca="1" si="1"/>
        <v>5833</v>
      </c>
      <c r="L147" s="26">
        <f t="shared" ca="1" si="2"/>
        <v>1108.27</v>
      </c>
      <c r="M147" s="26">
        <f t="shared" ref="M147:N147" si="149">M$3</f>
        <v>500</v>
      </c>
      <c r="N147" s="26">
        <f t="shared" si="149"/>
        <v>500</v>
      </c>
      <c r="O147" s="26">
        <f ca="1">IFERROR(__xludf.DUMMYFUNCTION("ROUND(GOOGLEFINANCE(""Currency:EURKZT"")*K147)"),2785664)</f>
        <v>2785664</v>
      </c>
      <c r="P147" s="26">
        <f ca="1">IFERROR(__xludf.DUMMYFUNCTION("ROUND(GOOGLEFINANCE(""Currency:EURKZT"")*M147)"),238785)</f>
        <v>238785</v>
      </c>
      <c r="Q147" s="26">
        <f ca="1">IFERROR(__xludf.DUMMYFUNCTION("ROUND(GOOGLEFINANCE(""Currency:EURKZT"")*N147)"),238785)</f>
        <v>238785</v>
      </c>
      <c r="R147" s="26">
        <f t="shared" ca="1" si="4"/>
        <v>334280</v>
      </c>
      <c r="S147" s="26">
        <f t="shared" ca="1" si="5"/>
        <v>3597514</v>
      </c>
      <c r="T147" s="26">
        <f ca="1">IFERROR(__xludf.DUMMYFUNCTION("ROUND(GOOGLEFINANCE(""Currency:EURKZT"")*L147+S147)"),4126790)</f>
        <v>4126790</v>
      </c>
      <c r="U147" s="26">
        <f ca="1">IFERROR(__xludf.DUMMYFUNCTION("D147*GOOGLEFINANCE(""RUBKZT"")*1000/F147"),5074630.9106556)</f>
        <v>5074630.9106556</v>
      </c>
      <c r="V147" s="27">
        <f t="shared" ca="1" si="6"/>
        <v>0.22967994752715792</v>
      </c>
    </row>
    <row r="148" spans="1:22" ht="12.75" customHeight="1" x14ac:dyDescent="0.2">
      <c r="A148" s="6" t="s">
        <v>589</v>
      </c>
      <c r="B148" s="6" t="s">
        <v>488</v>
      </c>
      <c r="C148" s="7">
        <v>214029</v>
      </c>
      <c r="D148" s="8">
        <v>8354.4</v>
      </c>
      <c r="E148" s="9" t="s">
        <v>7</v>
      </c>
      <c r="F148" s="23">
        <v>12</v>
      </c>
      <c r="G148" s="25"/>
      <c r="H148" s="14">
        <f t="shared" si="0"/>
        <v>0.55000000000000004</v>
      </c>
      <c r="I148" s="25">
        <f ca="1">IFERROR(__xludf.DUMMYFUNCTION("ROUND(D148*GOOGLEFINANCE(""RUBKZT"")*H148)"),35857)</f>
        <v>35857</v>
      </c>
      <c r="J148" s="26">
        <f ca="1">IFERROR(__xludf.DUMMYFUNCTION("ROUND(I148*GOOGLEFINANCE(""KZTEUR""))"),75)</f>
        <v>75</v>
      </c>
      <c r="K148" s="26">
        <f t="shared" ca="1" si="1"/>
        <v>6250</v>
      </c>
      <c r="L148" s="26">
        <f t="shared" ca="1" si="2"/>
        <v>1187.5</v>
      </c>
      <c r="M148" s="26">
        <f t="shared" ref="M148:N148" si="150">M$3</f>
        <v>500</v>
      </c>
      <c r="N148" s="26">
        <f t="shared" si="150"/>
        <v>500</v>
      </c>
      <c r="O148" s="26">
        <f ca="1">IFERROR(__xludf.DUMMYFUNCTION("ROUND(GOOGLEFINANCE(""Currency:EURKZT"")*K148)"),2984810)</f>
        <v>2984810</v>
      </c>
      <c r="P148" s="26">
        <f ca="1">IFERROR(__xludf.DUMMYFUNCTION("ROUND(GOOGLEFINANCE(""Currency:EURKZT"")*M148)"),238785)</f>
        <v>238785</v>
      </c>
      <c r="Q148" s="26">
        <f ca="1">IFERROR(__xludf.DUMMYFUNCTION("ROUND(GOOGLEFINANCE(""Currency:EURKZT"")*N148)"),238785)</f>
        <v>238785</v>
      </c>
      <c r="R148" s="26">
        <f t="shared" ca="1" si="4"/>
        <v>358177</v>
      </c>
      <c r="S148" s="26">
        <f t="shared" ca="1" si="5"/>
        <v>3820557</v>
      </c>
      <c r="T148" s="26">
        <f ca="1">IFERROR(__xludf.DUMMYFUNCTION("ROUND(GOOGLEFINANCE(""Currency:EURKZT"")*L148+S148)"),4387671)</f>
        <v>4387671</v>
      </c>
      <c r="U148" s="26">
        <f ca="1">IFERROR(__xludf.DUMMYFUNCTION("D148*GOOGLEFINANCE(""RUBKZT"")*1000/F148"),5432812.6095624)</f>
        <v>5432812.6095623998</v>
      </c>
      <c r="V148" s="27">
        <f t="shared" ca="1" si="6"/>
        <v>0.23819963018248172</v>
      </c>
    </row>
    <row r="149" spans="1:22" ht="12.75" customHeight="1" x14ac:dyDescent="0.2">
      <c r="A149" s="6" t="s">
        <v>590</v>
      </c>
      <c r="B149" s="6" t="s">
        <v>488</v>
      </c>
      <c r="C149" s="7">
        <v>214032</v>
      </c>
      <c r="D149" s="8">
        <v>29030.399999999998</v>
      </c>
      <c r="E149" s="9" t="s">
        <v>7</v>
      </c>
      <c r="F149" s="23">
        <v>12</v>
      </c>
      <c r="G149" s="25"/>
      <c r="H149" s="14">
        <f t="shared" si="0"/>
        <v>0.55000000000000004</v>
      </c>
      <c r="I149" s="25">
        <f ca="1">IFERROR(__xludf.DUMMYFUNCTION("ROUND(D149*GOOGLEFINANCE(""RUBKZT"")*H149)"),124597)</f>
        <v>124597</v>
      </c>
      <c r="J149" s="26">
        <f ca="1">IFERROR(__xludf.DUMMYFUNCTION("ROUND(I149*GOOGLEFINANCE(""KZTEUR""))"),261)</f>
        <v>261</v>
      </c>
      <c r="K149" s="26">
        <f t="shared" ca="1" si="1"/>
        <v>21750</v>
      </c>
      <c r="L149" s="26">
        <f t="shared" ca="1" si="2"/>
        <v>4132.5</v>
      </c>
      <c r="M149" s="26">
        <f t="shared" ref="M149:N149" si="151">M$3</f>
        <v>500</v>
      </c>
      <c r="N149" s="26">
        <f t="shared" si="151"/>
        <v>500</v>
      </c>
      <c r="O149" s="26">
        <f ca="1">IFERROR(__xludf.DUMMYFUNCTION("ROUND(GOOGLEFINANCE(""Currency:EURKZT"")*K149)"),10387139)</f>
        <v>10387139</v>
      </c>
      <c r="P149" s="26">
        <f ca="1">IFERROR(__xludf.DUMMYFUNCTION("ROUND(GOOGLEFINANCE(""Currency:EURKZT"")*M149)"),238785)</f>
        <v>238785</v>
      </c>
      <c r="Q149" s="26">
        <f ca="1">IFERROR(__xludf.DUMMYFUNCTION("ROUND(GOOGLEFINANCE(""Currency:EURKZT"")*N149)"),238785)</f>
        <v>238785</v>
      </c>
      <c r="R149" s="26">
        <f t="shared" ca="1" si="4"/>
        <v>1246457</v>
      </c>
      <c r="S149" s="26">
        <f t="shared" ca="1" si="5"/>
        <v>12111166</v>
      </c>
      <c r="T149" s="26">
        <f ca="1">IFERROR(__xludf.DUMMYFUNCTION("ROUND(GOOGLEFINANCE(""Currency:EURKZT"")*L149+S149)"),14084722)</f>
        <v>14084722</v>
      </c>
      <c r="U149" s="26">
        <f ca="1">IFERROR(__xludf.DUMMYFUNCTION("D149*GOOGLEFINANCE(""RUBKZT"")*1000/F149"),18878282.4835583)</f>
        <v>18878282.483558301</v>
      </c>
      <c r="V149" s="27">
        <f t="shared" ca="1" si="6"/>
        <v>0.34033760010018665</v>
      </c>
    </row>
    <row r="150" spans="1:22" ht="12.75" customHeight="1" x14ac:dyDescent="0.2">
      <c r="A150" s="6" t="s">
        <v>581</v>
      </c>
      <c r="B150" s="6" t="s">
        <v>488</v>
      </c>
      <c r="C150" s="7">
        <v>214038</v>
      </c>
      <c r="D150" s="8">
        <v>14128.8</v>
      </c>
      <c r="E150" s="9" t="s">
        <v>7</v>
      </c>
      <c r="F150" s="23">
        <v>12</v>
      </c>
      <c r="G150" s="25"/>
      <c r="H150" s="14">
        <f t="shared" si="0"/>
        <v>0.55000000000000004</v>
      </c>
      <c r="I150" s="25">
        <f ca="1">IFERROR(__xludf.DUMMYFUNCTION("ROUND(D150*GOOGLEFINANCE(""RUBKZT"")*H150)"),60640)</f>
        <v>60640</v>
      </c>
      <c r="J150" s="26">
        <f ca="1">IFERROR(__xludf.DUMMYFUNCTION("ROUND(I150*GOOGLEFINANCE(""KZTEUR""))"),127)</f>
        <v>127</v>
      </c>
      <c r="K150" s="26">
        <f t="shared" ca="1" si="1"/>
        <v>10583</v>
      </c>
      <c r="L150" s="26">
        <f t="shared" ca="1" si="2"/>
        <v>2010.77</v>
      </c>
      <c r="M150" s="26">
        <f t="shared" ref="M150:N150" si="152">M$3</f>
        <v>500</v>
      </c>
      <c r="N150" s="26">
        <f t="shared" si="152"/>
        <v>500</v>
      </c>
      <c r="O150" s="26">
        <f ca="1">IFERROR(__xludf.DUMMYFUNCTION("ROUND(GOOGLEFINANCE(""Currency:EURKZT"")*K150)"),5054119)</f>
        <v>5054119</v>
      </c>
      <c r="P150" s="26">
        <f ca="1">IFERROR(__xludf.DUMMYFUNCTION("ROUND(GOOGLEFINANCE(""Currency:EURKZT"")*M150)"),238785)</f>
        <v>238785</v>
      </c>
      <c r="Q150" s="26">
        <f ca="1">IFERROR(__xludf.DUMMYFUNCTION("ROUND(GOOGLEFINANCE(""Currency:EURKZT"")*N150)"),238785)</f>
        <v>238785</v>
      </c>
      <c r="R150" s="26">
        <f t="shared" ca="1" si="4"/>
        <v>606494</v>
      </c>
      <c r="S150" s="26">
        <f t="shared" ca="1" si="5"/>
        <v>6138183</v>
      </c>
      <c r="T150" s="26">
        <f ca="1">IFERROR(__xludf.DUMMYFUNCTION("ROUND(GOOGLEFINANCE(""Currency:EURKZT"")*L150+S150)"),7098466)</f>
        <v>7098466</v>
      </c>
      <c r="U150" s="26">
        <f ca="1">IFERROR(__xludf.DUMMYFUNCTION("D150*GOOGLEFINANCE(""RUBKZT"")*1000/F150"),9187867.8059448)</f>
        <v>9187867.8059448004</v>
      </c>
      <c r="V150" s="27">
        <f t="shared" ca="1" si="6"/>
        <v>0.2943455397186942</v>
      </c>
    </row>
    <row r="151" spans="1:22" ht="12.75" customHeight="1" x14ac:dyDescent="0.2">
      <c r="A151" s="6" t="s">
        <v>596</v>
      </c>
      <c r="B151" s="6" t="s">
        <v>488</v>
      </c>
      <c r="C151" s="7">
        <v>214082</v>
      </c>
      <c r="D151" s="8">
        <v>9304.7999999999993</v>
      </c>
      <c r="E151" s="9" t="s">
        <v>16</v>
      </c>
      <c r="F151" s="23">
        <v>12</v>
      </c>
      <c r="G151" s="25"/>
      <c r="H151" s="14">
        <f t="shared" si="0"/>
        <v>0.55000000000000004</v>
      </c>
      <c r="I151" s="25">
        <f ca="1">IFERROR(__xludf.DUMMYFUNCTION("ROUND(D151*GOOGLEFINANCE(""RUBKZT"")*H151)"),39936)</f>
        <v>39936</v>
      </c>
      <c r="J151" s="26">
        <f ca="1">IFERROR(__xludf.DUMMYFUNCTION("ROUND(I151*GOOGLEFINANCE(""KZTEUR""))"),84)</f>
        <v>84</v>
      </c>
      <c r="K151" s="26">
        <f t="shared" ca="1" si="1"/>
        <v>7000</v>
      </c>
      <c r="L151" s="26">
        <f t="shared" ca="1" si="2"/>
        <v>1330</v>
      </c>
      <c r="M151" s="26">
        <f t="shared" ref="M151:N151" si="153">M$3</f>
        <v>500</v>
      </c>
      <c r="N151" s="26">
        <f t="shared" si="153"/>
        <v>500</v>
      </c>
      <c r="O151" s="26">
        <f ca="1">IFERROR(__xludf.DUMMYFUNCTION("ROUND(GOOGLEFINANCE(""Currency:EURKZT"")*K151)"),3342987)</f>
        <v>3342987</v>
      </c>
      <c r="P151" s="26">
        <f ca="1">IFERROR(__xludf.DUMMYFUNCTION("ROUND(GOOGLEFINANCE(""Currency:EURKZT"")*M151)"),238785)</f>
        <v>238785</v>
      </c>
      <c r="Q151" s="26">
        <f ca="1">IFERROR(__xludf.DUMMYFUNCTION("ROUND(GOOGLEFINANCE(""Currency:EURKZT"")*N151)"),238785)</f>
        <v>238785</v>
      </c>
      <c r="R151" s="26">
        <f t="shared" ca="1" si="4"/>
        <v>401158</v>
      </c>
      <c r="S151" s="26">
        <f t="shared" ca="1" si="5"/>
        <v>4221715</v>
      </c>
      <c r="T151" s="26">
        <f ca="1">IFERROR(__xludf.DUMMYFUNCTION("ROUND(GOOGLEFINANCE(""Currency:EURKZT"")*L151+S151)"),4856883)</f>
        <v>4856883</v>
      </c>
      <c r="U151" s="26">
        <f ca="1">IFERROR(__xludf.DUMMYFUNCTION("D151*GOOGLEFINANCE(""RUBKZT"")*1000/F151"),6050851.6194408)</f>
        <v>6050851.6194407996</v>
      </c>
      <c r="V151" s="27">
        <f t="shared" ca="1" si="6"/>
        <v>0.24583022062520335</v>
      </c>
    </row>
    <row r="152" spans="1:22" ht="12.75" customHeight="1" x14ac:dyDescent="0.2">
      <c r="A152" s="6" t="s">
        <v>598</v>
      </c>
      <c r="B152" s="6" t="s">
        <v>488</v>
      </c>
      <c r="C152" s="7">
        <v>214086</v>
      </c>
      <c r="D152" s="8">
        <v>6852</v>
      </c>
      <c r="E152" s="9" t="s">
        <v>16</v>
      </c>
      <c r="F152" s="23">
        <v>12</v>
      </c>
      <c r="G152" s="25"/>
      <c r="H152" s="14">
        <f t="shared" si="0"/>
        <v>0.55000000000000004</v>
      </c>
      <c r="I152" s="25">
        <f ca="1">IFERROR(__xludf.DUMMYFUNCTION("ROUND(D152*GOOGLEFINANCE(""RUBKZT"")*H152)"),29408)</f>
        <v>29408</v>
      </c>
      <c r="J152" s="26">
        <f ca="1">IFERROR(__xludf.DUMMYFUNCTION("ROUND(I152*GOOGLEFINANCE(""KZTEUR""))"),62)</f>
        <v>62</v>
      </c>
      <c r="K152" s="26">
        <f t="shared" ca="1" si="1"/>
        <v>5167</v>
      </c>
      <c r="L152" s="26">
        <f t="shared" ca="1" si="2"/>
        <v>981.73</v>
      </c>
      <c r="M152" s="26">
        <f t="shared" ref="M152:N152" si="154">M$3</f>
        <v>500</v>
      </c>
      <c r="N152" s="26">
        <f t="shared" si="154"/>
        <v>500</v>
      </c>
      <c r="O152" s="26">
        <f ca="1">IFERROR(__xludf.DUMMYFUNCTION("ROUND(GOOGLEFINANCE(""Currency:EURKZT"")*K152)"),2467602)</f>
        <v>2467602</v>
      </c>
      <c r="P152" s="26">
        <f ca="1">IFERROR(__xludf.DUMMYFUNCTION("ROUND(GOOGLEFINANCE(""Currency:EURKZT"")*M152)"),238785)</f>
        <v>238785</v>
      </c>
      <c r="Q152" s="26">
        <f ca="1">IFERROR(__xludf.DUMMYFUNCTION("ROUND(GOOGLEFINANCE(""Currency:EURKZT"")*N152)"),238785)</f>
        <v>238785</v>
      </c>
      <c r="R152" s="26">
        <f t="shared" ca="1" si="4"/>
        <v>296112</v>
      </c>
      <c r="S152" s="26">
        <f t="shared" ca="1" si="5"/>
        <v>3241284</v>
      </c>
      <c r="T152" s="26">
        <f ca="1">IFERROR(__xludf.DUMMYFUNCTION("ROUND(GOOGLEFINANCE(""Currency:EURKZT"")*L152+S152)"),3710128)</f>
        <v>3710128</v>
      </c>
      <c r="U152" s="26">
        <f ca="1">IFERROR(__xludf.DUMMYFUNCTION("D152*GOOGLEFINANCE(""RUBKZT"")*1000/F152"),4455811.548492)</f>
        <v>4455811.5484920004</v>
      </c>
      <c r="V152" s="27">
        <f t="shared" ca="1" si="6"/>
        <v>0.20098593592781716</v>
      </c>
    </row>
    <row r="153" spans="1:22" ht="12.75" customHeight="1" x14ac:dyDescent="0.2">
      <c r="A153" s="6" t="s">
        <v>602</v>
      </c>
      <c r="B153" s="6" t="s">
        <v>488</v>
      </c>
      <c r="C153" s="7">
        <v>214110</v>
      </c>
      <c r="D153" s="8">
        <v>8379.6</v>
      </c>
      <c r="E153" s="9" t="s">
        <v>16</v>
      </c>
      <c r="F153" s="23">
        <v>12</v>
      </c>
      <c r="G153" s="25"/>
      <c r="H153" s="14">
        <f t="shared" si="0"/>
        <v>0.55000000000000004</v>
      </c>
      <c r="I153" s="25">
        <f ca="1">IFERROR(__xludf.DUMMYFUNCTION("ROUND(D153*GOOGLEFINANCE(""RUBKZT"")*H153)"),35965)</f>
        <v>35965</v>
      </c>
      <c r="J153" s="26">
        <f ca="1">IFERROR(__xludf.DUMMYFUNCTION("ROUND(I153*GOOGLEFINANCE(""KZTEUR""))"),75)</f>
        <v>75</v>
      </c>
      <c r="K153" s="26">
        <f t="shared" ca="1" si="1"/>
        <v>6250</v>
      </c>
      <c r="L153" s="26">
        <f t="shared" ca="1" si="2"/>
        <v>1187.5</v>
      </c>
      <c r="M153" s="26">
        <f t="shared" ref="M153:N153" si="155">M$3</f>
        <v>500</v>
      </c>
      <c r="N153" s="26">
        <f t="shared" si="155"/>
        <v>500</v>
      </c>
      <c r="O153" s="26">
        <f ca="1">IFERROR(__xludf.DUMMYFUNCTION("ROUND(GOOGLEFINANCE(""Currency:EURKZT"")*K153)"),2984810)</f>
        <v>2984810</v>
      </c>
      <c r="P153" s="26">
        <f ca="1">IFERROR(__xludf.DUMMYFUNCTION("ROUND(GOOGLEFINANCE(""Currency:EURKZT"")*M153)"),238785)</f>
        <v>238785</v>
      </c>
      <c r="Q153" s="26">
        <f ca="1">IFERROR(__xludf.DUMMYFUNCTION("ROUND(GOOGLEFINANCE(""Currency:EURKZT"")*N153)"),238785)</f>
        <v>238785</v>
      </c>
      <c r="R153" s="26">
        <f t="shared" ca="1" si="4"/>
        <v>358177</v>
      </c>
      <c r="S153" s="26">
        <f t="shared" ca="1" si="5"/>
        <v>3820557</v>
      </c>
      <c r="T153" s="26">
        <f ca="1">IFERROR(__xludf.DUMMYFUNCTION("ROUND(GOOGLEFINANCE(""Currency:EURKZT"")*L153+S153)"),4387671)</f>
        <v>4387671</v>
      </c>
      <c r="U153" s="26">
        <f ca="1">IFERROR(__xludf.DUMMYFUNCTION("D153*GOOGLEFINANCE(""RUBKZT"")*1000/F153"),5449200.0075516)</f>
        <v>5449200.0075516002</v>
      </c>
      <c r="V153" s="27">
        <f t="shared" ca="1" si="6"/>
        <v>0.24193450410288289</v>
      </c>
    </row>
    <row r="154" spans="1:22" ht="12.75" customHeight="1" x14ac:dyDescent="0.2">
      <c r="A154" s="6" t="s">
        <v>603</v>
      </c>
      <c r="B154" s="6" t="s">
        <v>488</v>
      </c>
      <c r="C154" s="7">
        <v>214111</v>
      </c>
      <c r="D154" s="8">
        <v>5913.5999999999995</v>
      </c>
      <c r="E154" s="9" t="s">
        <v>16</v>
      </c>
      <c r="F154" s="23">
        <v>12</v>
      </c>
      <c r="G154" s="25"/>
      <c r="H154" s="14">
        <f t="shared" si="0"/>
        <v>0.55000000000000004</v>
      </c>
      <c r="I154" s="25">
        <f ca="1">IFERROR(__xludf.DUMMYFUNCTION("ROUND(D154*GOOGLEFINANCE(""RUBKZT"")*H154)"),25381)</f>
        <v>25381</v>
      </c>
      <c r="J154" s="26">
        <f ca="1">IFERROR(__xludf.DUMMYFUNCTION("ROUND(I154*GOOGLEFINANCE(""KZTEUR""))"),53)</f>
        <v>53</v>
      </c>
      <c r="K154" s="26">
        <f t="shared" ca="1" si="1"/>
        <v>4417</v>
      </c>
      <c r="L154" s="26">
        <f t="shared" ca="1" si="2"/>
        <v>839.23</v>
      </c>
      <c r="M154" s="26">
        <f t="shared" ref="M154:N154" si="156">M$3</f>
        <v>500</v>
      </c>
      <c r="N154" s="26">
        <f t="shared" si="156"/>
        <v>500</v>
      </c>
      <c r="O154" s="26">
        <f ca="1">IFERROR(__xludf.DUMMYFUNCTION("ROUND(GOOGLEFINANCE(""Currency:EURKZT"")*K154)"),2109425)</f>
        <v>2109425</v>
      </c>
      <c r="P154" s="26">
        <f ca="1">IFERROR(__xludf.DUMMYFUNCTION("ROUND(GOOGLEFINANCE(""Currency:EURKZT"")*M154)"),238785)</f>
        <v>238785</v>
      </c>
      <c r="Q154" s="26">
        <f ca="1">IFERROR(__xludf.DUMMYFUNCTION("ROUND(GOOGLEFINANCE(""Currency:EURKZT"")*N154)"),238785)</f>
        <v>238785</v>
      </c>
      <c r="R154" s="26">
        <f t="shared" ca="1" si="4"/>
        <v>253131</v>
      </c>
      <c r="S154" s="26">
        <f t="shared" ca="1" si="5"/>
        <v>2840126</v>
      </c>
      <c r="T154" s="26">
        <f ca="1">IFERROR(__xludf.DUMMYFUNCTION("ROUND(GOOGLEFINANCE(""Currency:EURKZT"")*L154+S154)"),3240917)</f>
        <v>3240917</v>
      </c>
      <c r="U154" s="26">
        <f ca="1">IFERROR(__xludf.DUMMYFUNCTION("D154*GOOGLEFINANCE(""RUBKZT"")*1000/F154"),3845576.0614656)</f>
        <v>3845576.0614656</v>
      </c>
      <c r="V154" s="27">
        <f t="shared" ca="1" si="6"/>
        <v>0.18657036309957956</v>
      </c>
    </row>
    <row r="155" spans="1:22" ht="12.75" customHeight="1" x14ac:dyDescent="0.2">
      <c r="A155" s="6" t="s">
        <v>604</v>
      </c>
      <c r="B155" s="6" t="s">
        <v>488</v>
      </c>
      <c r="C155" s="7">
        <v>214112</v>
      </c>
      <c r="D155" s="8">
        <v>80136</v>
      </c>
      <c r="E155" s="9" t="s">
        <v>16</v>
      </c>
      <c r="F155" s="23">
        <v>12</v>
      </c>
      <c r="G155" s="25"/>
      <c r="H155" s="14">
        <f t="shared" si="0"/>
        <v>0.55000000000000004</v>
      </c>
      <c r="I155" s="25">
        <f ca="1">IFERROR(__xludf.DUMMYFUNCTION("ROUND(D155*GOOGLEFINANCE(""RUBKZT"")*H155)"),343939)</f>
        <v>343939</v>
      </c>
      <c r="J155" s="26">
        <f ca="1">IFERROR(__xludf.DUMMYFUNCTION("ROUND(I155*GOOGLEFINANCE(""KZTEUR""))"),720)</f>
        <v>720</v>
      </c>
      <c r="K155" s="26">
        <f t="shared" ca="1" si="1"/>
        <v>60000</v>
      </c>
      <c r="L155" s="26">
        <f t="shared" ca="1" si="2"/>
        <v>11400</v>
      </c>
      <c r="M155" s="26">
        <f t="shared" ref="M155:N155" si="157">M$3</f>
        <v>500</v>
      </c>
      <c r="N155" s="26">
        <f t="shared" si="157"/>
        <v>500</v>
      </c>
      <c r="O155" s="26">
        <f ca="1">IFERROR(__xludf.DUMMYFUNCTION("ROUND(GOOGLEFINANCE(""Currency:EURKZT"")*K155)"),28654177)</f>
        <v>28654177</v>
      </c>
      <c r="P155" s="26">
        <f ca="1">IFERROR(__xludf.DUMMYFUNCTION("ROUND(GOOGLEFINANCE(""Currency:EURKZT"")*M155)"),238785)</f>
        <v>238785</v>
      </c>
      <c r="Q155" s="26">
        <f ca="1">IFERROR(__xludf.DUMMYFUNCTION("ROUND(GOOGLEFINANCE(""Currency:EURKZT"")*N155)"),238785)</f>
        <v>238785</v>
      </c>
      <c r="R155" s="26">
        <f t="shared" ca="1" si="4"/>
        <v>3438501</v>
      </c>
      <c r="S155" s="26">
        <f t="shared" ca="1" si="5"/>
        <v>32570248</v>
      </c>
      <c r="T155" s="26">
        <f ca="1">IFERROR(__xludf.DUMMYFUNCTION("ROUND(GOOGLEFINANCE(""Currency:EURKZT"")*L155+S155)"),38014542)</f>
        <v>38014542</v>
      </c>
      <c r="U155" s="26">
        <f ca="1">IFERROR(__xludf.DUMMYFUNCTION("D155*GOOGLEFINANCE(""RUBKZT"")*1000/F155"),52111925.605656)</f>
        <v>52111925.605655998</v>
      </c>
      <c r="V155" s="27">
        <f t="shared" ca="1" si="6"/>
        <v>0.37084186377034339</v>
      </c>
    </row>
    <row r="156" spans="1:22" ht="12.75" customHeight="1" x14ac:dyDescent="0.2">
      <c r="A156" s="6" t="s">
        <v>605</v>
      </c>
      <c r="B156" s="6" t="s">
        <v>488</v>
      </c>
      <c r="C156" s="7">
        <v>214125</v>
      </c>
      <c r="D156" s="8">
        <v>8342.4</v>
      </c>
      <c r="E156" s="9" t="s">
        <v>7</v>
      </c>
      <c r="F156" s="23">
        <v>12</v>
      </c>
      <c r="G156" s="25"/>
      <c r="H156" s="14">
        <f t="shared" si="0"/>
        <v>0.55000000000000004</v>
      </c>
      <c r="I156" s="25">
        <f ca="1">IFERROR(__xludf.DUMMYFUNCTION("ROUND(D156*GOOGLEFINANCE(""RUBKZT"")*H156)"),35805)</f>
        <v>35805</v>
      </c>
      <c r="J156" s="26">
        <f ca="1">IFERROR(__xludf.DUMMYFUNCTION("ROUND(I156*GOOGLEFINANCE(""KZTEUR""))"),75)</f>
        <v>75</v>
      </c>
      <c r="K156" s="26">
        <f t="shared" ca="1" si="1"/>
        <v>6250</v>
      </c>
      <c r="L156" s="26">
        <f t="shared" ca="1" si="2"/>
        <v>1187.5</v>
      </c>
      <c r="M156" s="26">
        <f t="shared" ref="M156:N156" si="158">M$3</f>
        <v>500</v>
      </c>
      <c r="N156" s="26">
        <f t="shared" si="158"/>
        <v>500</v>
      </c>
      <c r="O156" s="26">
        <f ca="1">IFERROR(__xludf.DUMMYFUNCTION("ROUND(GOOGLEFINANCE(""Currency:EURKZT"")*K156)"),2984810)</f>
        <v>2984810</v>
      </c>
      <c r="P156" s="26">
        <f ca="1">IFERROR(__xludf.DUMMYFUNCTION("ROUND(GOOGLEFINANCE(""Currency:EURKZT"")*M156)"),238785)</f>
        <v>238785</v>
      </c>
      <c r="Q156" s="26">
        <f ca="1">IFERROR(__xludf.DUMMYFUNCTION("ROUND(GOOGLEFINANCE(""Currency:EURKZT"")*N156)"),238785)</f>
        <v>238785</v>
      </c>
      <c r="R156" s="26">
        <f t="shared" ca="1" si="4"/>
        <v>358177</v>
      </c>
      <c r="S156" s="26">
        <f t="shared" ca="1" si="5"/>
        <v>3820557</v>
      </c>
      <c r="T156" s="26">
        <f ca="1">IFERROR(__xludf.DUMMYFUNCTION("ROUND(GOOGLEFINANCE(""Currency:EURKZT"")*L156+S156)"),4387671)</f>
        <v>4387671</v>
      </c>
      <c r="U156" s="26">
        <f ca="1">IFERROR(__xludf.DUMMYFUNCTION("D156*GOOGLEFINANCE(""RUBKZT"")*1000/F156"),5425009.0867104)</f>
        <v>5425009.0867103999</v>
      </c>
      <c r="V156" s="27">
        <f t="shared" ca="1" si="6"/>
        <v>0.2364211187918146</v>
      </c>
    </row>
    <row r="157" spans="1:22" ht="12.75" customHeight="1" x14ac:dyDescent="0.2">
      <c r="A157" s="6" t="s">
        <v>606</v>
      </c>
      <c r="B157" s="6" t="s">
        <v>488</v>
      </c>
      <c r="C157" s="7">
        <v>214126</v>
      </c>
      <c r="D157" s="8">
        <v>8964</v>
      </c>
      <c r="E157" s="9" t="s">
        <v>7</v>
      </c>
      <c r="F157" s="23">
        <v>12</v>
      </c>
      <c r="G157" s="25"/>
      <c r="H157" s="14">
        <f t="shared" si="0"/>
        <v>0.55000000000000004</v>
      </c>
      <c r="I157" s="25">
        <f ca="1">IFERROR(__xludf.DUMMYFUNCTION("ROUND(D157*GOOGLEFINANCE(""RUBKZT"")*H157)"),38473)</f>
        <v>38473</v>
      </c>
      <c r="J157" s="26">
        <f ca="1">IFERROR(__xludf.DUMMYFUNCTION("ROUND(I157*GOOGLEFINANCE(""KZTEUR""))"),81)</f>
        <v>81</v>
      </c>
      <c r="K157" s="26">
        <f t="shared" ca="1" si="1"/>
        <v>6750</v>
      </c>
      <c r="L157" s="26">
        <f t="shared" ca="1" si="2"/>
        <v>1282.5</v>
      </c>
      <c r="M157" s="26">
        <f t="shared" ref="M157:N157" si="159">M$3</f>
        <v>500</v>
      </c>
      <c r="N157" s="26">
        <f t="shared" si="159"/>
        <v>500</v>
      </c>
      <c r="O157" s="26">
        <f ca="1">IFERROR(__xludf.DUMMYFUNCTION("ROUND(GOOGLEFINANCE(""Currency:EURKZT"")*K157)"),3223595)</f>
        <v>3223595</v>
      </c>
      <c r="P157" s="26">
        <f ca="1">IFERROR(__xludf.DUMMYFUNCTION("ROUND(GOOGLEFINANCE(""Currency:EURKZT"")*M157)"),238785)</f>
        <v>238785</v>
      </c>
      <c r="Q157" s="26">
        <f ca="1">IFERROR(__xludf.DUMMYFUNCTION("ROUND(GOOGLEFINANCE(""Currency:EURKZT"")*N157)"),238785)</f>
        <v>238785</v>
      </c>
      <c r="R157" s="26">
        <f t="shared" ca="1" si="4"/>
        <v>386831</v>
      </c>
      <c r="S157" s="26">
        <f t="shared" ca="1" si="5"/>
        <v>4087996</v>
      </c>
      <c r="T157" s="26">
        <f ca="1">IFERROR(__xludf.DUMMYFUNCTION("ROUND(GOOGLEFINANCE(""Currency:EURKZT"")*L157+S157)"),4700479)</f>
        <v>4700479</v>
      </c>
      <c r="U157" s="26">
        <f ca="1">IFERROR(__xludf.DUMMYFUNCTION("D157*GOOGLEFINANCE(""RUBKZT"")*1000/F157"),5829231.570444)</f>
        <v>5829231.570444</v>
      </c>
      <c r="V157" s="27">
        <f t="shared" ca="1" si="6"/>
        <v>0.24013564797204709</v>
      </c>
    </row>
    <row r="158" spans="1:22" ht="12.75" customHeight="1" x14ac:dyDescent="0.2">
      <c r="A158" s="6" t="s">
        <v>609</v>
      </c>
      <c r="B158" s="6" t="s">
        <v>488</v>
      </c>
      <c r="C158" s="7">
        <v>214144</v>
      </c>
      <c r="D158" s="8">
        <v>10358.4</v>
      </c>
      <c r="E158" s="9" t="s">
        <v>16</v>
      </c>
      <c r="F158" s="23">
        <v>12</v>
      </c>
      <c r="G158" s="25"/>
      <c r="H158" s="14">
        <f t="shared" si="0"/>
        <v>0.55000000000000004</v>
      </c>
      <c r="I158" s="25">
        <f ca="1">IFERROR(__xludf.DUMMYFUNCTION("ROUND(D158*GOOGLEFINANCE(""RUBKZT"")*H158)"),44458)</f>
        <v>44458</v>
      </c>
      <c r="J158" s="26">
        <f ca="1">IFERROR(__xludf.DUMMYFUNCTION("ROUND(I158*GOOGLEFINANCE(""KZTEUR""))"),93)</f>
        <v>93</v>
      </c>
      <c r="K158" s="26">
        <f t="shared" ca="1" si="1"/>
        <v>7750</v>
      </c>
      <c r="L158" s="26">
        <f t="shared" ca="1" si="2"/>
        <v>1472.5</v>
      </c>
      <c r="M158" s="26">
        <f t="shared" ref="M158:N158" si="160">M$3</f>
        <v>500</v>
      </c>
      <c r="N158" s="26">
        <f t="shared" si="160"/>
        <v>500</v>
      </c>
      <c r="O158" s="26">
        <f ca="1">IFERROR(__xludf.DUMMYFUNCTION("ROUND(GOOGLEFINANCE(""Currency:EURKZT"")*K158)"),3701165)</f>
        <v>3701165</v>
      </c>
      <c r="P158" s="26">
        <f ca="1">IFERROR(__xludf.DUMMYFUNCTION("ROUND(GOOGLEFINANCE(""Currency:EURKZT"")*M158)"),238785)</f>
        <v>238785</v>
      </c>
      <c r="Q158" s="26">
        <f ca="1">IFERROR(__xludf.DUMMYFUNCTION("ROUND(GOOGLEFINANCE(""Currency:EURKZT"")*N158)"),238785)</f>
        <v>238785</v>
      </c>
      <c r="R158" s="26">
        <f t="shared" ca="1" si="4"/>
        <v>444140</v>
      </c>
      <c r="S158" s="26">
        <f t="shared" ca="1" si="5"/>
        <v>4622875</v>
      </c>
      <c r="T158" s="26">
        <f ca="1">IFERROR(__xludf.DUMMYFUNCTION("ROUND(GOOGLEFINANCE(""Currency:EURKZT"")*L158+S158)"),5326096)</f>
        <v>5326096</v>
      </c>
      <c r="U158" s="26">
        <f ca="1">IFERROR(__xludf.DUMMYFUNCTION("D158*GOOGLEFINANCE(""RUBKZT"")*1000/F158"),6736000.9258464)</f>
        <v>6736000.9258463997</v>
      </c>
      <c r="V158" s="27">
        <f t="shared" ca="1" si="6"/>
        <v>0.26471639374250855</v>
      </c>
    </row>
    <row r="159" spans="1:22" ht="12.75" customHeight="1" x14ac:dyDescent="0.2">
      <c r="A159" s="6" t="s">
        <v>610</v>
      </c>
      <c r="B159" s="6" t="s">
        <v>488</v>
      </c>
      <c r="C159" s="7">
        <v>214145</v>
      </c>
      <c r="D159" s="8">
        <v>12475.199999999999</v>
      </c>
      <c r="E159" s="9" t="s">
        <v>16</v>
      </c>
      <c r="F159" s="23">
        <v>12</v>
      </c>
      <c r="G159" s="25"/>
      <c r="H159" s="14">
        <f t="shared" si="0"/>
        <v>0.55000000000000004</v>
      </c>
      <c r="I159" s="25">
        <f ca="1">IFERROR(__xludf.DUMMYFUNCTION("ROUND(D159*GOOGLEFINANCE(""RUBKZT"")*H159)"),53543)</f>
        <v>53543</v>
      </c>
      <c r="J159" s="26">
        <f ca="1">IFERROR(__xludf.DUMMYFUNCTION("ROUND(I159*GOOGLEFINANCE(""KZTEUR""))"),112)</f>
        <v>112</v>
      </c>
      <c r="K159" s="26">
        <f t="shared" ca="1" si="1"/>
        <v>9333</v>
      </c>
      <c r="L159" s="26">
        <f t="shared" ca="1" si="2"/>
        <v>1773.27</v>
      </c>
      <c r="M159" s="26">
        <f t="shared" ref="M159:N159" si="161">M$3</f>
        <v>500</v>
      </c>
      <c r="N159" s="26">
        <f t="shared" si="161"/>
        <v>500</v>
      </c>
      <c r="O159" s="26">
        <f ca="1">IFERROR(__xludf.DUMMYFUNCTION("ROUND(GOOGLEFINANCE(""Currency:EURKZT"")*K159)"),4457157)</f>
        <v>4457157</v>
      </c>
      <c r="P159" s="26">
        <f ca="1">IFERROR(__xludf.DUMMYFUNCTION("ROUND(GOOGLEFINANCE(""Currency:EURKZT"")*M159)"),238785)</f>
        <v>238785</v>
      </c>
      <c r="Q159" s="26">
        <f ca="1">IFERROR(__xludf.DUMMYFUNCTION("ROUND(GOOGLEFINANCE(""Currency:EURKZT"")*N159)"),238785)</f>
        <v>238785</v>
      </c>
      <c r="R159" s="26">
        <f t="shared" ca="1" si="4"/>
        <v>534859</v>
      </c>
      <c r="S159" s="26">
        <f t="shared" ca="1" si="5"/>
        <v>5469586</v>
      </c>
      <c r="T159" s="26">
        <f ca="1">IFERROR(__xludf.DUMMYFUNCTION("ROUND(GOOGLEFINANCE(""Currency:EURKZT"")*L159+S159)"),6316446)</f>
        <v>6316446</v>
      </c>
      <c r="U159" s="26">
        <f ca="1">IFERROR(__xludf.DUMMYFUNCTION("D159*GOOGLEFINANCE(""RUBKZT"")*1000/F159"),8112542.35693919)</f>
        <v>8112542.3569391901</v>
      </c>
      <c r="V159" s="27">
        <f t="shared" ca="1" si="6"/>
        <v>0.28435236475372228</v>
      </c>
    </row>
    <row r="160" spans="1:22" ht="12.75" customHeight="1" x14ac:dyDescent="0.2">
      <c r="A160" s="6" t="s">
        <v>615</v>
      </c>
      <c r="B160" s="6" t="s">
        <v>488</v>
      </c>
      <c r="C160" s="7">
        <v>214174</v>
      </c>
      <c r="D160" s="8">
        <v>7225.2</v>
      </c>
      <c r="E160" s="9" t="s">
        <v>16</v>
      </c>
      <c r="F160" s="23">
        <v>12</v>
      </c>
      <c r="G160" s="25"/>
      <c r="H160" s="14">
        <f t="shared" si="0"/>
        <v>0.55000000000000004</v>
      </c>
      <c r="I160" s="25">
        <f ca="1">IFERROR(__xludf.DUMMYFUNCTION("ROUND(D160*GOOGLEFINANCE(""RUBKZT"")*H160)"),31010)</f>
        <v>31010</v>
      </c>
      <c r="J160" s="26">
        <f ca="1">IFERROR(__xludf.DUMMYFUNCTION("ROUND(I160*GOOGLEFINANCE(""KZTEUR""))"),65)</f>
        <v>65</v>
      </c>
      <c r="K160" s="26">
        <f t="shared" ca="1" si="1"/>
        <v>5417</v>
      </c>
      <c r="L160" s="26">
        <f t="shared" ca="1" si="2"/>
        <v>1029.23</v>
      </c>
      <c r="M160" s="26">
        <f t="shared" ref="M160:N160" si="162">M$3</f>
        <v>500</v>
      </c>
      <c r="N160" s="26">
        <f t="shared" si="162"/>
        <v>500</v>
      </c>
      <c r="O160" s="26">
        <f ca="1">IFERROR(__xludf.DUMMYFUNCTION("ROUND(GOOGLEFINANCE(""Currency:EURKZT"")*K160)"),2586995)</f>
        <v>2586995</v>
      </c>
      <c r="P160" s="26">
        <f ca="1">IFERROR(__xludf.DUMMYFUNCTION("ROUND(GOOGLEFINANCE(""Currency:EURKZT"")*M160)"),238785)</f>
        <v>238785</v>
      </c>
      <c r="Q160" s="26">
        <f ca="1">IFERROR(__xludf.DUMMYFUNCTION("ROUND(GOOGLEFINANCE(""Currency:EURKZT"")*N160)"),238785)</f>
        <v>238785</v>
      </c>
      <c r="R160" s="26">
        <f t="shared" ca="1" si="4"/>
        <v>310439</v>
      </c>
      <c r="S160" s="26">
        <f t="shared" ca="1" si="5"/>
        <v>3375004</v>
      </c>
      <c r="T160" s="26">
        <f ca="1">IFERROR(__xludf.DUMMYFUNCTION("ROUND(GOOGLEFINANCE(""Currency:EURKZT"")*L160+S160)"),3866533)</f>
        <v>3866533</v>
      </c>
      <c r="U160" s="26">
        <f ca="1">IFERROR(__xludf.DUMMYFUNCTION("D160*GOOGLEFINANCE(""RUBKZT"")*1000/F160"),4698501.1091892)</f>
        <v>4698501.1091892002</v>
      </c>
      <c r="V160" s="27">
        <f t="shared" ca="1" si="6"/>
        <v>0.21517160442939456</v>
      </c>
    </row>
    <row r="161" spans="1:22" ht="12.75" customHeight="1" x14ac:dyDescent="0.2">
      <c r="A161" s="6" t="s">
        <v>627</v>
      </c>
      <c r="B161" s="6" t="s">
        <v>488</v>
      </c>
      <c r="C161" s="7">
        <v>215734</v>
      </c>
      <c r="D161" s="8">
        <v>6895.2</v>
      </c>
      <c r="E161" s="9" t="s">
        <v>16</v>
      </c>
      <c r="F161" s="23">
        <v>12</v>
      </c>
      <c r="G161" s="25"/>
      <c r="H161" s="14">
        <f t="shared" si="0"/>
        <v>0.55000000000000004</v>
      </c>
      <c r="I161" s="25">
        <f ca="1">IFERROR(__xludf.DUMMYFUNCTION("ROUND(D161*GOOGLEFINANCE(""RUBKZT"")*H161)"),29594)</f>
        <v>29594</v>
      </c>
      <c r="J161" s="26">
        <f ca="1">IFERROR(__xludf.DUMMYFUNCTION("ROUND(I161*GOOGLEFINANCE(""KZTEUR""))"),62)</f>
        <v>62</v>
      </c>
      <c r="K161" s="26">
        <f t="shared" ca="1" si="1"/>
        <v>5167</v>
      </c>
      <c r="L161" s="26">
        <f t="shared" ca="1" si="2"/>
        <v>981.73</v>
      </c>
      <c r="M161" s="26">
        <f t="shared" ref="M161:N161" si="163">M$3</f>
        <v>500</v>
      </c>
      <c r="N161" s="26">
        <f t="shared" si="163"/>
        <v>500</v>
      </c>
      <c r="O161" s="26">
        <f ca="1">IFERROR(__xludf.DUMMYFUNCTION("ROUND(GOOGLEFINANCE(""Currency:EURKZT"")*K161)"),2467602)</f>
        <v>2467602</v>
      </c>
      <c r="P161" s="26">
        <f ca="1">IFERROR(__xludf.DUMMYFUNCTION("ROUND(GOOGLEFINANCE(""Currency:EURKZT"")*M161)"),238785)</f>
        <v>238785</v>
      </c>
      <c r="Q161" s="26">
        <f ca="1">IFERROR(__xludf.DUMMYFUNCTION("ROUND(GOOGLEFINANCE(""Currency:EURKZT"")*N161)"),238785)</f>
        <v>238785</v>
      </c>
      <c r="R161" s="26">
        <f t="shared" ca="1" si="4"/>
        <v>296112</v>
      </c>
      <c r="S161" s="26">
        <f t="shared" ca="1" si="5"/>
        <v>3241284</v>
      </c>
      <c r="T161" s="26">
        <f ca="1">IFERROR(__xludf.DUMMYFUNCTION("ROUND(GOOGLEFINANCE(""Currency:EURKZT"")*L161+S161)"),3710128)</f>
        <v>3710128</v>
      </c>
      <c r="U161" s="26">
        <f ca="1">IFERROR(__xludf.DUMMYFUNCTION("D161*GOOGLEFINANCE(""RUBKZT"")*1000/F161"),4483904.2307592)</f>
        <v>4483904.2307591997</v>
      </c>
      <c r="V161" s="27">
        <f t="shared" ca="1" si="6"/>
        <v>0.20855782624189778</v>
      </c>
    </row>
    <row r="162" spans="1:22" ht="12.75" customHeight="1" x14ac:dyDescent="0.2">
      <c r="A162" s="6" t="s">
        <v>628</v>
      </c>
      <c r="B162" s="6" t="s">
        <v>488</v>
      </c>
      <c r="C162" s="7">
        <v>215735</v>
      </c>
      <c r="D162" s="8">
        <v>7044</v>
      </c>
      <c r="E162" s="9" t="s">
        <v>16</v>
      </c>
      <c r="F162" s="23">
        <v>12</v>
      </c>
      <c r="G162" s="25"/>
      <c r="H162" s="14">
        <f t="shared" si="0"/>
        <v>0.55000000000000004</v>
      </c>
      <c r="I162" s="25">
        <f ca="1">IFERROR(__xludf.DUMMYFUNCTION("ROUND(D162*GOOGLEFINANCE(""RUBKZT"")*H162)"),30232)</f>
        <v>30232</v>
      </c>
      <c r="J162" s="26">
        <f ca="1">IFERROR(__xludf.DUMMYFUNCTION("ROUND(I162*GOOGLEFINANCE(""KZTEUR""))"),63)</f>
        <v>63</v>
      </c>
      <c r="K162" s="26">
        <f t="shared" ca="1" si="1"/>
        <v>5250</v>
      </c>
      <c r="L162" s="26">
        <f t="shared" ca="1" si="2"/>
        <v>997.5</v>
      </c>
      <c r="M162" s="26">
        <f t="shared" ref="M162:N162" si="164">M$3</f>
        <v>500</v>
      </c>
      <c r="N162" s="26">
        <f t="shared" si="164"/>
        <v>500</v>
      </c>
      <c r="O162" s="26">
        <f ca="1">IFERROR(__xludf.DUMMYFUNCTION("ROUND(GOOGLEFINANCE(""Currency:EURKZT"")*K162)"),2507240)</f>
        <v>2507240</v>
      </c>
      <c r="P162" s="26">
        <f ca="1">IFERROR(__xludf.DUMMYFUNCTION("ROUND(GOOGLEFINANCE(""Currency:EURKZT"")*M162)"),238785)</f>
        <v>238785</v>
      </c>
      <c r="Q162" s="26">
        <f ca="1">IFERROR(__xludf.DUMMYFUNCTION("ROUND(GOOGLEFINANCE(""Currency:EURKZT"")*N162)"),238785)</f>
        <v>238785</v>
      </c>
      <c r="R162" s="26">
        <f t="shared" ca="1" si="4"/>
        <v>300869</v>
      </c>
      <c r="S162" s="26">
        <f t="shared" ca="1" si="5"/>
        <v>3285679</v>
      </c>
      <c r="T162" s="26">
        <f ca="1">IFERROR(__xludf.DUMMYFUNCTION("ROUND(GOOGLEFINANCE(""Currency:EURKZT"")*L162+S162)"),3762055)</f>
        <v>3762055</v>
      </c>
      <c r="U162" s="26">
        <f ca="1">IFERROR(__xludf.DUMMYFUNCTION("D162*GOOGLEFINANCE(""RUBKZT"")*1000/F162"),4580667.914124)</f>
        <v>4580667.9141239999</v>
      </c>
      <c r="V162" s="27">
        <f t="shared" ca="1" si="6"/>
        <v>0.21759727439497825</v>
      </c>
    </row>
    <row r="163" spans="1:22" ht="12.75" customHeight="1" x14ac:dyDescent="0.2">
      <c r="A163" s="6" t="s">
        <v>629</v>
      </c>
      <c r="B163" s="6" t="s">
        <v>488</v>
      </c>
      <c r="C163" s="7">
        <v>215834</v>
      </c>
      <c r="D163" s="8">
        <v>8466</v>
      </c>
      <c r="E163" s="9" t="s">
        <v>16</v>
      </c>
      <c r="F163" s="23">
        <v>12</v>
      </c>
      <c r="G163" s="25"/>
      <c r="H163" s="14">
        <f t="shared" si="0"/>
        <v>0.55000000000000004</v>
      </c>
      <c r="I163" s="25">
        <f ca="1">IFERROR(__xludf.DUMMYFUNCTION("ROUND(D163*GOOGLEFINANCE(""RUBKZT"")*H163)"),36336)</f>
        <v>36336</v>
      </c>
      <c r="J163" s="26">
        <f ca="1">IFERROR(__xludf.DUMMYFUNCTION("ROUND(I163*GOOGLEFINANCE(""KZTEUR""))"),76)</f>
        <v>76</v>
      </c>
      <c r="K163" s="26">
        <f t="shared" ca="1" si="1"/>
        <v>6333</v>
      </c>
      <c r="L163" s="26">
        <f t="shared" ca="1" si="2"/>
        <v>1203.27</v>
      </c>
      <c r="M163" s="26">
        <f t="shared" ref="M163:N163" si="165">M$3</f>
        <v>500</v>
      </c>
      <c r="N163" s="26">
        <f t="shared" si="165"/>
        <v>500</v>
      </c>
      <c r="O163" s="26">
        <f ca="1">IFERROR(__xludf.DUMMYFUNCTION("ROUND(GOOGLEFINANCE(""Currency:EURKZT"")*K163)"),3024448)</f>
        <v>3024448</v>
      </c>
      <c r="P163" s="26">
        <f ca="1">IFERROR(__xludf.DUMMYFUNCTION("ROUND(GOOGLEFINANCE(""Currency:EURKZT"")*M163)"),238785)</f>
        <v>238785</v>
      </c>
      <c r="Q163" s="26">
        <f ca="1">IFERROR(__xludf.DUMMYFUNCTION("ROUND(GOOGLEFINANCE(""Currency:EURKZT"")*N163)"),238785)</f>
        <v>238785</v>
      </c>
      <c r="R163" s="26">
        <f t="shared" ca="1" si="4"/>
        <v>362934</v>
      </c>
      <c r="S163" s="26">
        <f t="shared" ca="1" si="5"/>
        <v>3864952</v>
      </c>
      <c r="T163" s="26">
        <f ca="1">IFERROR(__xludf.DUMMYFUNCTION("ROUND(GOOGLEFINANCE(""Currency:EURKZT"")*L163+S163)"),4439597)</f>
        <v>4439597</v>
      </c>
      <c r="U163" s="26">
        <f ca="1">IFERROR(__xludf.DUMMYFUNCTION("D163*GOOGLEFINANCE(""RUBKZT"")*1000/F163"),5505385.372086)</f>
        <v>5505385.3720859997</v>
      </c>
      <c r="V163" s="27">
        <f t="shared" ca="1" si="6"/>
        <v>0.24006421575787165</v>
      </c>
    </row>
    <row r="164" spans="1:22" ht="12.75" customHeight="1" x14ac:dyDescent="0.2">
      <c r="A164" s="6" t="s">
        <v>636</v>
      </c>
      <c r="B164" s="6" t="s">
        <v>488</v>
      </c>
      <c r="C164" s="7">
        <v>216184</v>
      </c>
      <c r="D164" s="8">
        <v>6806.4</v>
      </c>
      <c r="E164" s="9" t="s">
        <v>16</v>
      </c>
      <c r="F164" s="23">
        <v>12</v>
      </c>
      <c r="G164" s="25"/>
      <c r="H164" s="14">
        <f t="shared" si="0"/>
        <v>0.55000000000000004</v>
      </c>
      <c r="I164" s="25">
        <f ca="1">IFERROR(__xludf.DUMMYFUNCTION("ROUND(D164*GOOGLEFINANCE(""RUBKZT"")*H164)"),29213)</f>
        <v>29213</v>
      </c>
      <c r="J164" s="26">
        <f ca="1">IFERROR(__xludf.DUMMYFUNCTION("ROUND(I164*GOOGLEFINANCE(""KZTEUR""))"),61)</f>
        <v>61</v>
      </c>
      <c r="K164" s="26">
        <f t="shared" ca="1" si="1"/>
        <v>5083</v>
      </c>
      <c r="L164" s="26">
        <f t="shared" ca="1" si="2"/>
        <v>965.77</v>
      </c>
      <c r="M164" s="26">
        <f t="shared" ref="M164:N164" si="166">M$3</f>
        <v>500</v>
      </c>
      <c r="N164" s="26">
        <f t="shared" si="166"/>
        <v>500</v>
      </c>
      <c r="O164" s="26">
        <f ca="1">IFERROR(__xludf.DUMMYFUNCTION("ROUND(GOOGLEFINANCE(""Currency:EURKZT"")*K164)"),2427486)</f>
        <v>2427486</v>
      </c>
      <c r="P164" s="26">
        <f ca="1">IFERROR(__xludf.DUMMYFUNCTION("ROUND(GOOGLEFINANCE(""Currency:EURKZT"")*M164)"),238785)</f>
        <v>238785</v>
      </c>
      <c r="Q164" s="26">
        <f ca="1">IFERROR(__xludf.DUMMYFUNCTION("ROUND(GOOGLEFINANCE(""Currency:EURKZT"")*N164)"),238785)</f>
        <v>238785</v>
      </c>
      <c r="R164" s="26">
        <f t="shared" ca="1" si="4"/>
        <v>291298</v>
      </c>
      <c r="S164" s="26">
        <f t="shared" ca="1" si="5"/>
        <v>3196354</v>
      </c>
      <c r="T164" s="26">
        <f ca="1">IFERROR(__xludf.DUMMYFUNCTION("ROUND(GOOGLEFINANCE(""Currency:EURKZT"")*L164+S164)"),3657576)</f>
        <v>3657576</v>
      </c>
      <c r="U164" s="26">
        <f ca="1">IFERROR(__xludf.DUMMYFUNCTION("D164*GOOGLEFINANCE(""RUBKZT"")*1000/F164"),4426158.1616544)</f>
        <v>4426158.1616543997</v>
      </c>
      <c r="V164" s="27">
        <f t="shared" ca="1" si="6"/>
        <v>0.21013429704656847</v>
      </c>
    </row>
    <row r="165" spans="1:22" ht="12.75" customHeight="1" x14ac:dyDescent="0.2">
      <c r="A165" s="6" t="s">
        <v>637</v>
      </c>
      <c r="B165" s="6" t="s">
        <v>488</v>
      </c>
      <c r="C165" s="7">
        <v>216186</v>
      </c>
      <c r="D165" s="8">
        <v>9042</v>
      </c>
      <c r="E165" s="9" t="s">
        <v>16</v>
      </c>
      <c r="F165" s="23">
        <v>12</v>
      </c>
      <c r="G165" s="25"/>
      <c r="H165" s="14">
        <f t="shared" si="0"/>
        <v>0.55000000000000004</v>
      </c>
      <c r="I165" s="25">
        <f ca="1">IFERROR(__xludf.DUMMYFUNCTION("ROUND(D165*GOOGLEFINANCE(""RUBKZT"")*H165)"),38808)</f>
        <v>38808</v>
      </c>
      <c r="J165" s="26">
        <f ca="1">IFERROR(__xludf.DUMMYFUNCTION("ROUND(I165*GOOGLEFINANCE(""KZTEUR""))"),81)</f>
        <v>81</v>
      </c>
      <c r="K165" s="26">
        <f t="shared" ca="1" si="1"/>
        <v>6750</v>
      </c>
      <c r="L165" s="26">
        <f t="shared" ca="1" si="2"/>
        <v>1282.5</v>
      </c>
      <c r="M165" s="26">
        <f t="shared" ref="M165:N165" si="167">M$3</f>
        <v>500</v>
      </c>
      <c r="N165" s="26">
        <f t="shared" si="167"/>
        <v>500</v>
      </c>
      <c r="O165" s="26">
        <f ca="1">IFERROR(__xludf.DUMMYFUNCTION("ROUND(GOOGLEFINANCE(""Currency:EURKZT"")*K165)"),3223595)</f>
        <v>3223595</v>
      </c>
      <c r="P165" s="26">
        <f ca="1">IFERROR(__xludf.DUMMYFUNCTION("ROUND(GOOGLEFINANCE(""Currency:EURKZT"")*M165)"),238785)</f>
        <v>238785</v>
      </c>
      <c r="Q165" s="26">
        <f ca="1">IFERROR(__xludf.DUMMYFUNCTION("ROUND(GOOGLEFINANCE(""Currency:EURKZT"")*N165)"),238785)</f>
        <v>238785</v>
      </c>
      <c r="R165" s="26">
        <f t="shared" ca="1" si="4"/>
        <v>386831</v>
      </c>
      <c r="S165" s="26">
        <f t="shared" ca="1" si="5"/>
        <v>4087996</v>
      </c>
      <c r="T165" s="26">
        <f ca="1">IFERROR(__xludf.DUMMYFUNCTION("ROUND(GOOGLEFINANCE(""Currency:EURKZT"")*L165+S165)"),4700479)</f>
        <v>4700479</v>
      </c>
      <c r="U165" s="26">
        <f ca="1">IFERROR(__xludf.DUMMYFUNCTION("D165*GOOGLEFINANCE(""RUBKZT"")*1000/F165"),5879954.468982)</f>
        <v>5879954.4689819999</v>
      </c>
      <c r="V165" s="27">
        <f t="shared" ca="1" si="6"/>
        <v>0.25092665427970212</v>
      </c>
    </row>
    <row r="166" spans="1:22" ht="12.75" customHeight="1" x14ac:dyDescent="0.2">
      <c r="A166" s="6" t="s">
        <v>614</v>
      </c>
      <c r="B166" s="6" t="s">
        <v>488</v>
      </c>
      <c r="C166" s="7">
        <v>216250</v>
      </c>
      <c r="D166" s="8">
        <v>8758.7999999999993</v>
      </c>
      <c r="E166" s="9" t="s">
        <v>16</v>
      </c>
      <c r="F166" s="23">
        <v>12</v>
      </c>
      <c r="G166" s="25"/>
      <c r="H166" s="14">
        <f t="shared" si="0"/>
        <v>0.55000000000000004</v>
      </c>
      <c r="I166" s="25">
        <f ca="1">IFERROR(__xludf.DUMMYFUNCTION("ROUND(D166*GOOGLEFINANCE(""RUBKZT"")*H166)"),37592)</f>
        <v>37592</v>
      </c>
      <c r="J166" s="26">
        <f ca="1">IFERROR(__xludf.DUMMYFUNCTION("ROUND(I166*GOOGLEFINANCE(""KZTEUR""))"),79)</f>
        <v>79</v>
      </c>
      <c r="K166" s="26">
        <f t="shared" ca="1" si="1"/>
        <v>6583</v>
      </c>
      <c r="L166" s="26">
        <f t="shared" ca="1" si="2"/>
        <v>1250.77</v>
      </c>
      <c r="M166" s="26">
        <f t="shared" ref="M166:N166" si="168">M$3</f>
        <v>500</v>
      </c>
      <c r="N166" s="26">
        <f t="shared" si="168"/>
        <v>500</v>
      </c>
      <c r="O166" s="26">
        <f ca="1">IFERROR(__xludf.DUMMYFUNCTION("ROUND(GOOGLEFINANCE(""Currency:EURKZT"")*K166)"),3143841)</f>
        <v>3143841</v>
      </c>
      <c r="P166" s="26">
        <f ca="1">IFERROR(__xludf.DUMMYFUNCTION("ROUND(GOOGLEFINANCE(""Currency:EURKZT"")*M166)"),238785)</f>
        <v>238785</v>
      </c>
      <c r="Q166" s="26">
        <f ca="1">IFERROR(__xludf.DUMMYFUNCTION("ROUND(GOOGLEFINANCE(""Currency:EURKZT"")*N166)"),238785)</f>
        <v>238785</v>
      </c>
      <c r="R166" s="26">
        <f t="shared" ca="1" si="4"/>
        <v>377261</v>
      </c>
      <c r="S166" s="26">
        <f t="shared" ca="1" si="5"/>
        <v>3998672</v>
      </c>
      <c r="T166" s="26">
        <f ca="1">IFERROR(__xludf.DUMMYFUNCTION("ROUND(GOOGLEFINANCE(""Currency:EURKZT"")*L166+S166)"),4596002)</f>
        <v>4596002</v>
      </c>
      <c r="U166" s="26">
        <f ca="1">IFERROR(__xludf.DUMMYFUNCTION("D166*GOOGLEFINANCE(""RUBKZT"")*1000/F166"),5695791.3296748)</f>
        <v>5695791.3296747999</v>
      </c>
      <c r="V166" s="27">
        <f t="shared" ca="1" si="6"/>
        <v>0.23929261337893237</v>
      </c>
    </row>
    <row r="167" spans="1:22" ht="12.75" customHeight="1" x14ac:dyDescent="0.2">
      <c r="A167" s="6" t="s">
        <v>641</v>
      </c>
      <c r="B167" s="6" t="s">
        <v>488</v>
      </c>
      <c r="C167" s="7">
        <v>221345</v>
      </c>
      <c r="D167" s="8">
        <v>8703.6</v>
      </c>
      <c r="E167" s="9" t="s">
        <v>16</v>
      </c>
      <c r="F167" s="23">
        <v>12</v>
      </c>
      <c r="G167" s="25"/>
      <c r="H167" s="14">
        <f t="shared" si="0"/>
        <v>0.55000000000000004</v>
      </c>
      <c r="I167" s="25">
        <f ca="1">IFERROR(__xludf.DUMMYFUNCTION("ROUND(D167*GOOGLEFINANCE(""RUBKZT"")*H167)"),37355)</f>
        <v>37355</v>
      </c>
      <c r="J167" s="26">
        <f ca="1">IFERROR(__xludf.DUMMYFUNCTION("ROUND(I167*GOOGLEFINANCE(""KZTEUR""))"),78)</f>
        <v>78</v>
      </c>
      <c r="K167" s="26">
        <f t="shared" ca="1" si="1"/>
        <v>6500</v>
      </c>
      <c r="L167" s="26">
        <f t="shared" ca="1" si="2"/>
        <v>1235</v>
      </c>
      <c r="M167" s="26">
        <f t="shared" ref="M167:N167" si="169">M$3</f>
        <v>500</v>
      </c>
      <c r="N167" s="26">
        <f t="shared" si="169"/>
        <v>500</v>
      </c>
      <c r="O167" s="26">
        <f ca="1">IFERROR(__xludf.DUMMYFUNCTION("ROUND(GOOGLEFINANCE(""Currency:EURKZT"")*K167)"),3104202)</f>
        <v>3104202</v>
      </c>
      <c r="P167" s="26">
        <f ca="1">IFERROR(__xludf.DUMMYFUNCTION("ROUND(GOOGLEFINANCE(""Currency:EURKZT"")*M167)"),238785)</f>
        <v>238785</v>
      </c>
      <c r="Q167" s="26">
        <f ca="1">IFERROR(__xludf.DUMMYFUNCTION("ROUND(GOOGLEFINANCE(""Currency:EURKZT"")*N167)"),238785)</f>
        <v>238785</v>
      </c>
      <c r="R167" s="26">
        <f t="shared" ca="1" si="4"/>
        <v>372504</v>
      </c>
      <c r="S167" s="26">
        <f t="shared" ca="1" si="5"/>
        <v>3954276</v>
      </c>
      <c r="T167" s="26">
        <f ca="1">IFERROR(__xludf.DUMMYFUNCTION("ROUND(GOOGLEFINANCE(""Currency:EURKZT"")*L167+S167)"),4544074)</f>
        <v>4544074</v>
      </c>
      <c r="U167" s="26">
        <f ca="1">IFERROR(__xludf.DUMMYFUNCTION("D167*GOOGLEFINANCE(""RUBKZT"")*1000/F167"),5659895.1245556)</f>
        <v>5659895.1245555999</v>
      </c>
      <c r="V167" s="27">
        <f t="shared" ca="1" si="6"/>
        <v>0.2455552274359088</v>
      </c>
    </row>
    <row r="168" spans="1:22" ht="12.75" customHeight="1" x14ac:dyDescent="0.2">
      <c r="A168" s="6" t="s">
        <v>642</v>
      </c>
      <c r="B168" s="6" t="s">
        <v>488</v>
      </c>
      <c r="C168" s="7">
        <v>223519</v>
      </c>
      <c r="D168" s="8">
        <v>9733.1999999999989</v>
      </c>
      <c r="E168" s="9" t="s">
        <v>7</v>
      </c>
      <c r="F168" s="23">
        <v>12</v>
      </c>
      <c r="G168" s="25"/>
      <c r="H168" s="14">
        <f t="shared" si="0"/>
        <v>0.55000000000000004</v>
      </c>
      <c r="I168" s="25">
        <f ca="1">IFERROR(__xludf.DUMMYFUNCTION("ROUND(D168*GOOGLEFINANCE(""RUBKZT"")*H168)"),41774)</f>
        <v>41774</v>
      </c>
      <c r="J168" s="26">
        <f ca="1">IFERROR(__xludf.DUMMYFUNCTION("ROUND(I168*GOOGLEFINANCE(""KZTEUR""))"),87)</f>
        <v>87</v>
      </c>
      <c r="K168" s="26">
        <f t="shared" ca="1" si="1"/>
        <v>7250</v>
      </c>
      <c r="L168" s="26">
        <f t="shared" ca="1" si="2"/>
        <v>1377.5</v>
      </c>
      <c r="M168" s="26">
        <f t="shared" ref="M168:N168" si="170">M$3</f>
        <v>500</v>
      </c>
      <c r="N168" s="26">
        <f t="shared" si="170"/>
        <v>500</v>
      </c>
      <c r="O168" s="26">
        <f ca="1">IFERROR(__xludf.DUMMYFUNCTION("ROUND(GOOGLEFINANCE(""Currency:EURKZT"")*K168)"),3462380)</f>
        <v>3462380</v>
      </c>
      <c r="P168" s="26">
        <f ca="1">IFERROR(__xludf.DUMMYFUNCTION("ROUND(GOOGLEFINANCE(""Currency:EURKZT"")*M168)"),238785)</f>
        <v>238785</v>
      </c>
      <c r="Q168" s="26">
        <f ca="1">IFERROR(__xludf.DUMMYFUNCTION("ROUND(GOOGLEFINANCE(""Currency:EURKZT"")*N168)"),238785)</f>
        <v>238785</v>
      </c>
      <c r="R168" s="26">
        <f t="shared" ca="1" si="4"/>
        <v>415486</v>
      </c>
      <c r="S168" s="26">
        <f t="shared" ca="1" si="5"/>
        <v>4355436</v>
      </c>
      <c r="T168" s="26">
        <f ca="1">IFERROR(__xludf.DUMMYFUNCTION("ROUND(GOOGLEFINANCE(""Currency:EURKZT"")*L168+S168)"),5013288)</f>
        <v>5013288</v>
      </c>
      <c r="U168" s="26">
        <f ca="1">IFERROR(__xludf.DUMMYFUNCTION("D168*GOOGLEFINANCE(""RUBKZT"")*1000/F168"),6329437.3852572)</f>
        <v>6329437.3852572003</v>
      </c>
      <c r="V168" s="27">
        <f t="shared" ca="1" si="6"/>
        <v>0.26253217155232261</v>
      </c>
    </row>
    <row r="169" spans="1:22" ht="12.75" customHeight="1" x14ac:dyDescent="0.2">
      <c r="A169" s="6" t="s">
        <v>642</v>
      </c>
      <c r="B169" s="6" t="s">
        <v>488</v>
      </c>
      <c r="C169" s="7">
        <v>223626</v>
      </c>
      <c r="D169" s="8">
        <v>9733.1999999999989</v>
      </c>
      <c r="E169" s="9" t="s">
        <v>7</v>
      </c>
      <c r="F169" s="23">
        <v>12</v>
      </c>
      <c r="G169" s="25"/>
      <c r="H169" s="14">
        <f t="shared" si="0"/>
        <v>0.55000000000000004</v>
      </c>
      <c r="I169" s="25">
        <f ca="1">IFERROR(__xludf.DUMMYFUNCTION("ROUND(D169*GOOGLEFINANCE(""RUBKZT"")*H169)"),41774)</f>
        <v>41774</v>
      </c>
      <c r="J169" s="26">
        <f ca="1">IFERROR(__xludf.DUMMYFUNCTION("ROUND(I169*GOOGLEFINANCE(""KZTEUR""))"),87)</f>
        <v>87</v>
      </c>
      <c r="K169" s="26">
        <f t="shared" ca="1" si="1"/>
        <v>7250</v>
      </c>
      <c r="L169" s="26">
        <f t="shared" ca="1" si="2"/>
        <v>1377.5</v>
      </c>
      <c r="M169" s="26">
        <f t="shared" ref="M169:N169" si="171">M$3</f>
        <v>500</v>
      </c>
      <c r="N169" s="26">
        <f t="shared" si="171"/>
        <v>500</v>
      </c>
      <c r="O169" s="26">
        <f ca="1">IFERROR(__xludf.DUMMYFUNCTION("ROUND(GOOGLEFINANCE(""Currency:EURKZT"")*K169)"),3462380)</f>
        <v>3462380</v>
      </c>
      <c r="P169" s="26">
        <f ca="1">IFERROR(__xludf.DUMMYFUNCTION("ROUND(GOOGLEFINANCE(""Currency:EURKZT"")*M169)"),238785)</f>
        <v>238785</v>
      </c>
      <c r="Q169" s="26">
        <f ca="1">IFERROR(__xludf.DUMMYFUNCTION("ROUND(GOOGLEFINANCE(""Currency:EURKZT"")*N169)"),238785)</f>
        <v>238785</v>
      </c>
      <c r="R169" s="26">
        <f t="shared" ca="1" si="4"/>
        <v>415486</v>
      </c>
      <c r="S169" s="26">
        <f t="shared" ca="1" si="5"/>
        <v>4355436</v>
      </c>
      <c r="T169" s="26">
        <f ca="1">IFERROR(__xludf.DUMMYFUNCTION("ROUND(GOOGLEFINANCE(""Currency:EURKZT"")*L169+S169)"),5013288)</f>
        <v>5013288</v>
      </c>
      <c r="U169" s="26">
        <f ca="1">IFERROR(__xludf.DUMMYFUNCTION("D169*GOOGLEFINANCE(""RUBKZT"")*1000/F169"),6329437.3852572)</f>
        <v>6329437.3852572003</v>
      </c>
      <c r="V169" s="27">
        <f t="shared" ca="1" si="6"/>
        <v>0.26253217155232261</v>
      </c>
    </row>
    <row r="170" spans="1:22" ht="12.75" customHeight="1" x14ac:dyDescent="0.2">
      <c r="A170" s="6" t="s">
        <v>462</v>
      </c>
      <c r="B170" s="6" t="s">
        <v>488</v>
      </c>
      <c r="C170" s="7">
        <v>216591</v>
      </c>
      <c r="D170" s="8">
        <v>6103.2</v>
      </c>
      <c r="E170" s="9" t="s">
        <v>16</v>
      </c>
      <c r="F170" s="23">
        <v>12</v>
      </c>
      <c r="G170" s="25"/>
      <c r="H170" s="14">
        <f t="shared" si="0"/>
        <v>0.55000000000000004</v>
      </c>
      <c r="I170" s="25">
        <f ca="1">IFERROR(__xludf.DUMMYFUNCTION("ROUND(D170*GOOGLEFINANCE(""RUBKZT"")*H170)"),26195)</f>
        <v>26195</v>
      </c>
      <c r="J170" s="26">
        <f ca="1">IFERROR(__xludf.DUMMYFUNCTION("ROUND(I170*GOOGLEFINANCE(""KZTEUR""))"),55)</f>
        <v>55</v>
      </c>
      <c r="K170" s="26">
        <f t="shared" ca="1" si="1"/>
        <v>4583</v>
      </c>
      <c r="L170" s="26">
        <f t="shared" ca="1" si="2"/>
        <v>870.77</v>
      </c>
      <c r="M170" s="26">
        <f t="shared" ref="M170:N170" si="172">M$3</f>
        <v>500</v>
      </c>
      <c r="N170" s="26">
        <f t="shared" si="172"/>
        <v>500</v>
      </c>
      <c r="O170" s="26">
        <f ca="1">IFERROR(__xludf.DUMMYFUNCTION("ROUND(GOOGLEFINANCE(""Currency:EURKZT"")*K170)"),2188702)</f>
        <v>2188702</v>
      </c>
      <c r="P170" s="26">
        <f ca="1">IFERROR(__xludf.DUMMYFUNCTION("ROUND(GOOGLEFINANCE(""Currency:EURKZT"")*M170)"),238785)</f>
        <v>238785</v>
      </c>
      <c r="Q170" s="26">
        <f ca="1">IFERROR(__xludf.DUMMYFUNCTION("ROUND(GOOGLEFINANCE(""Currency:EURKZT"")*N170)"),238785)</f>
        <v>238785</v>
      </c>
      <c r="R170" s="26">
        <f t="shared" ca="1" si="4"/>
        <v>262644</v>
      </c>
      <c r="S170" s="26">
        <f t="shared" ca="1" si="5"/>
        <v>2928916</v>
      </c>
      <c r="T170" s="26">
        <f ca="1">IFERROR(__xludf.DUMMYFUNCTION("ROUND(GOOGLEFINANCE(""Currency:EURKZT"")*L170+S170)"),3344769)</f>
        <v>3344769</v>
      </c>
      <c r="U170" s="26">
        <f ca="1">IFERROR(__xludf.DUMMYFUNCTION("D170*GOOGLEFINANCE(""RUBKZT"")*1000/F170"),3968871.7225272)</f>
        <v>3968871.7225271999</v>
      </c>
      <c r="V170" s="27">
        <f t="shared" ca="1" si="6"/>
        <v>0.18659068011190008</v>
      </c>
    </row>
    <row r="171" spans="1:22" ht="12.75" customHeight="1" x14ac:dyDescent="0.2">
      <c r="A171" s="6" t="s">
        <v>463</v>
      </c>
      <c r="B171" s="6" t="s">
        <v>488</v>
      </c>
      <c r="C171" s="7">
        <v>216594</v>
      </c>
      <c r="D171" s="8">
        <v>9679.1999999999989</v>
      </c>
      <c r="E171" s="9" t="s">
        <v>16</v>
      </c>
      <c r="F171" s="23">
        <v>12</v>
      </c>
      <c r="G171" s="25"/>
      <c r="H171" s="14">
        <f t="shared" si="0"/>
        <v>0.55000000000000004</v>
      </c>
      <c r="I171" s="25">
        <f ca="1">IFERROR(__xludf.DUMMYFUNCTION("ROUND(D171*GOOGLEFINANCE(""RUBKZT"")*H171)"),41543)</f>
        <v>41543</v>
      </c>
      <c r="J171" s="26">
        <f ca="1">IFERROR(__xludf.DUMMYFUNCTION("ROUND(I171*GOOGLEFINANCE(""KZTEUR""))"),87)</f>
        <v>87</v>
      </c>
      <c r="K171" s="26">
        <f t="shared" ca="1" si="1"/>
        <v>7250</v>
      </c>
      <c r="L171" s="26">
        <f t="shared" ca="1" si="2"/>
        <v>1377.5</v>
      </c>
      <c r="M171" s="26">
        <f t="shared" ref="M171:N171" si="173">M$3</f>
        <v>500</v>
      </c>
      <c r="N171" s="26">
        <f t="shared" si="173"/>
        <v>500</v>
      </c>
      <c r="O171" s="26">
        <f ca="1">IFERROR(__xludf.DUMMYFUNCTION("ROUND(GOOGLEFINANCE(""Currency:EURKZT"")*K171)"),3462380)</f>
        <v>3462380</v>
      </c>
      <c r="P171" s="26">
        <f ca="1">IFERROR(__xludf.DUMMYFUNCTION("ROUND(GOOGLEFINANCE(""Currency:EURKZT"")*M171)"),238785)</f>
        <v>238785</v>
      </c>
      <c r="Q171" s="26">
        <f ca="1">IFERROR(__xludf.DUMMYFUNCTION("ROUND(GOOGLEFINANCE(""Currency:EURKZT"")*N171)"),238785)</f>
        <v>238785</v>
      </c>
      <c r="R171" s="26">
        <f t="shared" ca="1" si="4"/>
        <v>415486</v>
      </c>
      <c r="S171" s="26">
        <f t="shared" ca="1" si="5"/>
        <v>4355436</v>
      </c>
      <c r="T171" s="26">
        <f ca="1">IFERROR(__xludf.DUMMYFUNCTION("ROUND(GOOGLEFINANCE(""Currency:EURKZT"")*L171+S171)"),5013288)</f>
        <v>5013288</v>
      </c>
      <c r="U171" s="26">
        <f ca="1">IFERROR(__xludf.DUMMYFUNCTION("D171*GOOGLEFINANCE(""RUBKZT"")*1000/F171"),6294321.53242319)</f>
        <v>6294321.5324231898</v>
      </c>
      <c r="V171" s="27">
        <f t="shared" ca="1" si="6"/>
        <v>0.25552761629158144</v>
      </c>
    </row>
    <row r="172" spans="1:22" ht="12.75" customHeight="1" x14ac:dyDescent="0.2">
      <c r="A172" s="6" t="s">
        <v>475</v>
      </c>
      <c r="B172" s="6" t="s">
        <v>488</v>
      </c>
      <c r="C172" s="7">
        <v>216599</v>
      </c>
      <c r="D172" s="8">
        <v>8385.6</v>
      </c>
      <c r="E172" s="9" t="s">
        <v>16</v>
      </c>
      <c r="F172" s="23">
        <v>12</v>
      </c>
      <c r="G172" s="25"/>
      <c r="H172" s="14">
        <f t="shared" si="0"/>
        <v>0.55000000000000004</v>
      </c>
      <c r="I172" s="25">
        <f ca="1">IFERROR(__xludf.DUMMYFUNCTION("ROUND(D172*GOOGLEFINANCE(""RUBKZT"")*H172)"),35990)</f>
        <v>35990</v>
      </c>
      <c r="J172" s="26">
        <f ca="1">IFERROR(__xludf.DUMMYFUNCTION("ROUND(I172*GOOGLEFINANCE(""KZTEUR""))"),75)</f>
        <v>75</v>
      </c>
      <c r="K172" s="26">
        <f t="shared" ca="1" si="1"/>
        <v>6250</v>
      </c>
      <c r="L172" s="26">
        <f t="shared" ca="1" si="2"/>
        <v>1187.5</v>
      </c>
      <c r="M172" s="26">
        <f t="shared" ref="M172:N172" si="174">M$3</f>
        <v>500</v>
      </c>
      <c r="N172" s="26">
        <f t="shared" si="174"/>
        <v>500</v>
      </c>
      <c r="O172" s="26">
        <f ca="1">IFERROR(__xludf.DUMMYFUNCTION("ROUND(GOOGLEFINANCE(""Currency:EURKZT"")*K172)"),2984810)</f>
        <v>2984810</v>
      </c>
      <c r="P172" s="26">
        <f ca="1">IFERROR(__xludf.DUMMYFUNCTION("ROUND(GOOGLEFINANCE(""Currency:EURKZT"")*M172)"),238785)</f>
        <v>238785</v>
      </c>
      <c r="Q172" s="26">
        <f ca="1">IFERROR(__xludf.DUMMYFUNCTION("ROUND(GOOGLEFINANCE(""Currency:EURKZT"")*N172)"),238785)</f>
        <v>238785</v>
      </c>
      <c r="R172" s="26">
        <f t="shared" ca="1" si="4"/>
        <v>358177</v>
      </c>
      <c r="S172" s="26">
        <f t="shared" ca="1" si="5"/>
        <v>3820557</v>
      </c>
      <c r="T172" s="26">
        <f ca="1">IFERROR(__xludf.DUMMYFUNCTION("ROUND(GOOGLEFINANCE(""Currency:EURKZT"")*L172+S172)"),4387671)</f>
        <v>4387671</v>
      </c>
      <c r="U172" s="26">
        <f ca="1">IFERROR(__xludf.DUMMYFUNCTION("D172*GOOGLEFINANCE(""RUBKZT"")*1000/F172"),5453101.7689776)</f>
        <v>5453101.7689776001</v>
      </c>
      <c r="V172" s="27">
        <f t="shared" ca="1" si="6"/>
        <v>0.24282375979821644</v>
      </c>
    </row>
    <row r="173" spans="1:22" ht="12.75" customHeight="1" x14ac:dyDescent="0.2">
      <c r="A173" s="6" t="s">
        <v>464</v>
      </c>
      <c r="B173" s="6" t="s">
        <v>488</v>
      </c>
      <c r="C173" s="7">
        <v>216592</v>
      </c>
      <c r="D173" s="8">
        <v>6723.5999999999995</v>
      </c>
      <c r="E173" s="9" t="s">
        <v>16</v>
      </c>
      <c r="F173" s="23">
        <v>12</v>
      </c>
      <c r="G173" s="25"/>
      <c r="H173" s="14">
        <f t="shared" si="0"/>
        <v>0.55000000000000004</v>
      </c>
      <c r="I173" s="25">
        <f ca="1">IFERROR(__xludf.DUMMYFUNCTION("ROUND(D173*GOOGLEFINANCE(""RUBKZT"")*H173)"),28857)</f>
        <v>28857</v>
      </c>
      <c r="J173" s="26">
        <f ca="1">IFERROR(__xludf.DUMMYFUNCTION("ROUND(I173*GOOGLEFINANCE(""KZTEUR""))"),60)</f>
        <v>60</v>
      </c>
      <c r="K173" s="26">
        <f t="shared" ca="1" si="1"/>
        <v>5000</v>
      </c>
      <c r="L173" s="26">
        <f t="shared" ca="1" si="2"/>
        <v>950</v>
      </c>
      <c r="M173" s="26">
        <f t="shared" ref="M173:N173" si="175">M$3</f>
        <v>500</v>
      </c>
      <c r="N173" s="26">
        <f t="shared" si="175"/>
        <v>500</v>
      </c>
      <c r="O173" s="26">
        <f ca="1">IFERROR(__xludf.DUMMYFUNCTION("ROUND(GOOGLEFINANCE(""Currency:EURKZT"")*K173)"),2387848)</f>
        <v>2387848</v>
      </c>
      <c r="P173" s="26">
        <f ca="1">IFERROR(__xludf.DUMMYFUNCTION("ROUND(GOOGLEFINANCE(""Currency:EURKZT"")*M173)"),238785)</f>
        <v>238785</v>
      </c>
      <c r="Q173" s="26">
        <f ca="1">IFERROR(__xludf.DUMMYFUNCTION("ROUND(GOOGLEFINANCE(""Currency:EURKZT"")*N173)"),238785)</f>
        <v>238785</v>
      </c>
      <c r="R173" s="26">
        <f t="shared" ca="1" si="4"/>
        <v>286542</v>
      </c>
      <c r="S173" s="26">
        <f t="shared" ca="1" si="5"/>
        <v>3151960</v>
      </c>
      <c r="T173" s="26">
        <f ca="1">IFERROR(__xludf.DUMMYFUNCTION("ROUND(GOOGLEFINANCE(""Currency:EURKZT"")*L173+S173)"),3605651)</f>
        <v>3605651</v>
      </c>
      <c r="U173" s="26">
        <f ca="1">IFERROR(__xludf.DUMMYFUNCTION("D173*GOOGLEFINANCE(""RUBKZT"")*1000/F173"),4372313.8539756)</f>
        <v>4372313.8539755996</v>
      </c>
      <c r="V173" s="27">
        <f t="shared" ca="1" si="6"/>
        <v>0.21262813677075226</v>
      </c>
    </row>
    <row r="174" spans="1:22" ht="12.75" customHeight="1" x14ac:dyDescent="0.2">
      <c r="A174" s="6" t="s">
        <v>469</v>
      </c>
      <c r="B174" s="6" t="s">
        <v>488</v>
      </c>
      <c r="C174" s="7">
        <v>216633</v>
      </c>
      <c r="D174" s="8">
        <v>8707.1999999999989</v>
      </c>
      <c r="E174" s="9" t="s">
        <v>16</v>
      </c>
      <c r="F174" s="23">
        <v>12</v>
      </c>
      <c r="G174" s="25"/>
      <c r="H174" s="14">
        <f t="shared" si="0"/>
        <v>0.55000000000000004</v>
      </c>
      <c r="I174" s="25">
        <f ca="1">IFERROR(__xludf.DUMMYFUNCTION("ROUND(D174*GOOGLEFINANCE(""RUBKZT"")*H174)"),37371)</f>
        <v>37371</v>
      </c>
      <c r="J174" s="26">
        <f ca="1">IFERROR(__xludf.DUMMYFUNCTION("ROUND(I174*GOOGLEFINANCE(""KZTEUR""))"),78)</f>
        <v>78</v>
      </c>
      <c r="K174" s="26">
        <f t="shared" ca="1" si="1"/>
        <v>6500</v>
      </c>
      <c r="L174" s="26">
        <f t="shared" ca="1" si="2"/>
        <v>1235</v>
      </c>
      <c r="M174" s="26">
        <f t="shared" ref="M174:N174" si="176">M$3</f>
        <v>500</v>
      </c>
      <c r="N174" s="26">
        <f t="shared" si="176"/>
        <v>500</v>
      </c>
      <c r="O174" s="26">
        <f ca="1">IFERROR(__xludf.DUMMYFUNCTION("ROUND(GOOGLEFINANCE(""Currency:EURKZT"")*K174)"),3104202)</f>
        <v>3104202</v>
      </c>
      <c r="P174" s="26">
        <f ca="1">IFERROR(__xludf.DUMMYFUNCTION("ROUND(GOOGLEFINANCE(""Currency:EURKZT"")*M174)"),238785)</f>
        <v>238785</v>
      </c>
      <c r="Q174" s="26">
        <f ca="1">IFERROR(__xludf.DUMMYFUNCTION("ROUND(GOOGLEFINANCE(""Currency:EURKZT"")*N174)"),238785)</f>
        <v>238785</v>
      </c>
      <c r="R174" s="26">
        <f t="shared" ca="1" si="4"/>
        <v>372504</v>
      </c>
      <c r="S174" s="26">
        <f t="shared" ca="1" si="5"/>
        <v>3954276</v>
      </c>
      <c r="T174" s="26">
        <f ca="1">IFERROR(__xludf.DUMMYFUNCTION("ROUND(GOOGLEFINANCE(""Currency:EURKZT"")*L174+S174)"),4544074)</f>
        <v>4544074</v>
      </c>
      <c r="U174" s="26">
        <f ca="1">IFERROR(__xludf.DUMMYFUNCTION("D174*GOOGLEFINANCE(""RUBKZT"")*1000/F174"),5662236.18141119)</f>
        <v>5662236.18141119</v>
      </c>
      <c r="V174" s="27">
        <f t="shared" ca="1" si="6"/>
        <v>0.24607041641733607</v>
      </c>
    </row>
    <row r="175" spans="1:22" ht="12.75" customHeight="1" x14ac:dyDescent="0.2">
      <c r="A175" s="6" t="s">
        <v>494</v>
      </c>
      <c r="B175" s="6" t="s">
        <v>488</v>
      </c>
      <c r="C175" s="7">
        <v>216625</v>
      </c>
      <c r="D175" s="8">
        <v>9160.7999999999993</v>
      </c>
      <c r="E175" s="9" t="s">
        <v>16</v>
      </c>
      <c r="F175" s="23">
        <v>12</v>
      </c>
      <c r="G175" s="25"/>
      <c r="H175" s="14">
        <f t="shared" si="0"/>
        <v>0.55000000000000004</v>
      </c>
      <c r="I175" s="25">
        <f ca="1">IFERROR(__xludf.DUMMYFUNCTION("ROUND(D175*GOOGLEFINANCE(""RUBKZT"")*H175)"),39318)</f>
        <v>39318</v>
      </c>
      <c r="J175" s="26">
        <f ca="1">IFERROR(__xludf.DUMMYFUNCTION("ROUND(I175*GOOGLEFINANCE(""KZTEUR""))"),82)</f>
        <v>82</v>
      </c>
      <c r="K175" s="26">
        <f t="shared" ca="1" si="1"/>
        <v>6833</v>
      </c>
      <c r="L175" s="26">
        <f t="shared" ca="1" si="2"/>
        <v>1298.27</v>
      </c>
      <c r="M175" s="26">
        <f t="shared" ref="M175:N175" si="177">M$3</f>
        <v>500</v>
      </c>
      <c r="N175" s="26">
        <f t="shared" si="177"/>
        <v>500</v>
      </c>
      <c r="O175" s="26">
        <f ca="1">IFERROR(__xludf.DUMMYFUNCTION("ROUND(GOOGLEFINANCE(""Currency:EURKZT"")*K175)"),3263233)</f>
        <v>3263233</v>
      </c>
      <c r="P175" s="26">
        <f ca="1">IFERROR(__xludf.DUMMYFUNCTION("ROUND(GOOGLEFINANCE(""Currency:EURKZT"")*M175)"),238785)</f>
        <v>238785</v>
      </c>
      <c r="Q175" s="26">
        <f ca="1">IFERROR(__xludf.DUMMYFUNCTION("ROUND(GOOGLEFINANCE(""Currency:EURKZT"")*N175)"),238785)</f>
        <v>238785</v>
      </c>
      <c r="R175" s="26">
        <f t="shared" ca="1" si="4"/>
        <v>391588</v>
      </c>
      <c r="S175" s="26">
        <f t="shared" ca="1" si="5"/>
        <v>4132391</v>
      </c>
      <c r="T175" s="26">
        <f ca="1">IFERROR(__xludf.DUMMYFUNCTION("ROUND(GOOGLEFINANCE(""Currency:EURKZT"")*L175+S175)"),4752405)</f>
        <v>4752405</v>
      </c>
      <c r="U175" s="26">
        <f ca="1">IFERROR(__xludf.DUMMYFUNCTION("D175*GOOGLEFINANCE(""RUBKZT"")*1000/F175"),5957209.34521679)</f>
        <v>5957209.3452167902</v>
      </c>
      <c r="V175" s="27">
        <f t="shared" ca="1" si="6"/>
        <v>0.25351466156962427</v>
      </c>
    </row>
    <row r="176" spans="1:22" ht="12.75" customHeight="1" x14ac:dyDescent="0.2">
      <c r="A176" s="6" t="s">
        <v>536</v>
      </c>
      <c r="B176" s="6" t="s">
        <v>488</v>
      </c>
      <c r="C176" s="7">
        <v>216642</v>
      </c>
      <c r="D176" s="8">
        <v>9696</v>
      </c>
      <c r="E176" s="9" t="s">
        <v>7</v>
      </c>
      <c r="F176" s="23">
        <v>12</v>
      </c>
      <c r="G176" s="24">
        <v>0.05</v>
      </c>
      <c r="H176" s="14">
        <f t="shared" si="0"/>
        <v>0.60000000000000009</v>
      </c>
      <c r="I176" s="25">
        <f ca="1">IFERROR(__xludf.DUMMYFUNCTION("ROUND(D176*GOOGLEFINANCE(""RUBKZT"")*H176)"),45398)</f>
        <v>45398</v>
      </c>
      <c r="J176" s="26">
        <f ca="1">IFERROR(__xludf.DUMMYFUNCTION("ROUND(I176*GOOGLEFINANCE(""KZTEUR""))"),95)</f>
        <v>95</v>
      </c>
      <c r="K176" s="26">
        <f t="shared" ca="1" si="1"/>
        <v>7917</v>
      </c>
      <c r="L176" s="26">
        <f t="shared" ca="1" si="2"/>
        <v>1504.23</v>
      </c>
      <c r="M176" s="26">
        <f t="shared" ref="M176:N176" si="178">M$3</f>
        <v>500</v>
      </c>
      <c r="N176" s="26">
        <f t="shared" si="178"/>
        <v>500</v>
      </c>
      <c r="O176" s="26">
        <f ca="1">IFERROR(__xludf.DUMMYFUNCTION("ROUND(GOOGLEFINANCE(""Currency:EURKZT"")*K176)"),3780919)</f>
        <v>3780919</v>
      </c>
      <c r="P176" s="26">
        <f ca="1">IFERROR(__xludf.DUMMYFUNCTION("ROUND(GOOGLEFINANCE(""Currency:EURKZT"")*M176)"),238785)</f>
        <v>238785</v>
      </c>
      <c r="Q176" s="26">
        <f ca="1">IFERROR(__xludf.DUMMYFUNCTION("ROUND(GOOGLEFINANCE(""Currency:EURKZT"")*N176)"),238785)</f>
        <v>238785</v>
      </c>
      <c r="R176" s="26">
        <f t="shared" ca="1" si="4"/>
        <v>453710</v>
      </c>
      <c r="S176" s="26">
        <f t="shared" ca="1" si="5"/>
        <v>4712199</v>
      </c>
      <c r="T176" s="26">
        <f ca="1">IFERROR(__xludf.DUMMYFUNCTION("ROUND(GOOGLEFINANCE(""Currency:EURKZT"")*L176+S176)"),5430574)</f>
        <v>5430574</v>
      </c>
      <c r="U176" s="26">
        <f ca="1">IFERROR(__xludf.DUMMYFUNCTION("D176*GOOGLEFINANCE(""RUBKZT"")*1000/F176"),6305246.464416)</f>
        <v>6305246.4644160001</v>
      </c>
      <c r="V176" s="27">
        <f t="shared" ca="1" si="6"/>
        <v>0.16106445919271151</v>
      </c>
    </row>
    <row r="177" spans="1:22" ht="12.75" customHeight="1" x14ac:dyDescent="0.2">
      <c r="A177" s="6" t="s">
        <v>533</v>
      </c>
      <c r="B177" s="6" t="s">
        <v>488</v>
      </c>
      <c r="C177" s="7">
        <v>216653</v>
      </c>
      <c r="D177" s="8">
        <v>6060</v>
      </c>
      <c r="E177" s="9" t="s">
        <v>7</v>
      </c>
      <c r="F177" s="23">
        <v>12</v>
      </c>
      <c r="G177" s="25"/>
      <c r="H177" s="14">
        <f t="shared" si="0"/>
        <v>0.55000000000000004</v>
      </c>
      <c r="I177" s="25">
        <f ca="1">IFERROR(__xludf.DUMMYFUNCTION("ROUND(D177*GOOGLEFINANCE(""RUBKZT"")*H177)"),26009)</f>
        <v>26009</v>
      </c>
      <c r="J177" s="26">
        <f ca="1">IFERROR(__xludf.DUMMYFUNCTION("ROUND(I177*GOOGLEFINANCE(""KZTEUR""))"),54)</f>
        <v>54</v>
      </c>
      <c r="K177" s="26">
        <f t="shared" ca="1" si="1"/>
        <v>4500</v>
      </c>
      <c r="L177" s="26">
        <f t="shared" ca="1" si="2"/>
        <v>855</v>
      </c>
      <c r="M177" s="26">
        <f t="shared" ref="M177:N177" si="179">M$3</f>
        <v>500</v>
      </c>
      <c r="N177" s="26">
        <f t="shared" si="179"/>
        <v>500</v>
      </c>
      <c r="O177" s="26">
        <f ca="1">IFERROR(__xludf.DUMMYFUNCTION("ROUND(GOOGLEFINANCE(""Currency:EURKZT"")*K177)"),2149063)</f>
        <v>2149063</v>
      </c>
      <c r="P177" s="26">
        <f ca="1">IFERROR(__xludf.DUMMYFUNCTION("ROUND(GOOGLEFINANCE(""Currency:EURKZT"")*M177)"),238785)</f>
        <v>238785</v>
      </c>
      <c r="Q177" s="26">
        <f ca="1">IFERROR(__xludf.DUMMYFUNCTION("ROUND(GOOGLEFINANCE(""Currency:EURKZT"")*N177)"),238785)</f>
        <v>238785</v>
      </c>
      <c r="R177" s="26">
        <f t="shared" ca="1" si="4"/>
        <v>257888</v>
      </c>
      <c r="S177" s="26">
        <f t="shared" ca="1" si="5"/>
        <v>2884521</v>
      </c>
      <c r="T177" s="26">
        <f ca="1">IFERROR(__xludf.DUMMYFUNCTION("ROUND(GOOGLEFINANCE(""Currency:EURKZT"")*L177+S177)"),3292843)</f>
        <v>3292843</v>
      </c>
      <c r="U177" s="26">
        <f ca="1">IFERROR(__xludf.DUMMYFUNCTION("D177*GOOGLEFINANCE(""RUBKZT"")*1000/F177"),3940779.04026)</f>
        <v>3940779.0402600002</v>
      </c>
      <c r="V177" s="27">
        <f t="shared" ca="1" si="6"/>
        <v>0.19677100920390075</v>
      </c>
    </row>
    <row r="178" spans="1:22" ht="12.75" customHeight="1" x14ac:dyDescent="0.2">
      <c r="A178" s="6" t="s">
        <v>537</v>
      </c>
      <c r="B178" s="6" t="s">
        <v>488</v>
      </c>
      <c r="C178" s="7">
        <v>217555</v>
      </c>
      <c r="D178" s="8">
        <v>7946.4</v>
      </c>
      <c r="E178" s="9" t="s">
        <v>7</v>
      </c>
      <c r="F178" s="23">
        <v>12</v>
      </c>
      <c r="G178" s="25"/>
      <c r="H178" s="14">
        <f t="shared" si="0"/>
        <v>0.55000000000000004</v>
      </c>
      <c r="I178" s="25">
        <f ca="1">IFERROR(__xludf.DUMMYFUNCTION("ROUND(D178*GOOGLEFINANCE(""RUBKZT"")*H178)"),34105)</f>
        <v>34105</v>
      </c>
      <c r="J178" s="26">
        <f ca="1">IFERROR(__xludf.DUMMYFUNCTION("ROUND(I178*GOOGLEFINANCE(""KZTEUR""))"),71)</f>
        <v>71</v>
      </c>
      <c r="K178" s="26">
        <f t="shared" ca="1" si="1"/>
        <v>5917</v>
      </c>
      <c r="L178" s="26">
        <f t="shared" ca="1" si="2"/>
        <v>1124.23</v>
      </c>
      <c r="M178" s="26">
        <f t="shared" ref="M178:N178" si="180">M$3</f>
        <v>500</v>
      </c>
      <c r="N178" s="26">
        <f t="shared" si="180"/>
        <v>500</v>
      </c>
      <c r="O178" s="26">
        <f ca="1">IFERROR(__xludf.DUMMYFUNCTION("ROUND(GOOGLEFINANCE(""Currency:EURKZT"")*K178)"),2825779)</f>
        <v>2825779</v>
      </c>
      <c r="P178" s="26">
        <f ca="1">IFERROR(__xludf.DUMMYFUNCTION("ROUND(GOOGLEFINANCE(""Currency:EURKZT"")*M178)"),238785)</f>
        <v>238785</v>
      </c>
      <c r="Q178" s="26">
        <f ca="1">IFERROR(__xludf.DUMMYFUNCTION("ROUND(GOOGLEFINANCE(""Currency:EURKZT"")*N178)"),238785)</f>
        <v>238785</v>
      </c>
      <c r="R178" s="26">
        <f t="shared" ca="1" si="4"/>
        <v>339093</v>
      </c>
      <c r="S178" s="26">
        <f t="shared" ca="1" si="5"/>
        <v>3642442</v>
      </c>
      <c r="T178" s="26">
        <f ca="1">IFERROR(__xludf.DUMMYFUNCTION("ROUND(GOOGLEFINANCE(""Currency:EURKZT"")*L178+S178)"),4179340)</f>
        <v>4179340</v>
      </c>
      <c r="U178" s="26">
        <f ca="1">IFERROR(__xludf.DUMMYFUNCTION("D178*GOOGLEFINANCE(""RUBKZT"")*1000/F178"),5167492.8325944)</f>
        <v>5167492.8325944003</v>
      </c>
      <c r="V178" s="27">
        <f t="shared" ca="1" si="6"/>
        <v>0.2364375314270675</v>
      </c>
    </row>
    <row r="179" spans="1:22" ht="12.75" customHeight="1" x14ac:dyDescent="0.2">
      <c r="A179" s="6" t="s">
        <v>538</v>
      </c>
      <c r="B179" s="6" t="s">
        <v>488</v>
      </c>
      <c r="C179" s="7">
        <v>216640</v>
      </c>
      <c r="D179" s="8">
        <v>6051.5999999999995</v>
      </c>
      <c r="E179" s="9" t="s">
        <v>7</v>
      </c>
      <c r="F179" s="23">
        <v>12</v>
      </c>
      <c r="G179" s="25"/>
      <c r="H179" s="14">
        <f t="shared" si="0"/>
        <v>0.55000000000000004</v>
      </c>
      <c r="I179" s="25">
        <f ca="1">IFERROR(__xludf.DUMMYFUNCTION("ROUND(D179*GOOGLEFINANCE(""RUBKZT"")*H179)"),25973)</f>
        <v>25973</v>
      </c>
      <c r="J179" s="26">
        <f ca="1">IFERROR(__xludf.DUMMYFUNCTION("ROUND(I179*GOOGLEFINANCE(""KZTEUR""))"),54)</f>
        <v>54</v>
      </c>
      <c r="K179" s="26">
        <f t="shared" ca="1" si="1"/>
        <v>4500</v>
      </c>
      <c r="L179" s="26">
        <f t="shared" ca="1" si="2"/>
        <v>855</v>
      </c>
      <c r="M179" s="26">
        <f t="shared" ref="M179:N179" si="181">M$3</f>
        <v>500</v>
      </c>
      <c r="N179" s="26">
        <f t="shared" si="181"/>
        <v>500</v>
      </c>
      <c r="O179" s="26">
        <f ca="1">IFERROR(__xludf.DUMMYFUNCTION("ROUND(GOOGLEFINANCE(""Currency:EURKZT"")*K179)"),2149063)</f>
        <v>2149063</v>
      </c>
      <c r="P179" s="26">
        <f ca="1">IFERROR(__xludf.DUMMYFUNCTION("ROUND(GOOGLEFINANCE(""Currency:EURKZT"")*M179)"),238785)</f>
        <v>238785</v>
      </c>
      <c r="Q179" s="26">
        <f ca="1">IFERROR(__xludf.DUMMYFUNCTION("ROUND(GOOGLEFINANCE(""Currency:EURKZT"")*N179)"),238785)</f>
        <v>238785</v>
      </c>
      <c r="R179" s="26">
        <f t="shared" ca="1" si="4"/>
        <v>257888</v>
      </c>
      <c r="S179" s="26">
        <f t="shared" ca="1" si="5"/>
        <v>2884521</v>
      </c>
      <c r="T179" s="26">
        <f ca="1">IFERROR(__xludf.DUMMYFUNCTION("ROUND(GOOGLEFINANCE(""Currency:EURKZT"")*L179+S179)"),3292843)</f>
        <v>3292843</v>
      </c>
      <c r="U179" s="26">
        <f ca="1">IFERROR(__xludf.DUMMYFUNCTION("D179*GOOGLEFINANCE(""RUBKZT"")*1000/F179"),3935316.5742636)</f>
        <v>3935316.5742636002</v>
      </c>
      <c r="V179" s="27">
        <f t="shared" ca="1" si="6"/>
        <v>0.19511211869609338</v>
      </c>
    </row>
    <row r="180" spans="1:22" ht="12.75" customHeight="1" x14ac:dyDescent="0.2">
      <c r="A180" s="6" t="s">
        <v>540</v>
      </c>
      <c r="B180" s="6" t="s">
        <v>488</v>
      </c>
      <c r="C180" s="7">
        <v>216649</v>
      </c>
      <c r="D180" s="8">
        <v>9538.7999999999993</v>
      </c>
      <c r="E180" s="9" t="s">
        <v>7</v>
      </c>
      <c r="F180" s="23">
        <v>12</v>
      </c>
      <c r="G180" s="25"/>
      <c r="H180" s="14">
        <f t="shared" si="0"/>
        <v>0.55000000000000004</v>
      </c>
      <c r="I180" s="25">
        <f ca="1">IFERROR(__xludf.DUMMYFUNCTION("ROUND(D180*GOOGLEFINANCE(""RUBKZT"")*H180)"),40940)</f>
        <v>40940</v>
      </c>
      <c r="J180" s="26">
        <f ca="1">IFERROR(__xludf.DUMMYFUNCTION("ROUND(I180*GOOGLEFINANCE(""KZTEUR""))"),86)</f>
        <v>86</v>
      </c>
      <c r="K180" s="26">
        <f t="shared" ca="1" si="1"/>
        <v>7167</v>
      </c>
      <c r="L180" s="26">
        <f t="shared" ca="1" si="2"/>
        <v>1361.73</v>
      </c>
      <c r="M180" s="26">
        <f t="shared" ref="M180:N180" si="182">M$3</f>
        <v>500</v>
      </c>
      <c r="N180" s="26">
        <f t="shared" si="182"/>
        <v>500</v>
      </c>
      <c r="O180" s="26">
        <f ca="1">IFERROR(__xludf.DUMMYFUNCTION("ROUND(GOOGLEFINANCE(""Currency:EURKZT"")*K180)"),3422741)</f>
        <v>3422741</v>
      </c>
      <c r="P180" s="26">
        <f ca="1">IFERROR(__xludf.DUMMYFUNCTION("ROUND(GOOGLEFINANCE(""Currency:EURKZT"")*M180)"),238785)</f>
        <v>238785</v>
      </c>
      <c r="Q180" s="26">
        <f ca="1">IFERROR(__xludf.DUMMYFUNCTION("ROUND(GOOGLEFINANCE(""Currency:EURKZT"")*N180)"),238785)</f>
        <v>238785</v>
      </c>
      <c r="R180" s="26">
        <f t="shared" ca="1" si="4"/>
        <v>410729</v>
      </c>
      <c r="S180" s="26">
        <f t="shared" ca="1" si="5"/>
        <v>4311040</v>
      </c>
      <c r="T180" s="26">
        <f ca="1">IFERROR(__xludf.DUMMYFUNCTION("ROUND(GOOGLEFINANCE(""Currency:EURKZT"")*L180+S180)"),4961361)</f>
        <v>4961361</v>
      </c>
      <c r="U180" s="26">
        <f ca="1">IFERROR(__xludf.DUMMYFUNCTION("D180*GOOGLEFINANCE(""RUBKZT"")*1000/F180"),6203020.3150548)</f>
        <v>6203020.3150548004</v>
      </c>
      <c r="V180" s="27">
        <f t="shared" ca="1" si="6"/>
        <v>0.25026586758246383</v>
      </c>
    </row>
    <row r="181" spans="1:22" ht="12.75" customHeight="1" x14ac:dyDescent="0.2">
      <c r="A181" s="6" t="s">
        <v>542</v>
      </c>
      <c r="B181" s="6" t="s">
        <v>488</v>
      </c>
      <c r="C181" s="7">
        <v>216683</v>
      </c>
      <c r="D181" s="8">
        <v>8566.7999999999993</v>
      </c>
      <c r="E181" s="9" t="s">
        <v>7</v>
      </c>
      <c r="F181" s="23">
        <v>12</v>
      </c>
      <c r="G181" s="25"/>
      <c r="H181" s="14">
        <f t="shared" si="0"/>
        <v>0.55000000000000004</v>
      </c>
      <c r="I181" s="25">
        <f ca="1">IFERROR(__xludf.DUMMYFUNCTION("ROUND(D181*GOOGLEFINANCE(""RUBKZT"")*H181)"),36768)</f>
        <v>36768</v>
      </c>
      <c r="J181" s="26">
        <f ca="1">IFERROR(__xludf.DUMMYFUNCTION("ROUND(I181*GOOGLEFINANCE(""KZTEUR""))"),77)</f>
        <v>77</v>
      </c>
      <c r="K181" s="26">
        <f t="shared" ca="1" si="1"/>
        <v>6417</v>
      </c>
      <c r="L181" s="26">
        <f t="shared" ca="1" si="2"/>
        <v>1219.23</v>
      </c>
      <c r="M181" s="26">
        <f t="shared" ref="M181:N181" si="183">M$3</f>
        <v>500</v>
      </c>
      <c r="N181" s="26">
        <f t="shared" si="183"/>
        <v>500</v>
      </c>
      <c r="O181" s="26">
        <f ca="1">IFERROR(__xludf.DUMMYFUNCTION("ROUND(GOOGLEFINANCE(""Currency:EURKZT"")*K181)"),3064564)</f>
        <v>3064564</v>
      </c>
      <c r="P181" s="26">
        <f ca="1">IFERROR(__xludf.DUMMYFUNCTION("ROUND(GOOGLEFINANCE(""Currency:EURKZT"")*M181)"),238785)</f>
        <v>238785</v>
      </c>
      <c r="Q181" s="26">
        <f ca="1">IFERROR(__xludf.DUMMYFUNCTION("ROUND(GOOGLEFINANCE(""Currency:EURKZT"")*N181)"),238785)</f>
        <v>238785</v>
      </c>
      <c r="R181" s="26">
        <f t="shared" ca="1" si="4"/>
        <v>367748</v>
      </c>
      <c r="S181" s="26">
        <f t="shared" ca="1" si="5"/>
        <v>3909882</v>
      </c>
      <c r="T181" s="26">
        <f ca="1">IFERROR(__xludf.DUMMYFUNCTION("ROUND(GOOGLEFINANCE(""Currency:EURKZT"")*L181+S181)"),4492149)</f>
        <v>4492149</v>
      </c>
      <c r="U181" s="26">
        <f ca="1">IFERROR(__xludf.DUMMYFUNCTION("D181*GOOGLEFINANCE(""RUBKZT"")*1000/F181"),5570934.9640428)</f>
        <v>5570934.9640427995</v>
      </c>
      <c r="V181" s="27">
        <f t="shared" ca="1" si="6"/>
        <v>0.24014919452645039</v>
      </c>
    </row>
    <row r="182" spans="1:22" ht="12.75" customHeight="1" x14ac:dyDescent="0.2">
      <c r="A182" s="6" t="s">
        <v>545</v>
      </c>
      <c r="B182" s="6" t="s">
        <v>488</v>
      </c>
      <c r="C182" s="7">
        <v>216688</v>
      </c>
      <c r="D182" s="8">
        <v>8265.6</v>
      </c>
      <c r="E182" s="9" t="s">
        <v>7</v>
      </c>
      <c r="F182" s="23">
        <v>12</v>
      </c>
      <c r="G182" s="25"/>
      <c r="H182" s="14">
        <f t="shared" si="0"/>
        <v>0.55000000000000004</v>
      </c>
      <c r="I182" s="25">
        <f ca="1">IFERROR(__xludf.DUMMYFUNCTION("ROUND(D182*GOOGLEFINANCE(""RUBKZT"")*H182)"),35475)</f>
        <v>35475</v>
      </c>
      <c r="J182" s="26">
        <f ca="1">IFERROR(__xludf.DUMMYFUNCTION("ROUND(I182*GOOGLEFINANCE(""KZTEUR""))"),74)</f>
        <v>74</v>
      </c>
      <c r="K182" s="26">
        <f t="shared" ca="1" si="1"/>
        <v>6167</v>
      </c>
      <c r="L182" s="26">
        <f t="shared" ca="1" si="2"/>
        <v>1171.73</v>
      </c>
      <c r="M182" s="26">
        <f t="shared" ref="M182:N182" si="184">M$3</f>
        <v>500</v>
      </c>
      <c r="N182" s="26">
        <f t="shared" si="184"/>
        <v>500</v>
      </c>
      <c r="O182" s="26">
        <f ca="1">IFERROR(__xludf.DUMMYFUNCTION("ROUND(GOOGLEFINANCE(""Currency:EURKZT"")*K182)"),2945172)</f>
        <v>2945172</v>
      </c>
      <c r="P182" s="26">
        <f ca="1">IFERROR(__xludf.DUMMYFUNCTION("ROUND(GOOGLEFINANCE(""Currency:EURKZT"")*M182)"),238785)</f>
        <v>238785</v>
      </c>
      <c r="Q182" s="26">
        <f ca="1">IFERROR(__xludf.DUMMYFUNCTION("ROUND(GOOGLEFINANCE(""Currency:EURKZT"")*N182)"),238785)</f>
        <v>238785</v>
      </c>
      <c r="R182" s="26">
        <f t="shared" ca="1" si="4"/>
        <v>353421</v>
      </c>
      <c r="S182" s="26">
        <f t="shared" ca="1" si="5"/>
        <v>3776163</v>
      </c>
      <c r="T182" s="26">
        <f ca="1">IFERROR(__xludf.DUMMYFUNCTION("ROUND(GOOGLEFINANCE(""Currency:EURKZT"")*L182+S182)"),4335746)</f>
        <v>4335746</v>
      </c>
      <c r="U182" s="26">
        <f ca="1">IFERROR(__xludf.DUMMYFUNCTION("D182*GOOGLEFINANCE(""RUBKZT"")*1000/F182"),5375066.5404576)</f>
        <v>5375066.5404575998</v>
      </c>
      <c r="V182" s="27">
        <f t="shared" ca="1" si="6"/>
        <v>0.23970973863727252</v>
      </c>
    </row>
    <row r="183" spans="1:22" ht="12.75" customHeight="1" x14ac:dyDescent="0.2">
      <c r="A183" s="6" t="s">
        <v>602</v>
      </c>
      <c r="B183" s="6" t="s">
        <v>488</v>
      </c>
      <c r="C183" s="7">
        <v>216674</v>
      </c>
      <c r="D183" s="8">
        <v>8379.6</v>
      </c>
      <c r="E183" s="9" t="s">
        <v>16</v>
      </c>
      <c r="F183" s="23">
        <v>12</v>
      </c>
      <c r="G183" s="25"/>
      <c r="H183" s="14">
        <f t="shared" si="0"/>
        <v>0.55000000000000004</v>
      </c>
      <c r="I183" s="25">
        <f ca="1">IFERROR(__xludf.DUMMYFUNCTION("ROUND(D183*GOOGLEFINANCE(""RUBKZT"")*H183)"),35965)</f>
        <v>35965</v>
      </c>
      <c r="J183" s="26">
        <f ca="1">IFERROR(__xludf.DUMMYFUNCTION("ROUND(I183*GOOGLEFINANCE(""KZTEUR""))"),75)</f>
        <v>75</v>
      </c>
      <c r="K183" s="26">
        <f t="shared" ca="1" si="1"/>
        <v>6250</v>
      </c>
      <c r="L183" s="26">
        <f t="shared" ca="1" si="2"/>
        <v>1187.5</v>
      </c>
      <c r="M183" s="26">
        <f t="shared" ref="M183:N183" si="185">M$3</f>
        <v>500</v>
      </c>
      <c r="N183" s="26">
        <f t="shared" si="185"/>
        <v>500</v>
      </c>
      <c r="O183" s="26">
        <f ca="1">IFERROR(__xludf.DUMMYFUNCTION("ROUND(GOOGLEFINANCE(""Currency:EURKZT"")*K183)"),2984810)</f>
        <v>2984810</v>
      </c>
      <c r="P183" s="26">
        <f ca="1">IFERROR(__xludf.DUMMYFUNCTION("ROUND(GOOGLEFINANCE(""Currency:EURKZT"")*M183)"),238785)</f>
        <v>238785</v>
      </c>
      <c r="Q183" s="26">
        <f ca="1">IFERROR(__xludf.DUMMYFUNCTION("ROUND(GOOGLEFINANCE(""Currency:EURKZT"")*N183)"),238785)</f>
        <v>238785</v>
      </c>
      <c r="R183" s="26">
        <f t="shared" ca="1" si="4"/>
        <v>358177</v>
      </c>
      <c r="S183" s="26">
        <f t="shared" ca="1" si="5"/>
        <v>3820557</v>
      </c>
      <c r="T183" s="26">
        <f ca="1">IFERROR(__xludf.DUMMYFUNCTION("ROUND(GOOGLEFINANCE(""Currency:EURKZT"")*L183+S183)"),4387671)</f>
        <v>4387671</v>
      </c>
      <c r="U183" s="26">
        <f ca="1">IFERROR(__xludf.DUMMYFUNCTION("D183*GOOGLEFINANCE(""RUBKZT"")*1000/F183"),5449200.0075516)</f>
        <v>5449200.0075516002</v>
      </c>
      <c r="V183" s="27">
        <f t="shared" ca="1" si="6"/>
        <v>0.24193450410288289</v>
      </c>
    </row>
    <row r="184" spans="1:22" ht="12.75" customHeight="1" x14ac:dyDescent="0.2">
      <c r="A184" s="6" t="s">
        <v>603</v>
      </c>
      <c r="B184" s="6" t="s">
        <v>488</v>
      </c>
      <c r="C184" s="7">
        <v>216680</v>
      </c>
      <c r="D184" s="8">
        <v>5913.5999999999995</v>
      </c>
      <c r="E184" s="9" t="s">
        <v>16</v>
      </c>
      <c r="F184" s="23">
        <v>12</v>
      </c>
      <c r="G184" s="25"/>
      <c r="H184" s="14">
        <f t="shared" si="0"/>
        <v>0.55000000000000004</v>
      </c>
      <c r="I184" s="25">
        <f ca="1">IFERROR(__xludf.DUMMYFUNCTION("ROUND(D184*GOOGLEFINANCE(""RUBKZT"")*H184)"),25381)</f>
        <v>25381</v>
      </c>
      <c r="J184" s="26">
        <f ca="1">IFERROR(__xludf.DUMMYFUNCTION("ROUND(I184*GOOGLEFINANCE(""KZTEUR""))"),53)</f>
        <v>53</v>
      </c>
      <c r="K184" s="26">
        <f t="shared" ca="1" si="1"/>
        <v>4417</v>
      </c>
      <c r="L184" s="26">
        <f t="shared" ca="1" si="2"/>
        <v>839.23</v>
      </c>
      <c r="M184" s="26">
        <f t="shared" ref="M184:N184" si="186">M$3</f>
        <v>500</v>
      </c>
      <c r="N184" s="26">
        <f t="shared" si="186"/>
        <v>500</v>
      </c>
      <c r="O184" s="26">
        <f ca="1">IFERROR(__xludf.DUMMYFUNCTION("ROUND(GOOGLEFINANCE(""Currency:EURKZT"")*K184)"),2109425)</f>
        <v>2109425</v>
      </c>
      <c r="P184" s="26">
        <f ca="1">IFERROR(__xludf.DUMMYFUNCTION("ROUND(GOOGLEFINANCE(""Currency:EURKZT"")*M184)"),238785)</f>
        <v>238785</v>
      </c>
      <c r="Q184" s="26">
        <f ca="1">IFERROR(__xludf.DUMMYFUNCTION("ROUND(GOOGLEFINANCE(""Currency:EURKZT"")*N184)"),238785)</f>
        <v>238785</v>
      </c>
      <c r="R184" s="26">
        <f t="shared" ca="1" si="4"/>
        <v>253131</v>
      </c>
      <c r="S184" s="26">
        <f t="shared" ca="1" si="5"/>
        <v>2840126</v>
      </c>
      <c r="T184" s="26">
        <f ca="1">IFERROR(__xludf.DUMMYFUNCTION("ROUND(GOOGLEFINANCE(""Currency:EURKZT"")*L184+S184)"),3240917)</f>
        <v>3240917</v>
      </c>
      <c r="U184" s="26">
        <f ca="1">IFERROR(__xludf.DUMMYFUNCTION("D184*GOOGLEFINANCE(""RUBKZT"")*1000/F184"),3845576.0614656)</f>
        <v>3845576.0614656</v>
      </c>
      <c r="V184" s="27">
        <f t="shared" ca="1" si="6"/>
        <v>0.18657036309957956</v>
      </c>
    </row>
    <row r="185" spans="1:22" ht="12.75" customHeight="1" x14ac:dyDescent="0.2">
      <c r="A185" s="6" t="s">
        <v>604</v>
      </c>
      <c r="B185" s="6" t="s">
        <v>488</v>
      </c>
      <c r="C185" s="7">
        <v>216677</v>
      </c>
      <c r="D185" s="8">
        <v>80136</v>
      </c>
      <c r="E185" s="9" t="s">
        <v>16</v>
      </c>
      <c r="F185" s="23">
        <v>12</v>
      </c>
      <c r="G185" s="25"/>
      <c r="H185" s="14">
        <f t="shared" si="0"/>
        <v>0.55000000000000004</v>
      </c>
      <c r="I185" s="25">
        <f ca="1">IFERROR(__xludf.DUMMYFUNCTION("ROUND(D185*GOOGLEFINANCE(""RUBKZT"")*H185)"),343939)</f>
        <v>343939</v>
      </c>
      <c r="J185" s="26">
        <f ca="1">IFERROR(__xludf.DUMMYFUNCTION("ROUND(I185*GOOGLEFINANCE(""KZTEUR""))"),720)</f>
        <v>720</v>
      </c>
      <c r="K185" s="26">
        <f t="shared" ca="1" si="1"/>
        <v>60000</v>
      </c>
      <c r="L185" s="26">
        <f t="shared" ca="1" si="2"/>
        <v>11400</v>
      </c>
      <c r="M185" s="26">
        <f t="shared" ref="M185:N185" si="187">M$3</f>
        <v>500</v>
      </c>
      <c r="N185" s="26">
        <f t="shared" si="187"/>
        <v>500</v>
      </c>
      <c r="O185" s="26">
        <f ca="1">IFERROR(__xludf.DUMMYFUNCTION("ROUND(GOOGLEFINANCE(""Currency:EURKZT"")*K185)"),28654177)</f>
        <v>28654177</v>
      </c>
      <c r="P185" s="26">
        <f ca="1">IFERROR(__xludf.DUMMYFUNCTION("ROUND(GOOGLEFINANCE(""Currency:EURKZT"")*M185)"),238785)</f>
        <v>238785</v>
      </c>
      <c r="Q185" s="26">
        <f ca="1">IFERROR(__xludf.DUMMYFUNCTION("ROUND(GOOGLEFINANCE(""Currency:EURKZT"")*N185)"),238785)</f>
        <v>238785</v>
      </c>
      <c r="R185" s="26">
        <f t="shared" ca="1" si="4"/>
        <v>3438501</v>
      </c>
      <c r="S185" s="26">
        <f t="shared" ca="1" si="5"/>
        <v>32570248</v>
      </c>
      <c r="T185" s="26">
        <f ca="1">IFERROR(__xludf.DUMMYFUNCTION("ROUND(GOOGLEFINANCE(""Currency:EURKZT"")*L185+S185)"),38014542)</f>
        <v>38014542</v>
      </c>
      <c r="U185" s="26">
        <f ca="1">IFERROR(__xludf.DUMMYFUNCTION("D185*GOOGLEFINANCE(""RUBKZT"")*1000/F185"),52111925.605656)</f>
        <v>52111925.605655998</v>
      </c>
      <c r="V185" s="27">
        <f t="shared" ca="1" si="6"/>
        <v>0.37084186377034339</v>
      </c>
    </row>
    <row r="186" spans="1:22" ht="12.75" customHeight="1" x14ac:dyDescent="0.2">
      <c r="A186" s="6" t="s">
        <v>605</v>
      </c>
      <c r="B186" s="6" t="s">
        <v>488</v>
      </c>
      <c r="C186" s="7">
        <v>216669</v>
      </c>
      <c r="D186" s="8">
        <v>8342.4</v>
      </c>
      <c r="E186" s="9" t="s">
        <v>7</v>
      </c>
      <c r="F186" s="23">
        <v>12</v>
      </c>
      <c r="G186" s="25"/>
      <c r="H186" s="14">
        <f t="shared" si="0"/>
        <v>0.55000000000000004</v>
      </c>
      <c r="I186" s="25">
        <f ca="1">IFERROR(__xludf.DUMMYFUNCTION("ROUND(D186*GOOGLEFINANCE(""RUBKZT"")*H186)"),35805)</f>
        <v>35805</v>
      </c>
      <c r="J186" s="26">
        <f ca="1">IFERROR(__xludf.DUMMYFUNCTION("ROUND(I186*GOOGLEFINANCE(""KZTEUR""))"),75)</f>
        <v>75</v>
      </c>
      <c r="K186" s="26">
        <f t="shared" ca="1" si="1"/>
        <v>6250</v>
      </c>
      <c r="L186" s="26">
        <f t="shared" ca="1" si="2"/>
        <v>1187.5</v>
      </c>
      <c r="M186" s="26">
        <f t="shared" ref="M186:N186" si="188">M$3</f>
        <v>500</v>
      </c>
      <c r="N186" s="26">
        <f t="shared" si="188"/>
        <v>500</v>
      </c>
      <c r="O186" s="26">
        <f ca="1">IFERROR(__xludf.DUMMYFUNCTION("ROUND(GOOGLEFINANCE(""Currency:EURKZT"")*K186)"),2984810)</f>
        <v>2984810</v>
      </c>
      <c r="P186" s="26">
        <f ca="1">IFERROR(__xludf.DUMMYFUNCTION("ROUND(GOOGLEFINANCE(""Currency:EURKZT"")*M186)"),238785)</f>
        <v>238785</v>
      </c>
      <c r="Q186" s="26">
        <f ca="1">IFERROR(__xludf.DUMMYFUNCTION("ROUND(GOOGLEFINANCE(""Currency:EURKZT"")*N186)"),238785)</f>
        <v>238785</v>
      </c>
      <c r="R186" s="26">
        <f t="shared" ca="1" si="4"/>
        <v>358177</v>
      </c>
      <c r="S186" s="26">
        <f t="shared" ca="1" si="5"/>
        <v>3820557</v>
      </c>
      <c r="T186" s="26">
        <f ca="1">IFERROR(__xludf.DUMMYFUNCTION("ROUND(GOOGLEFINANCE(""Currency:EURKZT"")*L186+S186)"),4387671)</f>
        <v>4387671</v>
      </c>
      <c r="U186" s="26">
        <f ca="1">IFERROR(__xludf.DUMMYFUNCTION("D186*GOOGLEFINANCE(""RUBKZT"")*1000/F186"),5425009.0867104)</f>
        <v>5425009.0867103999</v>
      </c>
      <c r="V186" s="27">
        <f t="shared" ca="1" si="6"/>
        <v>0.2364211187918146</v>
      </c>
    </row>
    <row r="187" spans="1:22" ht="12.75" customHeight="1" x14ac:dyDescent="0.2">
      <c r="A187" s="6" t="s">
        <v>606</v>
      </c>
      <c r="B187" s="6" t="s">
        <v>488</v>
      </c>
      <c r="C187" s="7">
        <v>216671</v>
      </c>
      <c r="D187" s="8">
        <v>8964</v>
      </c>
      <c r="E187" s="9" t="s">
        <v>7</v>
      </c>
      <c r="F187" s="23">
        <v>12</v>
      </c>
      <c r="G187" s="25"/>
      <c r="H187" s="14">
        <f t="shared" si="0"/>
        <v>0.55000000000000004</v>
      </c>
      <c r="I187" s="25">
        <f ca="1">IFERROR(__xludf.DUMMYFUNCTION("ROUND(D187*GOOGLEFINANCE(""RUBKZT"")*H187)"),38473)</f>
        <v>38473</v>
      </c>
      <c r="J187" s="26">
        <f ca="1">IFERROR(__xludf.DUMMYFUNCTION("ROUND(I187*GOOGLEFINANCE(""KZTEUR""))"),81)</f>
        <v>81</v>
      </c>
      <c r="K187" s="26">
        <f t="shared" ca="1" si="1"/>
        <v>6750</v>
      </c>
      <c r="L187" s="26">
        <f t="shared" ca="1" si="2"/>
        <v>1282.5</v>
      </c>
      <c r="M187" s="26">
        <f t="shared" ref="M187:N187" si="189">M$3</f>
        <v>500</v>
      </c>
      <c r="N187" s="26">
        <f t="shared" si="189"/>
        <v>500</v>
      </c>
      <c r="O187" s="26">
        <f ca="1">IFERROR(__xludf.DUMMYFUNCTION("ROUND(GOOGLEFINANCE(""Currency:EURKZT"")*K187)"),3223595)</f>
        <v>3223595</v>
      </c>
      <c r="P187" s="26">
        <f ca="1">IFERROR(__xludf.DUMMYFUNCTION("ROUND(GOOGLEFINANCE(""Currency:EURKZT"")*M187)"),238785)</f>
        <v>238785</v>
      </c>
      <c r="Q187" s="26">
        <f ca="1">IFERROR(__xludf.DUMMYFUNCTION("ROUND(GOOGLEFINANCE(""Currency:EURKZT"")*N187)"),238785)</f>
        <v>238785</v>
      </c>
      <c r="R187" s="26">
        <f t="shared" ca="1" si="4"/>
        <v>386831</v>
      </c>
      <c r="S187" s="26">
        <f t="shared" ca="1" si="5"/>
        <v>4087996</v>
      </c>
      <c r="T187" s="26">
        <f ca="1">IFERROR(__xludf.DUMMYFUNCTION("ROUND(GOOGLEFINANCE(""Currency:EURKZT"")*L187+S187)"),4700479)</f>
        <v>4700479</v>
      </c>
      <c r="U187" s="26">
        <f ca="1">IFERROR(__xludf.DUMMYFUNCTION("D187*GOOGLEFINANCE(""RUBKZT"")*1000/F187"),5829231.570444)</f>
        <v>5829231.570444</v>
      </c>
      <c r="V187" s="27">
        <f t="shared" ca="1" si="6"/>
        <v>0.24013564797204709</v>
      </c>
    </row>
    <row r="188" spans="1:22" ht="12.75" customHeight="1" x14ac:dyDescent="0.2">
      <c r="A188" s="6" t="s">
        <v>358</v>
      </c>
      <c r="B188" s="6" t="s">
        <v>366</v>
      </c>
      <c r="C188" s="7">
        <v>194874</v>
      </c>
      <c r="D188" s="8">
        <v>19161.599999999999</v>
      </c>
      <c r="E188" s="9" t="s">
        <v>7</v>
      </c>
      <c r="F188" s="23">
        <v>24</v>
      </c>
      <c r="G188" s="25"/>
      <c r="H188" s="14">
        <f t="shared" si="0"/>
        <v>0.55000000000000004</v>
      </c>
      <c r="I188" s="25">
        <f ca="1">IFERROR(__xludf.DUMMYFUNCTION("ROUND(D188*GOOGLEFINANCE(""RUBKZT"")*H188)"),82240)</f>
        <v>82240</v>
      </c>
      <c r="J188" s="26">
        <f ca="1">IFERROR(__xludf.DUMMYFUNCTION("ROUND(I188*GOOGLEFINANCE(""KZTEUR""))"),172)</f>
        <v>172</v>
      </c>
      <c r="K188" s="26">
        <f t="shared" ca="1" si="1"/>
        <v>7167</v>
      </c>
      <c r="L188" s="26">
        <f t="shared" ca="1" si="2"/>
        <v>1361.73</v>
      </c>
      <c r="M188" s="26">
        <f t="shared" ref="M188:N188" si="190">M$3</f>
        <v>500</v>
      </c>
      <c r="N188" s="26">
        <f t="shared" si="190"/>
        <v>500</v>
      </c>
      <c r="O188" s="26">
        <f ca="1">IFERROR(__xludf.DUMMYFUNCTION("ROUND(GOOGLEFINANCE(""Currency:EURKZT"")*K188)"),3422741)</f>
        <v>3422741</v>
      </c>
      <c r="P188" s="26">
        <f ca="1">IFERROR(__xludf.DUMMYFUNCTION("ROUND(GOOGLEFINANCE(""Currency:EURKZT"")*M188)"),238785)</f>
        <v>238785</v>
      </c>
      <c r="Q188" s="26">
        <f ca="1">IFERROR(__xludf.DUMMYFUNCTION("ROUND(GOOGLEFINANCE(""Currency:EURKZT"")*N188)"),238785)</f>
        <v>238785</v>
      </c>
      <c r="R188" s="26">
        <f t="shared" ca="1" si="4"/>
        <v>410729</v>
      </c>
      <c r="S188" s="26">
        <f t="shared" ca="1" si="5"/>
        <v>4311040</v>
      </c>
      <c r="T188" s="26">
        <f ca="1">IFERROR(__xludf.DUMMYFUNCTION("ROUND(GOOGLEFINANCE(""Currency:EURKZT"")*L188+S188)"),4961361)</f>
        <v>4961361</v>
      </c>
      <c r="U188" s="26">
        <f ca="1">IFERROR(__xludf.DUMMYFUNCTION("D188*GOOGLEFINANCE(""RUBKZT"")*1000/F188"),6230332.6450368)</f>
        <v>6230332.6450367998</v>
      </c>
      <c r="V188" s="27">
        <f t="shared" ca="1" si="6"/>
        <v>0.25577087517654928</v>
      </c>
    </row>
    <row r="189" spans="1:22" ht="12.75" customHeight="1" x14ac:dyDescent="0.2">
      <c r="A189" s="6" t="s">
        <v>21</v>
      </c>
      <c r="B189" s="6" t="s">
        <v>236</v>
      </c>
      <c r="C189" s="7">
        <v>160743</v>
      </c>
      <c r="D189" s="8">
        <v>10660.8</v>
      </c>
      <c r="E189" s="9" t="s">
        <v>16</v>
      </c>
      <c r="F189" s="23">
        <v>12</v>
      </c>
      <c r="G189" s="25"/>
      <c r="H189" s="14">
        <f t="shared" si="0"/>
        <v>0.55000000000000004</v>
      </c>
      <c r="I189" s="25">
        <f ca="1">IFERROR(__xludf.DUMMYFUNCTION("ROUND(D189*GOOGLEFINANCE(""RUBKZT"")*H189)"),45755)</f>
        <v>45755</v>
      </c>
      <c r="J189" s="26">
        <f ca="1">IFERROR(__xludf.DUMMYFUNCTION("ROUND(I189*GOOGLEFINANCE(""KZTEUR""))"),96)</f>
        <v>96</v>
      </c>
      <c r="K189" s="26">
        <f t="shared" ca="1" si="1"/>
        <v>8000</v>
      </c>
      <c r="L189" s="26">
        <f t="shared" ca="1" si="2"/>
        <v>1520</v>
      </c>
      <c r="M189" s="26">
        <f t="shared" ref="M189:N189" si="191">M$3</f>
        <v>500</v>
      </c>
      <c r="N189" s="26">
        <f t="shared" si="191"/>
        <v>500</v>
      </c>
      <c r="O189" s="26">
        <f ca="1">IFERROR(__xludf.DUMMYFUNCTION("ROUND(GOOGLEFINANCE(""Currency:EURKZT"")*K189)"),3820557)</f>
        <v>3820557</v>
      </c>
      <c r="P189" s="26">
        <f ca="1">IFERROR(__xludf.DUMMYFUNCTION("ROUND(GOOGLEFINANCE(""Currency:EURKZT"")*M189)"),238785)</f>
        <v>238785</v>
      </c>
      <c r="Q189" s="26">
        <f ca="1">IFERROR(__xludf.DUMMYFUNCTION("ROUND(GOOGLEFINANCE(""Currency:EURKZT"")*N189)"),238785)</f>
        <v>238785</v>
      </c>
      <c r="R189" s="26">
        <f t="shared" ca="1" si="4"/>
        <v>458467</v>
      </c>
      <c r="S189" s="26">
        <f t="shared" ca="1" si="5"/>
        <v>4756594</v>
      </c>
      <c r="T189" s="26">
        <f ca="1">IFERROR(__xludf.DUMMYFUNCTION("ROUND(GOOGLEFINANCE(""Currency:EURKZT"")*L189+S189)"),5482500)</f>
        <v>5482500</v>
      </c>
      <c r="U189" s="26">
        <f ca="1">IFERROR(__xludf.DUMMYFUNCTION("D189*GOOGLEFINANCE(""RUBKZT"")*1000/F189"),6932649.7017168)</f>
        <v>6932649.7017168002</v>
      </c>
      <c r="V189" s="27">
        <f t="shared" ca="1" si="6"/>
        <v>0.26450518955162794</v>
      </c>
    </row>
    <row r="190" spans="1:22" ht="12.75" customHeight="1" x14ac:dyDescent="0.2">
      <c r="A190" s="6" t="s">
        <v>24</v>
      </c>
      <c r="B190" s="6" t="s">
        <v>236</v>
      </c>
      <c r="C190" s="7">
        <v>160746</v>
      </c>
      <c r="D190" s="8">
        <v>11382</v>
      </c>
      <c r="E190" s="9" t="s">
        <v>16</v>
      </c>
      <c r="F190" s="23">
        <v>12</v>
      </c>
      <c r="G190" s="25"/>
      <c r="H190" s="14">
        <f t="shared" si="0"/>
        <v>0.55000000000000004</v>
      </c>
      <c r="I190" s="25">
        <f ca="1">IFERROR(__xludf.DUMMYFUNCTION("ROUND(D190*GOOGLEFINANCE(""RUBKZT"")*H190)"),48851)</f>
        <v>48851</v>
      </c>
      <c r="J190" s="26">
        <f ca="1">IFERROR(__xludf.DUMMYFUNCTION("ROUND(I190*GOOGLEFINANCE(""KZTEUR""))"),102)</f>
        <v>102</v>
      </c>
      <c r="K190" s="26">
        <f t="shared" ca="1" si="1"/>
        <v>8500</v>
      </c>
      <c r="L190" s="26">
        <f t="shared" ca="1" si="2"/>
        <v>1615</v>
      </c>
      <c r="M190" s="26">
        <f t="shared" ref="M190:N190" si="192">M$3</f>
        <v>500</v>
      </c>
      <c r="N190" s="26">
        <f t="shared" si="192"/>
        <v>500</v>
      </c>
      <c r="O190" s="26">
        <f ca="1">IFERROR(__xludf.DUMMYFUNCTION("ROUND(GOOGLEFINANCE(""Currency:EURKZT"")*K190)"),4059342)</f>
        <v>4059342</v>
      </c>
      <c r="P190" s="26">
        <f ca="1">IFERROR(__xludf.DUMMYFUNCTION("ROUND(GOOGLEFINANCE(""Currency:EURKZT"")*M190)"),238785)</f>
        <v>238785</v>
      </c>
      <c r="Q190" s="26">
        <f ca="1">IFERROR(__xludf.DUMMYFUNCTION("ROUND(GOOGLEFINANCE(""Currency:EURKZT"")*N190)"),238785)</f>
        <v>238785</v>
      </c>
      <c r="R190" s="26">
        <f t="shared" ca="1" si="4"/>
        <v>487121</v>
      </c>
      <c r="S190" s="26">
        <f t="shared" ca="1" si="5"/>
        <v>5024033</v>
      </c>
      <c r="T190" s="26">
        <f ca="1">IFERROR(__xludf.DUMMYFUNCTION("ROUND(GOOGLEFINANCE(""Currency:EURKZT"")*L190+S190)"),5795308)</f>
        <v>5795308</v>
      </c>
      <c r="U190" s="26">
        <f ca="1">IFERROR(__xludf.DUMMYFUNCTION("D190*GOOGLEFINANCE(""RUBKZT"")*1000/F190"),7401641.425122)</f>
        <v>7401641.4251220003</v>
      </c>
      <c r="V190" s="27">
        <f t="shared" ca="1" si="6"/>
        <v>0.27717826647384408</v>
      </c>
    </row>
    <row r="191" spans="1:22" ht="12.75" customHeight="1" x14ac:dyDescent="0.2">
      <c r="A191" s="6" t="s">
        <v>163</v>
      </c>
      <c r="B191" s="6" t="s">
        <v>164</v>
      </c>
      <c r="C191" s="7">
        <v>140056</v>
      </c>
      <c r="D191" s="8">
        <v>7257.5999999999995</v>
      </c>
      <c r="E191" s="9" t="s">
        <v>16</v>
      </c>
      <c r="F191" s="23">
        <f t="shared" ref="F191:F195" si="193">12*0.4</f>
        <v>4.8000000000000007</v>
      </c>
      <c r="G191" s="25"/>
      <c r="H191" s="14">
        <f t="shared" si="0"/>
        <v>0.55000000000000004</v>
      </c>
      <c r="I191" s="25">
        <f ca="1">IFERROR(__xludf.DUMMYFUNCTION("ROUND(D191*GOOGLEFINANCE(""RUBKZT"")*H191)"),31149)</f>
        <v>31149</v>
      </c>
      <c r="J191" s="26">
        <f ca="1">IFERROR(__xludf.DUMMYFUNCTION("ROUND(I191*GOOGLEFINANCE(""KZTEUR""))"),65)</f>
        <v>65</v>
      </c>
      <c r="K191" s="26">
        <f t="shared" ca="1" si="1"/>
        <v>13542</v>
      </c>
      <c r="L191" s="26">
        <f t="shared" ca="1" si="2"/>
        <v>2572.98</v>
      </c>
      <c r="M191" s="26">
        <f t="shared" ref="M191:N191" si="194">M$3</f>
        <v>500</v>
      </c>
      <c r="N191" s="26">
        <f t="shared" si="194"/>
        <v>500</v>
      </c>
      <c r="O191" s="26">
        <f ca="1">IFERROR(__xludf.DUMMYFUNCTION("ROUND(GOOGLEFINANCE(""Currency:EURKZT"")*K191)"),6467248)</f>
        <v>6467248</v>
      </c>
      <c r="P191" s="26">
        <f ca="1">IFERROR(__xludf.DUMMYFUNCTION("ROUND(GOOGLEFINANCE(""Currency:EURKZT"")*M191)"),238785)</f>
        <v>238785</v>
      </c>
      <c r="Q191" s="26">
        <f ca="1">IFERROR(__xludf.DUMMYFUNCTION("ROUND(GOOGLEFINANCE(""Currency:EURKZT"")*N191)"),238785)</f>
        <v>238785</v>
      </c>
      <c r="R191" s="26">
        <f t="shared" ca="1" si="4"/>
        <v>776070</v>
      </c>
      <c r="S191" s="26">
        <f t="shared" ca="1" si="5"/>
        <v>7720888</v>
      </c>
      <c r="T191" s="26">
        <f ca="1">IFERROR(__xludf.DUMMYFUNCTION("ROUND(GOOGLEFINANCE(""Currency:EURKZT"")*L191+S191)"),8949665)</f>
        <v>8949665</v>
      </c>
      <c r="U191" s="26">
        <f ca="1">IFERROR(__xludf.DUMMYFUNCTION("D191*GOOGLEFINANCE(""RUBKZT"")*1000/F191"),11798926.5522239)</f>
        <v>11798926.5522239</v>
      </c>
      <c r="V191" s="27">
        <f t="shared" ca="1" si="6"/>
        <v>0.31836516251992675</v>
      </c>
    </row>
    <row r="192" spans="1:22" ht="12.75" customHeight="1" x14ac:dyDescent="0.2">
      <c r="A192" s="6" t="s">
        <v>371</v>
      </c>
      <c r="B192" s="6" t="s">
        <v>164</v>
      </c>
      <c r="C192" s="7">
        <v>195628</v>
      </c>
      <c r="D192" s="8">
        <v>11228.4</v>
      </c>
      <c r="E192" s="9" t="s">
        <v>7</v>
      </c>
      <c r="F192" s="23">
        <f t="shared" si="193"/>
        <v>4.8000000000000007</v>
      </c>
      <c r="G192" s="25"/>
      <c r="H192" s="14">
        <f t="shared" si="0"/>
        <v>0.55000000000000004</v>
      </c>
      <c r="I192" s="25">
        <f ca="1">IFERROR(__xludf.DUMMYFUNCTION("ROUND(D192*GOOGLEFINANCE(""RUBKZT"")*H192)"),48192)</f>
        <v>48192</v>
      </c>
      <c r="J192" s="26">
        <f ca="1">IFERROR(__xludf.DUMMYFUNCTION("ROUND(I192*GOOGLEFINANCE(""KZTEUR""))"),101)</f>
        <v>101</v>
      </c>
      <c r="K192" s="26">
        <f t="shared" ca="1" si="1"/>
        <v>21042</v>
      </c>
      <c r="L192" s="26">
        <f t="shared" ca="1" si="2"/>
        <v>3997.98</v>
      </c>
      <c r="M192" s="26">
        <f t="shared" ref="M192:N192" si="195">M$3</f>
        <v>500</v>
      </c>
      <c r="N192" s="26">
        <f t="shared" si="195"/>
        <v>500</v>
      </c>
      <c r="O192" s="26">
        <f ca="1">IFERROR(__xludf.DUMMYFUNCTION("ROUND(GOOGLEFINANCE(""Currency:EURKZT"")*K192)"),10049020)</f>
        <v>10049020</v>
      </c>
      <c r="P192" s="26">
        <f ca="1">IFERROR(__xludf.DUMMYFUNCTION("ROUND(GOOGLEFINANCE(""Currency:EURKZT"")*M192)"),238785)</f>
        <v>238785</v>
      </c>
      <c r="Q192" s="26">
        <f ca="1">IFERROR(__xludf.DUMMYFUNCTION("ROUND(GOOGLEFINANCE(""Currency:EURKZT"")*N192)"),238785)</f>
        <v>238785</v>
      </c>
      <c r="R192" s="26">
        <f t="shared" ca="1" si="4"/>
        <v>1205882</v>
      </c>
      <c r="S192" s="26">
        <f t="shared" ca="1" si="5"/>
        <v>11732472</v>
      </c>
      <c r="T192" s="26">
        <f ca="1">IFERROR(__xludf.DUMMYFUNCTION("ROUND(GOOGLEFINANCE(""Currency:EURKZT"")*L192+S192)"),13641786)</f>
        <v>13641786</v>
      </c>
      <c r="U192" s="26">
        <f ca="1">IFERROR(__xludf.DUMMYFUNCTION("D192*GOOGLEFINANCE(""RUBKZT"")*1000/F192"),18254390.8315409)</f>
        <v>18254390.831540901</v>
      </c>
      <c r="V192" s="27">
        <f t="shared" ca="1" si="6"/>
        <v>0.33812323632264141</v>
      </c>
    </row>
    <row r="193" spans="1:22" ht="12.75" customHeight="1" x14ac:dyDescent="0.2">
      <c r="A193" s="6" t="s">
        <v>390</v>
      </c>
      <c r="B193" s="6" t="s">
        <v>164</v>
      </c>
      <c r="C193" s="7">
        <v>199406</v>
      </c>
      <c r="D193" s="8">
        <v>4490.3999999999996</v>
      </c>
      <c r="E193" s="9" t="s">
        <v>7</v>
      </c>
      <c r="F193" s="23">
        <f t="shared" si="193"/>
        <v>4.8000000000000007</v>
      </c>
      <c r="G193" s="25"/>
      <c r="H193" s="14">
        <f t="shared" si="0"/>
        <v>0.55000000000000004</v>
      </c>
      <c r="I193" s="25">
        <f ca="1">IFERROR(__xludf.DUMMYFUNCTION("ROUND(D193*GOOGLEFINANCE(""RUBKZT"")*H193)"),19273)</f>
        <v>19273</v>
      </c>
      <c r="J193" s="26">
        <f ca="1">IFERROR(__xludf.DUMMYFUNCTION("ROUND(I193*GOOGLEFINANCE(""KZTEUR""))"),40)</f>
        <v>40</v>
      </c>
      <c r="K193" s="26">
        <f t="shared" ca="1" si="1"/>
        <v>8333</v>
      </c>
      <c r="L193" s="26">
        <f t="shared" ca="1" si="2"/>
        <v>1583.27</v>
      </c>
      <c r="M193" s="26">
        <f t="shared" ref="M193:N193" si="196">M$3</f>
        <v>500</v>
      </c>
      <c r="N193" s="26">
        <f t="shared" si="196"/>
        <v>500</v>
      </c>
      <c r="O193" s="26">
        <f ca="1">IFERROR(__xludf.DUMMYFUNCTION("ROUND(GOOGLEFINANCE(""Currency:EURKZT"")*K193)"),3979588)</f>
        <v>3979588</v>
      </c>
      <c r="P193" s="26">
        <f ca="1">IFERROR(__xludf.DUMMYFUNCTION("ROUND(GOOGLEFINANCE(""Currency:EURKZT"")*M193)"),238785)</f>
        <v>238785</v>
      </c>
      <c r="Q193" s="26">
        <f ca="1">IFERROR(__xludf.DUMMYFUNCTION("ROUND(GOOGLEFINANCE(""Currency:EURKZT"")*N193)"),238785)</f>
        <v>238785</v>
      </c>
      <c r="R193" s="26">
        <f t="shared" ca="1" si="4"/>
        <v>477551</v>
      </c>
      <c r="S193" s="26">
        <f t="shared" ca="1" si="5"/>
        <v>4934709</v>
      </c>
      <c r="T193" s="26">
        <f ca="1">IFERROR(__xludf.DUMMYFUNCTION("ROUND(GOOGLEFINANCE(""Currency:EURKZT"")*L193+S193)"),5690831)</f>
        <v>5690831</v>
      </c>
      <c r="U193" s="26">
        <f ca="1">IFERROR(__xludf.DUMMYFUNCTION("D193*GOOGLEFINANCE(""RUBKZT"")*1000/F193"),7300195.62804599)</f>
        <v>7300195.6280459901</v>
      </c>
      <c r="V193" s="27">
        <f t="shared" ca="1" si="6"/>
        <v>0.28279958200234556</v>
      </c>
    </row>
    <row r="194" spans="1:22" ht="12.75" customHeight="1" x14ac:dyDescent="0.2">
      <c r="A194" s="6" t="s">
        <v>402</v>
      </c>
      <c r="B194" s="6" t="s">
        <v>164</v>
      </c>
      <c r="C194" s="7">
        <v>199795</v>
      </c>
      <c r="D194" s="8">
        <v>5358</v>
      </c>
      <c r="E194" s="9" t="s">
        <v>7</v>
      </c>
      <c r="F194" s="23">
        <f t="shared" si="193"/>
        <v>4.8000000000000007</v>
      </c>
      <c r="G194" s="25"/>
      <c r="H194" s="14">
        <f t="shared" si="0"/>
        <v>0.55000000000000004</v>
      </c>
      <c r="I194" s="25">
        <f ca="1">IFERROR(__xludf.DUMMYFUNCTION("ROUND(D194*GOOGLEFINANCE(""RUBKZT"")*H194)"),22996)</f>
        <v>22996</v>
      </c>
      <c r="J194" s="26">
        <f ca="1">IFERROR(__xludf.DUMMYFUNCTION("ROUND(I194*GOOGLEFINANCE(""KZTEUR""))"),48)</f>
        <v>48</v>
      </c>
      <c r="K194" s="26">
        <f t="shared" ca="1" si="1"/>
        <v>10000</v>
      </c>
      <c r="L194" s="26">
        <f t="shared" ca="1" si="2"/>
        <v>1900</v>
      </c>
      <c r="M194" s="26">
        <f t="shared" ref="M194:N194" si="197">M$3</f>
        <v>500</v>
      </c>
      <c r="N194" s="26">
        <f t="shared" si="197"/>
        <v>500</v>
      </c>
      <c r="O194" s="26">
        <f ca="1">IFERROR(__xludf.DUMMYFUNCTION("ROUND(GOOGLEFINANCE(""Currency:EURKZT"")*K194)"),4775696)</f>
        <v>4775696</v>
      </c>
      <c r="P194" s="26">
        <f ca="1">IFERROR(__xludf.DUMMYFUNCTION("ROUND(GOOGLEFINANCE(""Currency:EURKZT"")*M194)"),238785)</f>
        <v>238785</v>
      </c>
      <c r="Q194" s="26">
        <f ca="1">IFERROR(__xludf.DUMMYFUNCTION("ROUND(GOOGLEFINANCE(""Currency:EURKZT"")*N194)"),238785)</f>
        <v>238785</v>
      </c>
      <c r="R194" s="26">
        <f t="shared" ca="1" si="4"/>
        <v>573084</v>
      </c>
      <c r="S194" s="26">
        <f t="shared" ca="1" si="5"/>
        <v>5826350</v>
      </c>
      <c r="T194" s="26">
        <f ca="1">IFERROR(__xludf.DUMMYFUNCTION("ROUND(GOOGLEFINANCE(""Currency:EURKZT"")*L194+S194)"),6733732)</f>
        <v>6733732</v>
      </c>
      <c r="U194" s="26">
        <f ca="1">IFERROR(__xludf.DUMMYFUNCTION("D194*GOOGLEFINANCE(""RUBKZT"")*1000/F194"),8710682.383545)</f>
        <v>8710682.3835450001</v>
      </c>
      <c r="V194" s="27">
        <f t="shared" ca="1" si="6"/>
        <v>0.29358910980493436</v>
      </c>
    </row>
    <row r="195" spans="1:22" ht="12.75" customHeight="1" x14ac:dyDescent="0.2">
      <c r="A195" s="6" t="s">
        <v>403</v>
      </c>
      <c r="B195" s="6" t="s">
        <v>164</v>
      </c>
      <c r="C195" s="7">
        <v>199796</v>
      </c>
      <c r="D195" s="8">
        <v>5644.8</v>
      </c>
      <c r="E195" s="9" t="s">
        <v>7</v>
      </c>
      <c r="F195" s="23">
        <f t="shared" si="193"/>
        <v>4.8000000000000007</v>
      </c>
      <c r="G195" s="25"/>
      <c r="H195" s="14">
        <f t="shared" si="0"/>
        <v>0.55000000000000004</v>
      </c>
      <c r="I195" s="25">
        <f ca="1">IFERROR(__xludf.DUMMYFUNCTION("ROUND(D195*GOOGLEFINANCE(""RUBKZT"")*H195)"),24227)</f>
        <v>24227</v>
      </c>
      <c r="J195" s="26">
        <f ca="1">IFERROR(__xludf.DUMMYFUNCTION("ROUND(I195*GOOGLEFINANCE(""KZTEUR""))"),51)</f>
        <v>51</v>
      </c>
      <c r="K195" s="26">
        <f t="shared" ca="1" si="1"/>
        <v>10625</v>
      </c>
      <c r="L195" s="26">
        <f t="shared" ca="1" si="2"/>
        <v>2018.75</v>
      </c>
      <c r="M195" s="26">
        <f t="shared" ref="M195:N195" si="198">M$3</f>
        <v>500</v>
      </c>
      <c r="N195" s="26">
        <f t="shared" si="198"/>
        <v>500</v>
      </c>
      <c r="O195" s="26">
        <f ca="1">IFERROR(__xludf.DUMMYFUNCTION("ROUND(GOOGLEFINANCE(""Currency:EURKZT"")*K195)"),5074177)</f>
        <v>5074177</v>
      </c>
      <c r="P195" s="26">
        <f ca="1">IFERROR(__xludf.DUMMYFUNCTION("ROUND(GOOGLEFINANCE(""Currency:EURKZT"")*M195)"),238785)</f>
        <v>238785</v>
      </c>
      <c r="Q195" s="26">
        <f ca="1">IFERROR(__xludf.DUMMYFUNCTION("ROUND(GOOGLEFINANCE(""Currency:EURKZT"")*N195)"),238785)</f>
        <v>238785</v>
      </c>
      <c r="R195" s="26">
        <f t="shared" ca="1" si="4"/>
        <v>608901</v>
      </c>
      <c r="S195" s="26">
        <f t="shared" ca="1" si="5"/>
        <v>6160648</v>
      </c>
      <c r="T195" s="26">
        <f ca="1">IFERROR(__xludf.DUMMYFUNCTION("ROUND(GOOGLEFINANCE(""Currency:EURKZT"")*L195+S195)"),7124742)</f>
        <v>7124742</v>
      </c>
      <c r="U195" s="26">
        <f ca="1">IFERROR(__xludf.DUMMYFUNCTION("D195*GOOGLEFINANCE(""RUBKZT"")*1000/F195"),9176942.873952)</f>
        <v>9176942.8739519995</v>
      </c>
      <c r="V195" s="27">
        <f t="shared" ca="1" si="6"/>
        <v>0.28803862286550158</v>
      </c>
    </row>
    <row r="196" spans="1:22" ht="12.75" customHeight="1" x14ac:dyDescent="0.2">
      <c r="A196" s="6" t="s">
        <v>410</v>
      </c>
      <c r="B196" s="6" t="s">
        <v>411</v>
      </c>
      <c r="C196" s="7">
        <v>201304</v>
      </c>
      <c r="D196" s="8">
        <v>5780.4</v>
      </c>
      <c r="E196" s="9" t="s">
        <v>7</v>
      </c>
      <c r="F196" s="23">
        <f>12*0.25</f>
        <v>3</v>
      </c>
      <c r="G196" s="25"/>
      <c r="H196" s="14">
        <f t="shared" si="0"/>
        <v>0.55000000000000004</v>
      </c>
      <c r="I196" s="25">
        <f ca="1">IFERROR(__xludf.DUMMYFUNCTION("ROUND(D196*GOOGLEFINANCE(""RUBKZT"")*H196)"),24809)</f>
        <v>24809</v>
      </c>
      <c r="J196" s="26">
        <f ca="1">IFERROR(__xludf.DUMMYFUNCTION("ROUND(I196*GOOGLEFINANCE(""KZTEUR""))"),52)</f>
        <v>52</v>
      </c>
      <c r="K196" s="26">
        <f t="shared" ca="1" si="1"/>
        <v>17333</v>
      </c>
      <c r="L196" s="26">
        <f t="shared" ca="1" si="2"/>
        <v>3293.27</v>
      </c>
      <c r="M196" s="26">
        <f t="shared" ref="M196:N196" si="199">M$3</f>
        <v>500</v>
      </c>
      <c r="N196" s="26">
        <f t="shared" si="199"/>
        <v>500</v>
      </c>
      <c r="O196" s="26">
        <f ca="1">IFERROR(__xludf.DUMMYFUNCTION("ROUND(GOOGLEFINANCE(""Currency:EURKZT"")*K196)"),8277714)</f>
        <v>8277714</v>
      </c>
      <c r="P196" s="26">
        <f ca="1">IFERROR(__xludf.DUMMYFUNCTION("ROUND(GOOGLEFINANCE(""Currency:EURKZT"")*M196)"),238785)</f>
        <v>238785</v>
      </c>
      <c r="Q196" s="26">
        <f ca="1">IFERROR(__xludf.DUMMYFUNCTION("ROUND(GOOGLEFINANCE(""Currency:EURKZT"")*N196)"),238785)</f>
        <v>238785</v>
      </c>
      <c r="R196" s="26">
        <f t="shared" ca="1" si="4"/>
        <v>993326</v>
      </c>
      <c r="S196" s="26">
        <f t="shared" ca="1" si="5"/>
        <v>9748610</v>
      </c>
      <c r="T196" s="26">
        <f ca="1">IFERROR(__xludf.DUMMYFUNCTION("ROUND(GOOGLEFINANCE(""Currency:EURKZT"")*L196+S196)"),11321376)</f>
        <v>11321376</v>
      </c>
      <c r="U196" s="26">
        <f ca="1">IFERROR(__xludf.DUMMYFUNCTION("D196*GOOGLEFINANCE(""RUBKZT"")*1000/F196"),15035827.8312335)</f>
        <v>15035827.8312335</v>
      </c>
      <c r="V196" s="27">
        <f t="shared" ca="1" si="6"/>
        <v>0.32809190607515371</v>
      </c>
    </row>
    <row r="197" spans="1:22" ht="12.75" customHeight="1" x14ac:dyDescent="0.2">
      <c r="A197" s="6" t="s">
        <v>504</v>
      </c>
      <c r="B197" s="6" t="s">
        <v>505</v>
      </c>
      <c r="C197" s="7">
        <v>213822</v>
      </c>
      <c r="D197" s="8">
        <v>5721.5999999999995</v>
      </c>
      <c r="E197" s="9" t="s">
        <v>16</v>
      </c>
      <c r="F197" s="23">
        <f t="shared" ref="F197:F211" si="200">16*0.5</f>
        <v>8</v>
      </c>
      <c r="G197" s="25"/>
      <c r="H197" s="14">
        <f t="shared" si="0"/>
        <v>0.55000000000000004</v>
      </c>
      <c r="I197" s="25">
        <f ca="1">IFERROR(__xludf.DUMMYFUNCTION("ROUND(D197*GOOGLEFINANCE(""RUBKZT"")*H197)"),24557)</f>
        <v>24557</v>
      </c>
      <c r="J197" s="26">
        <f ca="1">IFERROR(__xludf.DUMMYFUNCTION("ROUND(I197*GOOGLEFINANCE(""KZTEUR""))"),51)</f>
        <v>51</v>
      </c>
      <c r="K197" s="26">
        <f t="shared" ca="1" si="1"/>
        <v>6375</v>
      </c>
      <c r="L197" s="26">
        <f t="shared" ca="1" si="2"/>
        <v>1211.25</v>
      </c>
      <c r="M197" s="26">
        <f t="shared" ref="M197:N197" si="201">M$3</f>
        <v>500</v>
      </c>
      <c r="N197" s="26">
        <f t="shared" si="201"/>
        <v>500</v>
      </c>
      <c r="O197" s="26">
        <f ca="1">IFERROR(__xludf.DUMMYFUNCTION("ROUND(GOOGLEFINANCE(""Currency:EURKZT"")*K197)"),3044506)</f>
        <v>3044506</v>
      </c>
      <c r="P197" s="26">
        <f ca="1">IFERROR(__xludf.DUMMYFUNCTION("ROUND(GOOGLEFINANCE(""Currency:EURKZT"")*M197)"),238785)</f>
        <v>238785</v>
      </c>
      <c r="Q197" s="26">
        <f ca="1">IFERROR(__xludf.DUMMYFUNCTION("ROUND(GOOGLEFINANCE(""Currency:EURKZT"")*N197)"),238785)</f>
        <v>238785</v>
      </c>
      <c r="R197" s="26">
        <f t="shared" ca="1" si="4"/>
        <v>365341</v>
      </c>
      <c r="S197" s="26">
        <f t="shared" ca="1" si="5"/>
        <v>3887417</v>
      </c>
      <c r="T197" s="26">
        <f ca="1">IFERROR(__xludf.DUMMYFUNCTION("ROUND(GOOGLEFINANCE(""Currency:EURKZT"")*L197+S197)"),4465873)</f>
        <v>4465873</v>
      </c>
      <c r="U197" s="26">
        <f ca="1">IFERROR(__xludf.DUMMYFUNCTION("D197*GOOGLEFINANCE(""RUBKZT"")*1000/F197"),5581079.5437504)</f>
        <v>5581079.5437503997</v>
      </c>
      <c r="V197" s="27">
        <f t="shared" ca="1" si="6"/>
        <v>0.24971747825126234</v>
      </c>
    </row>
    <row r="198" spans="1:22" ht="12.75" customHeight="1" x14ac:dyDescent="0.2">
      <c r="A198" s="6" t="s">
        <v>465</v>
      </c>
      <c r="B198" s="6" t="s">
        <v>505</v>
      </c>
      <c r="C198" s="7">
        <v>213824</v>
      </c>
      <c r="D198" s="8">
        <v>5424</v>
      </c>
      <c r="E198" s="9" t="s">
        <v>16</v>
      </c>
      <c r="F198" s="23">
        <f t="shared" si="200"/>
        <v>8</v>
      </c>
      <c r="G198" s="25"/>
      <c r="H198" s="14">
        <f t="shared" si="0"/>
        <v>0.55000000000000004</v>
      </c>
      <c r="I198" s="25">
        <f ca="1">IFERROR(__xludf.DUMMYFUNCTION("ROUND(D198*GOOGLEFINANCE(""RUBKZT"")*H198)"),23279)</f>
        <v>23279</v>
      </c>
      <c r="J198" s="26">
        <f ca="1">IFERROR(__xludf.DUMMYFUNCTION("ROUND(I198*GOOGLEFINANCE(""KZTEUR""))"),49)</f>
        <v>49</v>
      </c>
      <c r="K198" s="26">
        <f t="shared" ca="1" si="1"/>
        <v>6125</v>
      </c>
      <c r="L198" s="26">
        <f t="shared" ca="1" si="2"/>
        <v>1163.75</v>
      </c>
      <c r="M198" s="26">
        <f t="shared" ref="M198:N198" si="202">M$3</f>
        <v>500</v>
      </c>
      <c r="N198" s="26">
        <f t="shared" si="202"/>
        <v>500</v>
      </c>
      <c r="O198" s="26">
        <f ca="1">IFERROR(__xludf.DUMMYFUNCTION("ROUND(GOOGLEFINANCE(""Currency:EURKZT"")*K198)"),2925114)</f>
        <v>2925114</v>
      </c>
      <c r="P198" s="26">
        <f ca="1">IFERROR(__xludf.DUMMYFUNCTION("ROUND(GOOGLEFINANCE(""Currency:EURKZT"")*M198)"),238785)</f>
        <v>238785</v>
      </c>
      <c r="Q198" s="26">
        <f ca="1">IFERROR(__xludf.DUMMYFUNCTION("ROUND(GOOGLEFINANCE(""Currency:EURKZT"")*N198)"),238785)</f>
        <v>238785</v>
      </c>
      <c r="R198" s="26">
        <f t="shared" ca="1" si="4"/>
        <v>351014</v>
      </c>
      <c r="S198" s="26">
        <f t="shared" ca="1" si="5"/>
        <v>3753698</v>
      </c>
      <c r="T198" s="26">
        <f ca="1">IFERROR(__xludf.DUMMYFUNCTION("ROUND(GOOGLEFINANCE(""Currency:EURKZT"")*L198+S198)"),4309470)</f>
        <v>4309470</v>
      </c>
      <c r="U198" s="26">
        <f ca="1">IFERROR(__xludf.DUMMYFUNCTION("D198*GOOGLEFINANCE(""RUBKZT"")*1000/F198"),5290788.493656)</f>
        <v>5290788.4936560001</v>
      </c>
      <c r="V198" s="27">
        <f t="shared" ca="1" si="6"/>
        <v>0.22771210697742417</v>
      </c>
    </row>
    <row r="199" spans="1:22" ht="12.75" customHeight="1" x14ac:dyDescent="0.2">
      <c r="A199" s="6" t="s">
        <v>468</v>
      </c>
      <c r="B199" s="6" t="s">
        <v>505</v>
      </c>
      <c r="C199" s="7">
        <v>213837</v>
      </c>
      <c r="D199" s="8">
        <v>6524.4</v>
      </c>
      <c r="E199" s="9" t="s">
        <v>16</v>
      </c>
      <c r="F199" s="23">
        <f t="shared" si="200"/>
        <v>8</v>
      </c>
      <c r="G199" s="25"/>
      <c r="H199" s="14">
        <f t="shared" si="0"/>
        <v>0.55000000000000004</v>
      </c>
      <c r="I199" s="25">
        <f ca="1">IFERROR(__xludf.DUMMYFUNCTION("ROUND(D199*GOOGLEFINANCE(""RUBKZT"")*H199)"),28002)</f>
        <v>28002</v>
      </c>
      <c r="J199" s="26">
        <f ca="1">IFERROR(__xludf.DUMMYFUNCTION("ROUND(I199*GOOGLEFINANCE(""KZTEUR""))"),59)</f>
        <v>59</v>
      </c>
      <c r="K199" s="26">
        <f t="shared" ca="1" si="1"/>
        <v>7375</v>
      </c>
      <c r="L199" s="26">
        <f t="shared" ca="1" si="2"/>
        <v>1401.25</v>
      </c>
      <c r="M199" s="26">
        <f t="shared" ref="M199:N199" si="203">M$3</f>
        <v>500</v>
      </c>
      <c r="N199" s="26">
        <f t="shared" si="203"/>
        <v>500</v>
      </c>
      <c r="O199" s="26">
        <f ca="1">IFERROR(__xludf.DUMMYFUNCTION("ROUND(GOOGLEFINANCE(""Currency:EURKZT"")*K199)"),3522076)</f>
        <v>3522076</v>
      </c>
      <c r="P199" s="26">
        <f ca="1">IFERROR(__xludf.DUMMYFUNCTION("ROUND(GOOGLEFINANCE(""Currency:EURKZT"")*M199)"),238785)</f>
        <v>238785</v>
      </c>
      <c r="Q199" s="26">
        <f ca="1">IFERROR(__xludf.DUMMYFUNCTION("ROUND(GOOGLEFINANCE(""Currency:EURKZT"")*N199)"),238785)</f>
        <v>238785</v>
      </c>
      <c r="R199" s="26">
        <f t="shared" ca="1" si="4"/>
        <v>422649</v>
      </c>
      <c r="S199" s="26">
        <f t="shared" ca="1" si="5"/>
        <v>4422295</v>
      </c>
      <c r="T199" s="26">
        <f ca="1">IFERROR(__xludf.DUMMYFUNCTION("ROUND(GOOGLEFINANCE(""Currency:EURKZT"")*L199+S199)"),5091489)</f>
        <v>5091489</v>
      </c>
      <c r="U199" s="26">
        <f ca="1">IFERROR(__xludf.DUMMYFUNCTION("D199*GOOGLEFINANCE(""RUBKZT"")*1000/F199"),6364163.06194859)</f>
        <v>6364163.06194859</v>
      </c>
      <c r="V199" s="27">
        <f t="shared" ca="1" si="6"/>
        <v>0.24996107463820308</v>
      </c>
    </row>
    <row r="200" spans="1:22" ht="12.75" customHeight="1" x14ac:dyDescent="0.2">
      <c r="A200" s="6" t="s">
        <v>526</v>
      </c>
      <c r="B200" s="6" t="s">
        <v>505</v>
      </c>
      <c r="C200" s="7">
        <v>213869</v>
      </c>
      <c r="D200" s="8">
        <v>6757.2</v>
      </c>
      <c r="E200" s="9" t="s">
        <v>7</v>
      </c>
      <c r="F200" s="23">
        <f t="shared" si="200"/>
        <v>8</v>
      </c>
      <c r="G200" s="25"/>
      <c r="H200" s="14">
        <f t="shared" si="0"/>
        <v>0.55000000000000004</v>
      </c>
      <c r="I200" s="25">
        <f ca="1">IFERROR(__xludf.DUMMYFUNCTION("ROUND(D200*GOOGLEFINANCE(""RUBKZT"")*H200)"),29001)</f>
        <v>29001</v>
      </c>
      <c r="J200" s="26">
        <f ca="1">IFERROR(__xludf.DUMMYFUNCTION("ROUND(I200*GOOGLEFINANCE(""KZTEUR""))"),61)</f>
        <v>61</v>
      </c>
      <c r="K200" s="26">
        <f t="shared" ca="1" si="1"/>
        <v>7625</v>
      </c>
      <c r="L200" s="26">
        <f t="shared" ca="1" si="2"/>
        <v>1448.75</v>
      </c>
      <c r="M200" s="26">
        <f t="shared" ref="M200:N200" si="204">M$3</f>
        <v>500</v>
      </c>
      <c r="N200" s="26">
        <f t="shared" si="204"/>
        <v>500</v>
      </c>
      <c r="O200" s="26">
        <f ca="1">IFERROR(__xludf.DUMMYFUNCTION("ROUND(GOOGLEFINANCE(""Currency:EURKZT"")*K200)"),3641468)</f>
        <v>3641468</v>
      </c>
      <c r="P200" s="26">
        <f ca="1">IFERROR(__xludf.DUMMYFUNCTION("ROUND(GOOGLEFINANCE(""Currency:EURKZT"")*M200)"),238785)</f>
        <v>238785</v>
      </c>
      <c r="Q200" s="26">
        <f ca="1">IFERROR(__xludf.DUMMYFUNCTION("ROUND(GOOGLEFINANCE(""Currency:EURKZT"")*N200)"),238785)</f>
        <v>238785</v>
      </c>
      <c r="R200" s="26">
        <f t="shared" ca="1" si="4"/>
        <v>436976</v>
      </c>
      <c r="S200" s="26">
        <f t="shared" ca="1" si="5"/>
        <v>4556014</v>
      </c>
      <c r="T200" s="26">
        <f ca="1">IFERROR(__xludf.DUMMYFUNCTION("ROUND(GOOGLEFINANCE(""Currency:EURKZT"")*L200+S200)"),5247893)</f>
        <v>5247893</v>
      </c>
      <c r="U200" s="26">
        <f ca="1">IFERROR(__xludf.DUMMYFUNCTION("D200*GOOGLEFINANCE(""RUBKZT"")*1000/F200"),6591245.5769418)</f>
        <v>6591245.5769418003</v>
      </c>
      <c r="V200" s="27">
        <f t="shared" ca="1" si="6"/>
        <v>0.2559794143938911</v>
      </c>
    </row>
    <row r="201" spans="1:22" ht="12.75" customHeight="1" x14ac:dyDescent="0.2">
      <c r="A201" s="6" t="s">
        <v>556</v>
      </c>
      <c r="B201" s="6" t="s">
        <v>505</v>
      </c>
      <c r="C201" s="7">
        <v>213955</v>
      </c>
      <c r="D201" s="8">
        <v>5784</v>
      </c>
      <c r="E201" s="9" t="s">
        <v>7</v>
      </c>
      <c r="F201" s="23">
        <f t="shared" si="200"/>
        <v>8</v>
      </c>
      <c r="G201" s="25"/>
      <c r="H201" s="14">
        <f t="shared" si="0"/>
        <v>0.55000000000000004</v>
      </c>
      <c r="I201" s="25">
        <f ca="1">IFERROR(__xludf.DUMMYFUNCTION("ROUND(D201*GOOGLEFINANCE(""RUBKZT"")*H201)"),24825)</f>
        <v>24825</v>
      </c>
      <c r="J201" s="26">
        <f ca="1">IFERROR(__xludf.DUMMYFUNCTION("ROUND(I201*GOOGLEFINANCE(""KZTEUR""))"),52)</f>
        <v>52</v>
      </c>
      <c r="K201" s="26">
        <f t="shared" ca="1" si="1"/>
        <v>6500</v>
      </c>
      <c r="L201" s="26">
        <f t="shared" ca="1" si="2"/>
        <v>1235</v>
      </c>
      <c r="M201" s="26">
        <f t="shared" ref="M201:N201" si="205">M$3</f>
        <v>500</v>
      </c>
      <c r="N201" s="26">
        <f t="shared" si="205"/>
        <v>500</v>
      </c>
      <c r="O201" s="26">
        <f ca="1">IFERROR(__xludf.DUMMYFUNCTION("ROUND(GOOGLEFINANCE(""Currency:EURKZT"")*K201)"),3104202)</f>
        <v>3104202</v>
      </c>
      <c r="P201" s="26">
        <f ca="1">IFERROR(__xludf.DUMMYFUNCTION("ROUND(GOOGLEFINANCE(""Currency:EURKZT"")*M201)"),238785)</f>
        <v>238785</v>
      </c>
      <c r="Q201" s="26">
        <f ca="1">IFERROR(__xludf.DUMMYFUNCTION("ROUND(GOOGLEFINANCE(""Currency:EURKZT"")*N201)"),238785)</f>
        <v>238785</v>
      </c>
      <c r="R201" s="26">
        <f t="shared" ca="1" si="4"/>
        <v>372504</v>
      </c>
      <c r="S201" s="26">
        <f t="shared" ca="1" si="5"/>
        <v>3954276</v>
      </c>
      <c r="T201" s="26">
        <f ca="1">IFERROR(__xludf.DUMMYFUNCTION("ROUND(GOOGLEFINANCE(""Currency:EURKZT"")*L201+S201)"),4544074)</f>
        <v>4544074</v>
      </c>
      <c r="U201" s="26">
        <f ca="1">IFERROR(__xludf.DUMMYFUNCTION("D201*GOOGLEFINANCE(""RUBKZT"")*1000/F201"),5641947.021996)</f>
        <v>5641947.0219959999</v>
      </c>
      <c r="V201" s="27">
        <f t="shared" ca="1" si="6"/>
        <v>0.24160544524494976</v>
      </c>
    </row>
    <row r="202" spans="1:22" ht="12.75" customHeight="1" x14ac:dyDescent="0.2">
      <c r="A202" s="6" t="s">
        <v>562</v>
      </c>
      <c r="B202" s="6" t="s">
        <v>505</v>
      </c>
      <c r="C202" s="7">
        <v>213964</v>
      </c>
      <c r="D202" s="8">
        <v>5553.5999999999995</v>
      </c>
      <c r="E202" s="9" t="s">
        <v>7</v>
      </c>
      <c r="F202" s="23">
        <f t="shared" si="200"/>
        <v>8</v>
      </c>
      <c r="G202" s="25"/>
      <c r="H202" s="14">
        <f t="shared" si="0"/>
        <v>0.55000000000000004</v>
      </c>
      <c r="I202" s="25">
        <f ca="1">IFERROR(__xludf.DUMMYFUNCTION("ROUND(D202*GOOGLEFINANCE(""RUBKZT"")*H202)"),23836)</f>
        <v>23836</v>
      </c>
      <c r="J202" s="26">
        <f ca="1">IFERROR(__xludf.DUMMYFUNCTION("ROUND(I202*GOOGLEFINANCE(""KZTEUR""))"),50)</f>
        <v>50</v>
      </c>
      <c r="K202" s="26">
        <f t="shared" ca="1" si="1"/>
        <v>6250</v>
      </c>
      <c r="L202" s="26">
        <f t="shared" ca="1" si="2"/>
        <v>1187.5</v>
      </c>
      <c r="M202" s="26">
        <f t="shared" ref="M202:N202" si="206">M$3</f>
        <v>500</v>
      </c>
      <c r="N202" s="26">
        <f t="shared" si="206"/>
        <v>500</v>
      </c>
      <c r="O202" s="26">
        <f ca="1">IFERROR(__xludf.DUMMYFUNCTION("ROUND(GOOGLEFINANCE(""Currency:EURKZT"")*K202)"),2984810)</f>
        <v>2984810</v>
      </c>
      <c r="P202" s="26">
        <f ca="1">IFERROR(__xludf.DUMMYFUNCTION("ROUND(GOOGLEFINANCE(""Currency:EURKZT"")*M202)"),238785)</f>
        <v>238785</v>
      </c>
      <c r="Q202" s="26">
        <f ca="1">IFERROR(__xludf.DUMMYFUNCTION("ROUND(GOOGLEFINANCE(""Currency:EURKZT"")*N202)"),238785)</f>
        <v>238785</v>
      </c>
      <c r="R202" s="26">
        <f t="shared" ca="1" si="4"/>
        <v>358177</v>
      </c>
      <c r="S202" s="26">
        <f t="shared" ca="1" si="5"/>
        <v>3820557</v>
      </c>
      <c r="T202" s="26">
        <f ca="1">IFERROR(__xludf.DUMMYFUNCTION("ROUND(GOOGLEFINANCE(""Currency:EURKZT"")*L202+S202)"),4387671)</f>
        <v>4387671</v>
      </c>
      <c r="U202" s="26">
        <f ca="1">IFERROR(__xludf.DUMMYFUNCTION("D202*GOOGLEFINANCE(""RUBKZT"")*1000/F202"),5417205.5638584)</f>
        <v>5417205.5638584001</v>
      </c>
      <c r="V202" s="27">
        <f t="shared" ca="1" si="6"/>
        <v>0.23464260740114745</v>
      </c>
    </row>
    <row r="203" spans="1:22" ht="12.75" customHeight="1" x14ac:dyDescent="0.2">
      <c r="A203" s="6" t="s">
        <v>563</v>
      </c>
      <c r="B203" s="6" t="s">
        <v>505</v>
      </c>
      <c r="C203" s="7">
        <v>213965</v>
      </c>
      <c r="D203" s="8">
        <v>5410.8</v>
      </c>
      <c r="E203" s="9" t="s">
        <v>7</v>
      </c>
      <c r="F203" s="23">
        <f t="shared" si="200"/>
        <v>8</v>
      </c>
      <c r="G203" s="25"/>
      <c r="H203" s="14">
        <f t="shared" si="0"/>
        <v>0.55000000000000004</v>
      </c>
      <c r="I203" s="25">
        <f ca="1">IFERROR(__xludf.DUMMYFUNCTION("ROUND(D203*GOOGLEFINANCE(""RUBKZT"")*H203)"),23223)</f>
        <v>23223</v>
      </c>
      <c r="J203" s="26">
        <f ca="1">IFERROR(__xludf.DUMMYFUNCTION("ROUND(I203*GOOGLEFINANCE(""KZTEUR""))"),49)</f>
        <v>49</v>
      </c>
      <c r="K203" s="26">
        <f t="shared" ca="1" si="1"/>
        <v>6125</v>
      </c>
      <c r="L203" s="26">
        <f t="shared" ca="1" si="2"/>
        <v>1163.75</v>
      </c>
      <c r="M203" s="26">
        <f t="shared" ref="M203:N203" si="207">M$3</f>
        <v>500</v>
      </c>
      <c r="N203" s="26">
        <f t="shared" si="207"/>
        <v>500</v>
      </c>
      <c r="O203" s="26">
        <f ca="1">IFERROR(__xludf.DUMMYFUNCTION("ROUND(GOOGLEFINANCE(""Currency:EURKZT"")*K203)"),2925114)</f>
        <v>2925114</v>
      </c>
      <c r="P203" s="26">
        <f ca="1">IFERROR(__xludf.DUMMYFUNCTION("ROUND(GOOGLEFINANCE(""Currency:EURKZT"")*M203)"),238785)</f>
        <v>238785</v>
      </c>
      <c r="Q203" s="26">
        <f ca="1">IFERROR(__xludf.DUMMYFUNCTION("ROUND(GOOGLEFINANCE(""Currency:EURKZT"")*N203)"),238785)</f>
        <v>238785</v>
      </c>
      <c r="R203" s="26">
        <f t="shared" ca="1" si="4"/>
        <v>351014</v>
      </c>
      <c r="S203" s="26">
        <f t="shared" ca="1" si="5"/>
        <v>3753698</v>
      </c>
      <c r="T203" s="26">
        <f ca="1">IFERROR(__xludf.DUMMYFUNCTION("ROUND(GOOGLEFINANCE(""Currency:EURKZT"")*L203+S203)"),4309470)</f>
        <v>4309470</v>
      </c>
      <c r="U203" s="26">
        <f ca="1">IFERROR(__xludf.DUMMYFUNCTION("D203*GOOGLEFINANCE(""RUBKZT"")*1000/F203"),5277912.6809502)</f>
        <v>5277912.6809502002</v>
      </c>
      <c r="V203" s="27">
        <f t="shared" ca="1" si="6"/>
        <v>0.22472431202681539</v>
      </c>
    </row>
    <row r="204" spans="1:22" ht="12.75" customHeight="1" x14ac:dyDescent="0.2">
      <c r="A204" s="6" t="s">
        <v>564</v>
      </c>
      <c r="B204" s="6" t="s">
        <v>505</v>
      </c>
      <c r="C204" s="7">
        <v>213966</v>
      </c>
      <c r="D204" s="8">
        <v>7896</v>
      </c>
      <c r="E204" s="9" t="s">
        <v>7</v>
      </c>
      <c r="F204" s="23">
        <f t="shared" si="200"/>
        <v>8</v>
      </c>
      <c r="G204" s="25"/>
      <c r="H204" s="14">
        <f t="shared" si="0"/>
        <v>0.55000000000000004</v>
      </c>
      <c r="I204" s="25">
        <f ca="1">IFERROR(__xludf.DUMMYFUNCTION("ROUND(D204*GOOGLEFINANCE(""RUBKZT"")*H204)"),33889)</f>
        <v>33889</v>
      </c>
      <c r="J204" s="26">
        <f ca="1">IFERROR(__xludf.DUMMYFUNCTION("ROUND(I204*GOOGLEFINANCE(""KZTEUR""))"),71)</f>
        <v>71</v>
      </c>
      <c r="K204" s="26">
        <f t="shared" ca="1" si="1"/>
        <v>8875</v>
      </c>
      <c r="L204" s="26">
        <f t="shared" ca="1" si="2"/>
        <v>1686.25</v>
      </c>
      <c r="M204" s="26">
        <f t="shared" ref="M204:N204" si="208">M$3</f>
        <v>500</v>
      </c>
      <c r="N204" s="26">
        <f t="shared" si="208"/>
        <v>500</v>
      </c>
      <c r="O204" s="26">
        <f ca="1">IFERROR(__xludf.DUMMYFUNCTION("ROUND(GOOGLEFINANCE(""Currency:EURKZT"")*K204)"),4238430)</f>
        <v>4238430</v>
      </c>
      <c r="P204" s="26">
        <f ca="1">IFERROR(__xludf.DUMMYFUNCTION("ROUND(GOOGLEFINANCE(""Currency:EURKZT"")*M204)"),238785)</f>
        <v>238785</v>
      </c>
      <c r="Q204" s="26">
        <f ca="1">IFERROR(__xludf.DUMMYFUNCTION("ROUND(GOOGLEFINANCE(""Currency:EURKZT"")*N204)"),238785)</f>
        <v>238785</v>
      </c>
      <c r="R204" s="26">
        <f t="shared" ca="1" si="4"/>
        <v>508612</v>
      </c>
      <c r="S204" s="26">
        <f t="shared" ca="1" si="5"/>
        <v>5224612</v>
      </c>
      <c r="T204" s="26">
        <f ca="1">IFERROR(__xludf.DUMMYFUNCTION("ROUND(GOOGLEFINANCE(""Currency:EURKZT"")*L204+S204)"),6029914)</f>
        <v>6029914</v>
      </c>
      <c r="U204" s="26">
        <f ca="1">IFERROR(__xludf.DUMMYFUNCTION("D204*GOOGLEFINANCE(""RUBKZT"")*1000/F204"),7702077.054924)</f>
        <v>7702077.0549240001</v>
      </c>
      <c r="V204" s="27">
        <f t="shared" ca="1" si="6"/>
        <v>0.27731126097718806</v>
      </c>
    </row>
    <row r="205" spans="1:22" ht="12.75" customHeight="1" x14ac:dyDescent="0.2">
      <c r="A205" s="6" t="s">
        <v>565</v>
      </c>
      <c r="B205" s="6" t="s">
        <v>505</v>
      </c>
      <c r="C205" s="7">
        <v>213967</v>
      </c>
      <c r="D205" s="8">
        <v>7842</v>
      </c>
      <c r="E205" s="9" t="s">
        <v>7</v>
      </c>
      <c r="F205" s="23">
        <f t="shared" si="200"/>
        <v>8</v>
      </c>
      <c r="G205" s="25"/>
      <c r="H205" s="14">
        <f t="shared" si="0"/>
        <v>0.55000000000000004</v>
      </c>
      <c r="I205" s="25">
        <f ca="1">IFERROR(__xludf.DUMMYFUNCTION("ROUND(D205*GOOGLEFINANCE(""RUBKZT"")*H205)"),33657)</f>
        <v>33657</v>
      </c>
      <c r="J205" s="26">
        <f ca="1">IFERROR(__xludf.DUMMYFUNCTION("ROUND(I205*GOOGLEFINANCE(""KZTEUR""))"),70)</f>
        <v>70</v>
      </c>
      <c r="K205" s="26">
        <f t="shared" ca="1" si="1"/>
        <v>8750</v>
      </c>
      <c r="L205" s="26">
        <f t="shared" ca="1" si="2"/>
        <v>1662.5</v>
      </c>
      <c r="M205" s="26">
        <f t="shared" ref="M205:N205" si="209">M$3</f>
        <v>500</v>
      </c>
      <c r="N205" s="26">
        <f t="shared" si="209"/>
        <v>500</v>
      </c>
      <c r="O205" s="26">
        <f ca="1">IFERROR(__xludf.DUMMYFUNCTION("ROUND(GOOGLEFINANCE(""Currency:EURKZT"")*K205)"),4178734)</f>
        <v>4178734</v>
      </c>
      <c r="P205" s="26">
        <f ca="1">IFERROR(__xludf.DUMMYFUNCTION("ROUND(GOOGLEFINANCE(""Currency:EURKZT"")*M205)"),238785)</f>
        <v>238785</v>
      </c>
      <c r="Q205" s="26">
        <f ca="1">IFERROR(__xludf.DUMMYFUNCTION("ROUND(GOOGLEFINANCE(""Currency:EURKZT"")*N205)"),238785)</f>
        <v>238785</v>
      </c>
      <c r="R205" s="26">
        <f t="shared" ca="1" si="4"/>
        <v>501448</v>
      </c>
      <c r="S205" s="26">
        <f t="shared" ca="1" si="5"/>
        <v>5157752</v>
      </c>
      <c r="T205" s="26">
        <f ca="1">IFERROR(__xludf.DUMMYFUNCTION("ROUND(GOOGLEFINANCE(""Currency:EURKZT"")*L205+S205)"),5951711)</f>
        <v>5951711</v>
      </c>
      <c r="U205" s="26">
        <f ca="1">IFERROR(__xludf.DUMMYFUNCTION("D205*GOOGLEFINANCE(""RUBKZT"")*1000/F205"),7649403.275673)</f>
        <v>7649403.2756730001</v>
      </c>
      <c r="V205" s="27">
        <f t="shared" ca="1" si="6"/>
        <v>0.28524440714157662</v>
      </c>
    </row>
    <row r="206" spans="1:22" ht="12.75" customHeight="1" x14ac:dyDescent="0.2">
      <c r="A206" s="6" t="s">
        <v>566</v>
      </c>
      <c r="B206" s="6" t="s">
        <v>505</v>
      </c>
      <c r="C206" s="7">
        <v>213968</v>
      </c>
      <c r="D206" s="8">
        <v>8065.2</v>
      </c>
      <c r="E206" s="9" t="s">
        <v>7</v>
      </c>
      <c r="F206" s="23">
        <f t="shared" si="200"/>
        <v>8</v>
      </c>
      <c r="G206" s="25"/>
      <c r="H206" s="14">
        <f t="shared" si="0"/>
        <v>0.55000000000000004</v>
      </c>
      <c r="I206" s="25">
        <f ca="1">IFERROR(__xludf.DUMMYFUNCTION("ROUND(D206*GOOGLEFINANCE(""RUBKZT"")*H206)"),34615)</f>
        <v>34615</v>
      </c>
      <c r="J206" s="26">
        <f ca="1">IFERROR(__xludf.DUMMYFUNCTION("ROUND(I206*GOOGLEFINANCE(""KZTEUR""))"),72)</f>
        <v>72</v>
      </c>
      <c r="K206" s="26">
        <f t="shared" ca="1" si="1"/>
        <v>9000</v>
      </c>
      <c r="L206" s="26">
        <f t="shared" ca="1" si="2"/>
        <v>1710</v>
      </c>
      <c r="M206" s="26">
        <f t="shared" ref="M206:N206" si="210">M$3</f>
        <v>500</v>
      </c>
      <c r="N206" s="26">
        <f t="shared" si="210"/>
        <v>500</v>
      </c>
      <c r="O206" s="26">
        <f ca="1">IFERROR(__xludf.DUMMYFUNCTION("ROUND(GOOGLEFINANCE(""Currency:EURKZT"")*K206)"),4298127)</f>
        <v>4298127</v>
      </c>
      <c r="P206" s="26">
        <f ca="1">IFERROR(__xludf.DUMMYFUNCTION("ROUND(GOOGLEFINANCE(""Currency:EURKZT"")*M206)"),238785)</f>
        <v>238785</v>
      </c>
      <c r="Q206" s="26">
        <f ca="1">IFERROR(__xludf.DUMMYFUNCTION("ROUND(GOOGLEFINANCE(""Currency:EURKZT"")*N206)"),238785)</f>
        <v>238785</v>
      </c>
      <c r="R206" s="26">
        <f t="shared" ca="1" si="4"/>
        <v>515775</v>
      </c>
      <c r="S206" s="26">
        <f t="shared" ca="1" si="5"/>
        <v>5291472</v>
      </c>
      <c r="T206" s="26">
        <f ca="1">IFERROR(__xludf.DUMMYFUNCTION("ROUND(GOOGLEFINANCE(""Currency:EURKZT"")*L206+S206)"),6108116)</f>
        <v>6108116</v>
      </c>
      <c r="U206" s="26">
        <f ca="1">IFERROR(__xludf.DUMMYFUNCTION("D206*GOOGLEFINANCE(""RUBKZT"")*1000/F206"),7867121.5632438)</f>
        <v>7867121.5632437998</v>
      </c>
      <c r="V206" s="27">
        <f t="shared" ca="1" si="6"/>
        <v>0.28797841482444009</v>
      </c>
    </row>
    <row r="207" spans="1:22" ht="12.75" customHeight="1" x14ac:dyDescent="0.2">
      <c r="A207" s="6" t="s">
        <v>567</v>
      </c>
      <c r="B207" s="6" t="s">
        <v>505</v>
      </c>
      <c r="C207" s="7">
        <v>213969</v>
      </c>
      <c r="D207" s="8">
        <v>8311.1999999999989</v>
      </c>
      <c r="E207" s="9" t="s">
        <v>7</v>
      </c>
      <c r="F207" s="23">
        <f t="shared" si="200"/>
        <v>8</v>
      </c>
      <c r="G207" s="25"/>
      <c r="H207" s="14">
        <f t="shared" si="0"/>
        <v>0.55000000000000004</v>
      </c>
      <c r="I207" s="25">
        <f ca="1">IFERROR(__xludf.DUMMYFUNCTION("ROUND(D207*GOOGLEFINANCE(""RUBKZT"")*H207)"),35671)</f>
        <v>35671</v>
      </c>
      <c r="J207" s="26">
        <f ca="1">IFERROR(__xludf.DUMMYFUNCTION("ROUND(I207*GOOGLEFINANCE(""KZTEUR""))"),75)</f>
        <v>75</v>
      </c>
      <c r="K207" s="26">
        <f t="shared" ca="1" si="1"/>
        <v>9375</v>
      </c>
      <c r="L207" s="26">
        <f t="shared" ca="1" si="2"/>
        <v>1781.25</v>
      </c>
      <c r="M207" s="26">
        <f t="shared" ref="M207:N207" si="211">M$3</f>
        <v>500</v>
      </c>
      <c r="N207" s="26">
        <f t="shared" si="211"/>
        <v>500</v>
      </c>
      <c r="O207" s="26">
        <f ca="1">IFERROR(__xludf.DUMMYFUNCTION("ROUND(GOOGLEFINANCE(""Currency:EURKZT"")*K207)"),4477215)</f>
        <v>4477215</v>
      </c>
      <c r="P207" s="26">
        <f ca="1">IFERROR(__xludf.DUMMYFUNCTION("ROUND(GOOGLEFINANCE(""Currency:EURKZT"")*M207)"),238785)</f>
        <v>238785</v>
      </c>
      <c r="Q207" s="26">
        <f ca="1">IFERROR(__xludf.DUMMYFUNCTION("ROUND(GOOGLEFINANCE(""Currency:EURKZT"")*N207)"),238785)</f>
        <v>238785</v>
      </c>
      <c r="R207" s="26">
        <f t="shared" ca="1" si="4"/>
        <v>537266</v>
      </c>
      <c r="S207" s="26">
        <f t="shared" ca="1" si="5"/>
        <v>5492051</v>
      </c>
      <c r="T207" s="26">
        <f ca="1">IFERROR(__xludf.DUMMYFUNCTION("ROUND(GOOGLEFINANCE(""Currency:EURKZT"")*L207+S207)"),6342722)</f>
        <v>6342722</v>
      </c>
      <c r="U207" s="26">
        <f ca="1">IFERROR(__xludf.DUMMYFUNCTION("D207*GOOGLEFINANCE(""RUBKZT"")*1000/F207"),8107079.8909428)</f>
        <v>8107079.8909427999</v>
      </c>
      <c r="V207" s="27">
        <f t="shared" ca="1" si="6"/>
        <v>0.27817045914085464</v>
      </c>
    </row>
    <row r="208" spans="1:22" ht="12.75" customHeight="1" x14ac:dyDescent="0.2">
      <c r="A208" s="6" t="s">
        <v>568</v>
      </c>
      <c r="B208" s="6" t="s">
        <v>505</v>
      </c>
      <c r="C208" s="7">
        <v>213970</v>
      </c>
      <c r="D208" s="8">
        <v>7206</v>
      </c>
      <c r="E208" s="9" t="s">
        <v>7</v>
      </c>
      <c r="F208" s="23">
        <f t="shared" si="200"/>
        <v>8</v>
      </c>
      <c r="G208" s="25"/>
      <c r="H208" s="14">
        <f t="shared" si="0"/>
        <v>0.55000000000000004</v>
      </c>
      <c r="I208" s="25">
        <f ca="1">IFERROR(__xludf.DUMMYFUNCTION("ROUND(D208*GOOGLEFINANCE(""RUBKZT"")*H208)"),30928)</f>
        <v>30928</v>
      </c>
      <c r="J208" s="26">
        <f ca="1">IFERROR(__xludf.DUMMYFUNCTION("ROUND(I208*GOOGLEFINANCE(""KZTEUR""))"),65)</f>
        <v>65</v>
      </c>
      <c r="K208" s="26">
        <f t="shared" ca="1" si="1"/>
        <v>8125</v>
      </c>
      <c r="L208" s="26">
        <f t="shared" ca="1" si="2"/>
        <v>1543.75</v>
      </c>
      <c r="M208" s="26">
        <f t="shared" ref="M208:N208" si="212">M$3</f>
        <v>500</v>
      </c>
      <c r="N208" s="26">
        <f t="shared" si="212"/>
        <v>500</v>
      </c>
      <c r="O208" s="26">
        <f ca="1">IFERROR(__xludf.DUMMYFUNCTION("ROUND(GOOGLEFINANCE(""Currency:EURKZT"")*K208)"),3880253)</f>
        <v>3880253</v>
      </c>
      <c r="P208" s="26">
        <f ca="1">IFERROR(__xludf.DUMMYFUNCTION("ROUND(GOOGLEFINANCE(""Currency:EURKZT"")*M208)"),238785)</f>
        <v>238785</v>
      </c>
      <c r="Q208" s="26">
        <f ca="1">IFERROR(__xludf.DUMMYFUNCTION("ROUND(GOOGLEFINANCE(""Currency:EURKZT"")*N208)"),238785)</f>
        <v>238785</v>
      </c>
      <c r="R208" s="26">
        <f t="shared" ca="1" si="4"/>
        <v>465630</v>
      </c>
      <c r="S208" s="26">
        <f t="shared" ca="1" si="5"/>
        <v>4823453</v>
      </c>
      <c r="T208" s="26">
        <f ca="1">IFERROR(__xludf.DUMMYFUNCTION("ROUND(GOOGLEFINANCE(""Currency:EURKZT"")*L208+S208)"),5560701)</f>
        <v>5560701</v>
      </c>
      <c r="U208" s="26">
        <f ca="1">IFERROR(__xludf.DUMMYFUNCTION("D208*GOOGLEFINANCE(""RUBKZT"")*1000/F208"),7029023.208939)</f>
        <v>7029023.208939</v>
      </c>
      <c r="V208" s="27">
        <f t="shared" ca="1" si="6"/>
        <v>0.2640534365971125</v>
      </c>
    </row>
    <row r="209" spans="1:22" ht="12.75" customHeight="1" x14ac:dyDescent="0.2">
      <c r="A209" s="6" t="s">
        <v>571</v>
      </c>
      <c r="B209" s="6" t="s">
        <v>505</v>
      </c>
      <c r="C209" s="7">
        <v>213985</v>
      </c>
      <c r="D209" s="8">
        <v>8912.4</v>
      </c>
      <c r="E209" s="9" t="s">
        <v>7</v>
      </c>
      <c r="F209" s="23">
        <f t="shared" si="200"/>
        <v>8</v>
      </c>
      <c r="G209" s="25"/>
      <c r="H209" s="14">
        <f t="shared" si="0"/>
        <v>0.55000000000000004</v>
      </c>
      <c r="I209" s="25">
        <f ca="1">IFERROR(__xludf.DUMMYFUNCTION("ROUND(D209*GOOGLEFINANCE(""RUBKZT"")*H209)"),38251)</f>
        <v>38251</v>
      </c>
      <c r="J209" s="26">
        <f ca="1">IFERROR(__xludf.DUMMYFUNCTION("ROUND(I209*GOOGLEFINANCE(""KZTEUR""))"),80)</f>
        <v>80</v>
      </c>
      <c r="K209" s="26">
        <f t="shared" ca="1" si="1"/>
        <v>10000</v>
      </c>
      <c r="L209" s="26">
        <f t="shared" ca="1" si="2"/>
        <v>1900</v>
      </c>
      <c r="M209" s="26">
        <f t="shared" ref="M209:N209" si="213">M$3</f>
        <v>500</v>
      </c>
      <c r="N209" s="26">
        <f t="shared" si="213"/>
        <v>500</v>
      </c>
      <c r="O209" s="26">
        <f ca="1">IFERROR(__xludf.DUMMYFUNCTION("ROUND(GOOGLEFINANCE(""Currency:EURKZT"")*K209)"),4775696)</f>
        <v>4775696</v>
      </c>
      <c r="P209" s="26">
        <f ca="1">IFERROR(__xludf.DUMMYFUNCTION("ROUND(GOOGLEFINANCE(""Currency:EURKZT"")*M209)"),238785)</f>
        <v>238785</v>
      </c>
      <c r="Q209" s="26">
        <f ca="1">IFERROR(__xludf.DUMMYFUNCTION("ROUND(GOOGLEFINANCE(""Currency:EURKZT"")*N209)"),238785)</f>
        <v>238785</v>
      </c>
      <c r="R209" s="26">
        <f t="shared" ca="1" si="4"/>
        <v>573084</v>
      </c>
      <c r="S209" s="26">
        <f t="shared" ca="1" si="5"/>
        <v>5826350</v>
      </c>
      <c r="T209" s="26">
        <f ca="1">IFERROR(__xludf.DUMMYFUNCTION("ROUND(GOOGLEFINANCE(""Currency:EURKZT"")*L209+S209)"),6733732)</f>
        <v>6733732</v>
      </c>
      <c r="U209" s="26">
        <f ca="1">IFERROR(__xludf.DUMMYFUNCTION("D209*GOOGLEFINANCE(""RUBKZT"")*1000/F209"),8693514.6332706)</f>
        <v>8693514.6332706008</v>
      </c>
      <c r="V209" s="27">
        <f t="shared" ca="1" si="6"/>
        <v>0.29103959487407588</v>
      </c>
    </row>
    <row r="210" spans="1:22" ht="12.75" customHeight="1" x14ac:dyDescent="0.2">
      <c r="A210" s="6" t="s">
        <v>576</v>
      </c>
      <c r="B210" s="6" t="s">
        <v>505</v>
      </c>
      <c r="C210" s="7">
        <v>213990</v>
      </c>
      <c r="D210" s="8">
        <v>9879.6</v>
      </c>
      <c r="E210" s="9" t="s">
        <v>7</v>
      </c>
      <c r="F210" s="23">
        <f t="shared" si="200"/>
        <v>8</v>
      </c>
      <c r="G210" s="25"/>
      <c r="H210" s="14">
        <f t="shared" si="0"/>
        <v>0.55000000000000004</v>
      </c>
      <c r="I210" s="25">
        <f ca="1">IFERROR(__xludf.DUMMYFUNCTION("ROUND(D210*GOOGLEFINANCE(""RUBKZT"")*H210)"),42403)</f>
        <v>42403</v>
      </c>
      <c r="J210" s="26">
        <f ca="1">IFERROR(__xludf.DUMMYFUNCTION("ROUND(I210*GOOGLEFINANCE(""KZTEUR""))"),89)</f>
        <v>89</v>
      </c>
      <c r="K210" s="26">
        <f t="shared" ca="1" si="1"/>
        <v>11125</v>
      </c>
      <c r="L210" s="26">
        <f t="shared" ca="1" si="2"/>
        <v>2113.75</v>
      </c>
      <c r="M210" s="26">
        <f t="shared" ref="M210:N210" si="214">M$3</f>
        <v>500</v>
      </c>
      <c r="N210" s="26">
        <f t="shared" si="214"/>
        <v>500</v>
      </c>
      <c r="O210" s="26">
        <f ca="1">IFERROR(__xludf.DUMMYFUNCTION("ROUND(GOOGLEFINANCE(""Currency:EURKZT"")*K210)"),5312962)</f>
        <v>5312962</v>
      </c>
      <c r="P210" s="26">
        <f ca="1">IFERROR(__xludf.DUMMYFUNCTION("ROUND(GOOGLEFINANCE(""Currency:EURKZT"")*M210)"),238785)</f>
        <v>238785</v>
      </c>
      <c r="Q210" s="26">
        <f ca="1">IFERROR(__xludf.DUMMYFUNCTION("ROUND(GOOGLEFINANCE(""Currency:EURKZT"")*N210)"),238785)</f>
        <v>238785</v>
      </c>
      <c r="R210" s="26">
        <f t="shared" ca="1" si="4"/>
        <v>637555</v>
      </c>
      <c r="S210" s="26">
        <f t="shared" ca="1" si="5"/>
        <v>6428087</v>
      </c>
      <c r="T210" s="26">
        <f ca="1">IFERROR(__xludf.DUMMYFUNCTION("ROUND(GOOGLEFINANCE(""Currency:EURKZT"")*L210+S210)"),7437550)</f>
        <v>7437550</v>
      </c>
      <c r="U210" s="26">
        <f ca="1">IFERROR(__xludf.DUMMYFUNCTION("D210*GOOGLEFINANCE(""RUBKZT"")*1000/F210"),9636960.5460774)</f>
        <v>9636960.5460774004</v>
      </c>
      <c r="V210" s="27">
        <f t="shared" ca="1" si="6"/>
        <v>0.29571707700484706</v>
      </c>
    </row>
    <row r="211" spans="1:22" ht="12.75" customHeight="1" x14ac:dyDescent="0.2">
      <c r="A211" s="6" t="s">
        <v>525</v>
      </c>
      <c r="B211" s="6" t="s">
        <v>505</v>
      </c>
      <c r="C211" s="7">
        <v>213996</v>
      </c>
      <c r="D211" s="8">
        <v>5958</v>
      </c>
      <c r="E211" s="9" t="s">
        <v>7</v>
      </c>
      <c r="F211" s="23">
        <f t="shared" si="200"/>
        <v>8</v>
      </c>
      <c r="G211" s="25"/>
      <c r="H211" s="14">
        <f t="shared" si="0"/>
        <v>0.55000000000000004</v>
      </c>
      <c r="I211" s="25">
        <f ca="1">IFERROR(__xludf.DUMMYFUNCTION("ROUND(D211*GOOGLEFINANCE(""RUBKZT"")*H211)"),25571)</f>
        <v>25571</v>
      </c>
      <c r="J211" s="26">
        <f ca="1">IFERROR(__xludf.DUMMYFUNCTION("ROUND(I211*GOOGLEFINANCE(""KZTEUR""))"),54)</f>
        <v>54</v>
      </c>
      <c r="K211" s="26">
        <f t="shared" ca="1" si="1"/>
        <v>6750</v>
      </c>
      <c r="L211" s="26">
        <f t="shared" ca="1" si="2"/>
        <v>1282.5</v>
      </c>
      <c r="M211" s="26">
        <f t="shared" ref="M211:N211" si="215">M$3</f>
        <v>500</v>
      </c>
      <c r="N211" s="26">
        <f t="shared" si="215"/>
        <v>500</v>
      </c>
      <c r="O211" s="26">
        <f ca="1">IFERROR(__xludf.DUMMYFUNCTION("ROUND(GOOGLEFINANCE(""Currency:EURKZT"")*K211)"),3223595)</f>
        <v>3223595</v>
      </c>
      <c r="P211" s="26">
        <f ca="1">IFERROR(__xludf.DUMMYFUNCTION("ROUND(GOOGLEFINANCE(""Currency:EURKZT"")*M211)"),238785)</f>
        <v>238785</v>
      </c>
      <c r="Q211" s="26">
        <f ca="1">IFERROR(__xludf.DUMMYFUNCTION("ROUND(GOOGLEFINANCE(""Currency:EURKZT"")*N211)"),238785)</f>
        <v>238785</v>
      </c>
      <c r="R211" s="26">
        <f t="shared" ca="1" si="4"/>
        <v>386831</v>
      </c>
      <c r="S211" s="26">
        <f t="shared" ca="1" si="5"/>
        <v>4087996</v>
      </c>
      <c r="T211" s="26">
        <f ca="1">IFERROR(__xludf.DUMMYFUNCTION("ROUND(GOOGLEFINANCE(""Currency:EURKZT"")*L211+S211)"),4700479)</f>
        <v>4700479</v>
      </c>
      <c r="U211" s="26">
        <f ca="1">IFERROR(__xludf.DUMMYFUNCTION("D211*GOOGLEFINANCE(""RUBKZT"")*1000/F211"),5811673.644027)</f>
        <v>5811673.6440270003</v>
      </c>
      <c r="V211" s="27">
        <f t="shared" ca="1" si="6"/>
        <v>0.23640029963478196</v>
      </c>
    </row>
    <row r="212" spans="1:22" ht="12.75" customHeight="1" x14ac:dyDescent="0.2">
      <c r="A212" s="6" t="s">
        <v>282</v>
      </c>
      <c r="B212" s="6" t="s">
        <v>283</v>
      </c>
      <c r="C212" s="7">
        <v>178225</v>
      </c>
      <c r="D212" s="8">
        <v>17276.399999999998</v>
      </c>
      <c r="E212" s="9" t="s">
        <v>16</v>
      </c>
      <c r="F212" s="23">
        <v>16</v>
      </c>
      <c r="G212" s="25"/>
      <c r="H212" s="14">
        <f t="shared" si="0"/>
        <v>0.55000000000000004</v>
      </c>
      <c r="I212" s="25">
        <f ca="1">IFERROR(__xludf.DUMMYFUNCTION("ROUND(D212*GOOGLEFINANCE(""RUBKZT"")*H212)"),74149)</f>
        <v>74149</v>
      </c>
      <c r="J212" s="26">
        <f ca="1">IFERROR(__xludf.DUMMYFUNCTION("ROUND(I212*GOOGLEFINANCE(""KZTEUR""))"),155)</f>
        <v>155</v>
      </c>
      <c r="K212" s="26">
        <f t="shared" ca="1" si="1"/>
        <v>9688</v>
      </c>
      <c r="L212" s="26">
        <f t="shared" ca="1" si="2"/>
        <v>1840.72</v>
      </c>
      <c r="M212" s="26">
        <f t="shared" ref="M212:N212" si="216">M$3</f>
        <v>500</v>
      </c>
      <c r="N212" s="26">
        <f t="shared" si="216"/>
        <v>500</v>
      </c>
      <c r="O212" s="26">
        <f ca="1">IFERROR(__xludf.DUMMYFUNCTION("ROUND(GOOGLEFINANCE(""Currency:EURKZT"")*K212)"),4626694)</f>
        <v>4626694</v>
      </c>
      <c r="P212" s="26">
        <f ca="1">IFERROR(__xludf.DUMMYFUNCTION("ROUND(GOOGLEFINANCE(""Currency:EURKZT"")*M212)"),238785)</f>
        <v>238785</v>
      </c>
      <c r="Q212" s="26">
        <f ca="1">IFERROR(__xludf.DUMMYFUNCTION("ROUND(GOOGLEFINANCE(""Currency:EURKZT"")*N212)"),238785)</f>
        <v>238785</v>
      </c>
      <c r="R212" s="26">
        <f t="shared" ca="1" si="4"/>
        <v>555203</v>
      </c>
      <c r="S212" s="26">
        <f t="shared" ca="1" si="5"/>
        <v>5659467</v>
      </c>
      <c r="T212" s="26">
        <f ca="1">IFERROR(__xludf.DUMMYFUNCTION("ROUND(GOOGLEFINANCE(""Currency:EURKZT"")*L212+S212)"),6538539)</f>
        <v>6538539</v>
      </c>
      <c r="U212" s="26">
        <f ca="1">IFERROR(__xludf.DUMMYFUNCTION("D212*GOOGLEFINANCE(""RUBKZT"")*1000/F212"),8426048.8875183)</f>
        <v>8426048.8875182997</v>
      </c>
      <c r="V212" s="27">
        <f t="shared" ca="1" si="6"/>
        <v>0.28867456285238946</v>
      </c>
    </row>
    <row r="213" spans="1:22" ht="12.75" customHeight="1" x14ac:dyDescent="0.2">
      <c r="A213" s="6" t="s">
        <v>277</v>
      </c>
      <c r="B213" s="6" t="s">
        <v>283</v>
      </c>
      <c r="C213" s="7">
        <v>182305</v>
      </c>
      <c r="D213" s="8">
        <v>19345.2</v>
      </c>
      <c r="E213" s="9" t="s">
        <v>16</v>
      </c>
      <c r="F213" s="23">
        <v>16</v>
      </c>
      <c r="G213" s="25"/>
      <c r="H213" s="14">
        <f t="shared" si="0"/>
        <v>0.55000000000000004</v>
      </c>
      <c r="I213" s="25">
        <f ca="1">IFERROR(__xludf.DUMMYFUNCTION("ROUND(D213*GOOGLEFINANCE(""RUBKZT"")*H213)"),83028)</f>
        <v>83028</v>
      </c>
      <c r="J213" s="26">
        <f ca="1">IFERROR(__xludf.DUMMYFUNCTION("ROUND(I213*GOOGLEFINANCE(""KZTEUR""))"),174)</f>
        <v>174</v>
      </c>
      <c r="K213" s="26">
        <f t="shared" ca="1" si="1"/>
        <v>10875</v>
      </c>
      <c r="L213" s="26">
        <f t="shared" ca="1" si="2"/>
        <v>2066.25</v>
      </c>
      <c r="M213" s="26">
        <f t="shared" ref="M213:N213" si="217">M$3</f>
        <v>500</v>
      </c>
      <c r="N213" s="26">
        <f t="shared" si="217"/>
        <v>500</v>
      </c>
      <c r="O213" s="26">
        <f ca="1">IFERROR(__xludf.DUMMYFUNCTION("ROUND(GOOGLEFINANCE(""Currency:EURKZT"")*K213)"),5193570)</f>
        <v>5193570</v>
      </c>
      <c r="P213" s="26">
        <f ca="1">IFERROR(__xludf.DUMMYFUNCTION("ROUND(GOOGLEFINANCE(""Currency:EURKZT"")*M213)"),238785)</f>
        <v>238785</v>
      </c>
      <c r="Q213" s="26">
        <f ca="1">IFERROR(__xludf.DUMMYFUNCTION("ROUND(GOOGLEFINANCE(""Currency:EURKZT"")*N213)"),238785)</f>
        <v>238785</v>
      </c>
      <c r="R213" s="26">
        <f t="shared" ca="1" si="4"/>
        <v>623228</v>
      </c>
      <c r="S213" s="26">
        <f t="shared" ca="1" si="5"/>
        <v>6294368</v>
      </c>
      <c r="T213" s="26">
        <f ca="1">IFERROR(__xludf.DUMMYFUNCTION("ROUND(GOOGLEFINANCE(""Currency:EURKZT"")*L213+S213)"),7281146)</f>
        <v>7281146</v>
      </c>
      <c r="U213" s="26">
        <f ca="1">IFERROR(__xludf.DUMMYFUNCTION("D213*GOOGLEFINANCE(""RUBKZT"")*1000/F213"),9435044.3922819)</f>
        <v>9435044.3922818992</v>
      </c>
      <c r="V213" s="27">
        <f t="shared" ca="1" si="6"/>
        <v>0.29581859672665528</v>
      </c>
    </row>
    <row r="214" spans="1:22" ht="12.75" customHeight="1" x14ac:dyDescent="0.2">
      <c r="A214" s="6" t="s">
        <v>310</v>
      </c>
      <c r="B214" s="6" t="s">
        <v>283</v>
      </c>
      <c r="C214" s="7">
        <v>187967</v>
      </c>
      <c r="D214" s="8">
        <v>17486.399999999998</v>
      </c>
      <c r="E214" s="9" t="s">
        <v>16</v>
      </c>
      <c r="F214" s="23">
        <v>16</v>
      </c>
      <c r="G214" s="25"/>
      <c r="H214" s="14">
        <f t="shared" si="0"/>
        <v>0.55000000000000004</v>
      </c>
      <c r="I214" s="25">
        <f ca="1">IFERROR(__xludf.DUMMYFUNCTION("ROUND(D214*GOOGLEFINANCE(""RUBKZT"")*H214)"),75051)</f>
        <v>75051</v>
      </c>
      <c r="J214" s="26">
        <f ca="1">IFERROR(__xludf.DUMMYFUNCTION("ROUND(I214*GOOGLEFINANCE(""KZTEUR""))"),157)</f>
        <v>157</v>
      </c>
      <c r="K214" s="26">
        <f t="shared" ca="1" si="1"/>
        <v>9813</v>
      </c>
      <c r="L214" s="26">
        <f t="shared" ca="1" si="2"/>
        <v>1864.47</v>
      </c>
      <c r="M214" s="26">
        <f t="shared" ref="M214:N214" si="218">M$3</f>
        <v>500</v>
      </c>
      <c r="N214" s="26">
        <f t="shared" si="218"/>
        <v>500</v>
      </c>
      <c r="O214" s="26">
        <f ca="1">IFERROR(__xludf.DUMMYFUNCTION("ROUND(GOOGLEFINANCE(""Currency:EURKZT"")*K214)"),4686391)</f>
        <v>4686391</v>
      </c>
      <c r="P214" s="26">
        <f ca="1">IFERROR(__xludf.DUMMYFUNCTION("ROUND(GOOGLEFINANCE(""Currency:EURKZT"")*M214)"),238785)</f>
        <v>238785</v>
      </c>
      <c r="Q214" s="26">
        <f ca="1">IFERROR(__xludf.DUMMYFUNCTION("ROUND(GOOGLEFINANCE(""Currency:EURKZT"")*N214)"),238785)</f>
        <v>238785</v>
      </c>
      <c r="R214" s="26">
        <f t="shared" ca="1" si="4"/>
        <v>562367</v>
      </c>
      <c r="S214" s="26">
        <f t="shared" ca="1" si="5"/>
        <v>5726328</v>
      </c>
      <c r="T214" s="26">
        <f ca="1">IFERROR(__xludf.DUMMYFUNCTION("ROUND(GOOGLEFINANCE(""Currency:EURKZT"")*L214+S214)"),6616742)</f>
        <v>6616742</v>
      </c>
      <c r="U214" s="26">
        <f ca="1">IFERROR(__xludf.DUMMYFUNCTION("D214*GOOGLEFINANCE(""RUBKZT"")*1000/F214"),8528470.1249508)</f>
        <v>8528470.1249508001</v>
      </c>
      <c r="V214" s="27">
        <f t="shared" ca="1" si="6"/>
        <v>0.28892287548022882</v>
      </c>
    </row>
    <row r="215" spans="1:22" ht="12.75" customHeight="1" x14ac:dyDescent="0.2">
      <c r="A215" s="6" t="s">
        <v>314</v>
      </c>
      <c r="B215" s="6" t="s">
        <v>283</v>
      </c>
      <c r="C215" s="7">
        <v>188228</v>
      </c>
      <c r="D215" s="8">
        <v>16821.599999999999</v>
      </c>
      <c r="E215" s="9" t="s">
        <v>16</v>
      </c>
      <c r="F215" s="23">
        <v>16</v>
      </c>
      <c r="G215" s="25"/>
      <c r="H215" s="14">
        <f t="shared" si="0"/>
        <v>0.55000000000000004</v>
      </c>
      <c r="I215" s="25">
        <f ca="1">IFERROR(__xludf.DUMMYFUNCTION("ROUND(D215*GOOGLEFINANCE(""RUBKZT"")*H215)"),72197)</f>
        <v>72197</v>
      </c>
      <c r="J215" s="26">
        <f ca="1">IFERROR(__xludf.DUMMYFUNCTION("ROUND(I215*GOOGLEFINANCE(""KZTEUR""))"),151)</f>
        <v>151</v>
      </c>
      <c r="K215" s="26">
        <f t="shared" ca="1" si="1"/>
        <v>9438</v>
      </c>
      <c r="L215" s="26">
        <f t="shared" ca="1" si="2"/>
        <v>1793.22</v>
      </c>
      <c r="M215" s="26">
        <f t="shared" ref="M215:N215" si="219">M$3</f>
        <v>500</v>
      </c>
      <c r="N215" s="26">
        <f t="shared" si="219"/>
        <v>500</v>
      </c>
      <c r="O215" s="26">
        <f ca="1">IFERROR(__xludf.DUMMYFUNCTION("ROUND(GOOGLEFINANCE(""Currency:EURKZT"")*K215)"),4507302)</f>
        <v>4507302</v>
      </c>
      <c r="P215" s="26">
        <f ca="1">IFERROR(__xludf.DUMMYFUNCTION("ROUND(GOOGLEFINANCE(""Currency:EURKZT"")*M215)"),238785)</f>
        <v>238785</v>
      </c>
      <c r="Q215" s="26">
        <f ca="1">IFERROR(__xludf.DUMMYFUNCTION("ROUND(GOOGLEFINANCE(""Currency:EURKZT"")*N215)"),238785)</f>
        <v>238785</v>
      </c>
      <c r="R215" s="26">
        <f t="shared" ca="1" si="4"/>
        <v>540876</v>
      </c>
      <c r="S215" s="26">
        <f t="shared" ca="1" si="5"/>
        <v>5525748</v>
      </c>
      <c r="T215" s="26">
        <f ca="1">IFERROR(__xludf.DUMMYFUNCTION("ROUND(GOOGLEFINANCE(""Currency:EURKZT"")*L215+S215)"),6382135)</f>
        <v>6382135</v>
      </c>
      <c r="U215" s="26">
        <f ca="1">IFERROR(__xludf.DUMMYFUNCTION("D215*GOOGLEFINANCE(""RUBKZT"")*1000/F215"),8204233.75045019)</f>
        <v>8204233.7504501902</v>
      </c>
      <c r="V215" s="27">
        <f t="shared" ca="1" si="6"/>
        <v>0.28549987589579195</v>
      </c>
    </row>
    <row r="216" spans="1:22" ht="12.75" customHeight="1" x14ac:dyDescent="0.2">
      <c r="A216" s="6" t="s">
        <v>315</v>
      </c>
      <c r="B216" s="6" t="s">
        <v>283</v>
      </c>
      <c r="C216" s="7">
        <v>188251</v>
      </c>
      <c r="D216" s="8">
        <v>16592.399999999998</v>
      </c>
      <c r="E216" s="9" t="s">
        <v>16</v>
      </c>
      <c r="F216" s="23">
        <v>16</v>
      </c>
      <c r="G216" s="25"/>
      <c r="H216" s="14">
        <f t="shared" si="0"/>
        <v>0.55000000000000004</v>
      </c>
      <c r="I216" s="25">
        <f ca="1">IFERROR(__xludf.DUMMYFUNCTION("ROUND(D216*GOOGLEFINANCE(""RUBKZT"")*H216)"),71214)</f>
        <v>71214</v>
      </c>
      <c r="J216" s="26">
        <f ca="1">IFERROR(__xludf.DUMMYFUNCTION("ROUND(I216*GOOGLEFINANCE(""KZTEUR""))"),149)</f>
        <v>149</v>
      </c>
      <c r="K216" s="26">
        <f t="shared" ca="1" si="1"/>
        <v>9313</v>
      </c>
      <c r="L216" s="26">
        <f t="shared" ca="1" si="2"/>
        <v>1769.47</v>
      </c>
      <c r="M216" s="26">
        <f t="shared" ref="M216:N216" si="220">M$3</f>
        <v>500</v>
      </c>
      <c r="N216" s="26">
        <f t="shared" si="220"/>
        <v>500</v>
      </c>
      <c r="O216" s="26">
        <f ca="1">IFERROR(__xludf.DUMMYFUNCTION("ROUND(GOOGLEFINANCE(""Currency:EURKZT"")*K216)"),4447606)</f>
        <v>4447606</v>
      </c>
      <c r="P216" s="26">
        <f ca="1">IFERROR(__xludf.DUMMYFUNCTION("ROUND(GOOGLEFINANCE(""Currency:EURKZT"")*M216)"),238785)</f>
        <v>238785</v>
      </c>
      <c r="Q216" s="26">
        <f ca="1">IFERROR(__xludf.DUMMYFUNCTION("ROUND(GOOGLEFINANCE(""Currency:EURKZT"")*N216)"),238785)</f>
        <v>238785</v>
      </c>
      <c r="R216" s="26">
        <f t="shared" ca="1" si="4"/>
        <v>533713</v>
      </c>
      <c r="S216" s="26">
        <f t="shared" ca="1" si="5"/>
        <v>5458889</v>
      </c>
      <c r="T216" s="26">
        <f ca="1">IFERROR(__xludf.DUMMYFUNCTION("ROUND(GOOGLEFINANCE(""Currency:EURKZT"")*L216+S216)"),6303934)</f>
        <v>6303934</v>
      </c>
      <c r="U216" s="26">
        <f ca="1">IFERROR(__xludf.DUMMYFUNCTION("D216*GOOGLEFINANCE(""RUBKZT"")*1000/F216"),8092448.2855953)</f>
        <v>8092448.2855952997</v>
      </c>
      <c r="V216" s="27">
        <f t="shared" ca="1" si="6"/>
        <v>0.2837139928170726</v>
      </c>
    </row>
    <row r="217" spans="1:22" ht="12.75" customHeight="1" x14ac:dyDescent="0.2">
      <c r="A217" s="6" t="s">
        <v>305</v>
      </c>
      <c r="B217" s="6" t="s">
        <v>283</v>
      </c>
      <c r="C217" s="7">
        <v>188474</v>
      </c>
      <c r="D217" s="8">
        <v>18643.2</v>
      </c>
      <c r="E217" s="9" t="s">
        <v>16</v>
      </c>
      <c r="F217" s="23">
        <v>16</v>
      </c>
      <c r="G217" s="25"/>
      <c r="H217" s="14">
        <f t="shared" si="0"/>
        <v>0.55000000000000004</v>
      </c>
      <c r="I217" s="25">
        <f ca="1">IFERROR(__xludf.DUMMYFUNCTION("ROUND(D217*GOOGLEFINANCE(""RUBKZT"")*H217)"),80015)</f>
        <v>80015</v>
      </c>
      <c r="J217" s="26">
        <f ca="1">IFERROR(__xludf.DUMMYFUNCTION("ROUND(I217*GOOGLEFINANCE(""KZTEUR""))"),168)</f>
        <v>168</v>
      </c>
      <c r="K217" s="26">
        <f t="shared" ca="1" si="1"/>
        <v>10500</v>
      </c>
      <c r="L217" s="26">
        <f t="shared" ca="1" si="2"/>
        <v>1995</v>
      </c>
      <c r="M217" s="26">
        <f t="shared" ref="M217:N217" si="221">M$3</f>
        <v>500</v>
      </c>
      <c r="N217" s="26">
        <f t="shared" si="221"/>
        <v>500</v>
      </c>
      <c r="O217" s="26">
        <f ca="1">IFERROR(__xludf.DUMMYFUNCTION("ROUND(GOOGLEFINANCE(""Currency:EURKZT"")*K217)"),5014481)</f>
        <v>5014481</v>
      </c>
      <c r="P217" s="26">
        <f ca="1">IFERROR(__xludf.DUMMYFUNCTION("ROUND(GOOGLEFINANCE(""Currency:EURKZT"")*M217)"),238785)</f>
        <v>238785</v>
      </c>
      <c r="Q217" s="26">
        <f ca="1">IFERROR(__xludf.DUMMYFUNCTION("ROUND(GOOGLEFINANCE(""Currency:EURKZT"")*N217)"),238785)</f>
        <v>238785</v>
      </c>
      <c r="R217" s="26">
        <f t="shared" ca="1" si="4"/>
        <v>601738</v>
      </c>
      <c r="S217" s="26">
        <f t="shared" ca="1" si="5"/>
        <v>6093789</v>
      </c>
      <c r="T217" s="26">
        <f ca="1">IFERROR(__xludf.DUMMYFUNCTION("ROUND(GOOGLEFINANCE(""Currency:EURKZT"")*L217+S217)"),7046540)</f>
        <v>7046540</v>
      </c>
      <c r="U217" s="26">
        <f ca="1">IFERROR(__xludf.DUMMYFUNCTION("D217*GOOGLEFINANCE(""RUBKZT"")*1000/F217"),9092664.8271504)</f>
        <v>9092664.8271504007</v>
      </c>
      <c r="V217" s="27">
        <f t="shared" ca="1" si="6"/>
        <v>0.29037298122914235</v>
      </c>
    </row>
    <row r="218" spans="1:22" ht="12.75" customHeight="1" x14ac:dyDescent="0.2">
      <c r="A218" s="6" t="s">
        <v>329</v>
      </c>
      <c r="B218" s="6" t="s">
        <v>283</v>
      </c>
      <c r="C218" s="7">
        <v>190492</v>
      </c>
      <c r="D218" s="8">
        <v>26914.799999999999</v>
      </c>
      <c r="E218" s="9" t="s">
        <v>16</v>
      </c>
      <c r="F218" s="23">
        <v>16</v>
      </c>
      <c r="G218" s="25"/>
      <c r="H218" s="14">
        <f t="shared" si="0"/>
        <v>0.55000000000000004</v>
      </c>
      <c r="I218" s="25">
        <f ca="1">IFERROR(__xludf.DUMMYFUNCTION("ROUND(D218*GOOGLEFINANCE(""RUBKZT"")*H218)"),115517)</f>
        <v>115517</v>
      </c>
      <c r="J218" s="26">
        <f ca="1">IFERROR(__xludf.DUMMYFUNCTION("ROUND(I218*GOOGLEFINANCE(""KZTEUR""))"),242)</f>
        <v>242</v>
      </c>
      <c r="K218" s="26">
        <f t="shared" ca="1" si="1"/>
        <v>15125</v>
      </c>
      <c r="L218" s="26">
        <f t="shared" ca="1" si="2"/>
        <v>2873.75</v>
      </c>
      <c r="M218" s="26">
        <f t="shared" ref="M218:N218" si="222">M$3</f>
        <v>500</v>
      </c>
      <c r="N218" s="26">
        <f t="shared" si="222"/>
        <v>500</v>
      </c>
      <c r="O218" s="26">
        <f ca="1">IFERROR(__xludf.DUMMYFUNCTION("ROUND(GOOGLEFINANCE(""Currency:EURKZT"")*K218)"),7223240)</f>
        <v>7223240</v>
      </c>
      <c r="P218" s="26">
        <f ca="1">IFERROR(__xludf.DUMMYFUNCTION("ROUND(GOOGLEFINANCE(""Currency:EURKZT"")*M218)"),238785)</f>
        <v>238785</v>
      </c>
      <c r="Q218" s="26">
        <f ca="1">IFERROR(__xludf.DUMMYFUNCTION("ROUND(GOOGLEFINANCE(""Currency:EURKZT"")*N218)"),238785)</f>
        <v>238785</v>
      </c>
      <c r="R218" s="26">
        <f t="shared" ca="1" si="4"/>
        <v>866789</v>
      </c>
      <c r="S218" s="26">
        <f t="shared" ca="1" si="5"/>
        <v>8567599</v>
      </c>
      <c r="T218" s="26">
        <f ca="1">IFERROR(__xludf.DUMMYFUNCTION("ROUND(GOOGLEFINANCE(""Currency:EURKZT"")*L218+S218)"),9940015)</f>
        <v>9940015</v>
      </c>
      <c r="U218" s="26">
        <f ca="1">IFERROR(__xludf.DUMMYFUNCTION("D218*GOOGLEFINANCE(""RUBKZT"")*1000/F218"),13126891.0535631)</f>
        <v>13126891.053563099</v>
      </c>
      <c r="V218" s="27">
        <f t="shared" ca="1" si="6"/>
        <v>0.32061078917517721</v>
      </c>
    </row>
    <row r="219" spans="1:22" ht="12.75" customHeight="1" x14ac:dyDescent="0.2">
      <c r="A219" s="6" t="s">
        <v>330</v>
      </c>
      <c r="B219" s="6" t="s">
        <v>283</v>
      </c>
      <c r="C219" s="7">
        <v>190496</v>
      </c>
      <c r="D219" s="8">
        <v>25414.799999999999</v>
      </c>
      <c r="E219" s="9" t="s">
        <v>16</v>
      </c>
      <c r="F219" s="23">
        <v>16</v>
      </c>
      <c r="G219" s="25"/>
      <c r="H219" s="14">
        <f t="shared" si="0"/>
        <v>0.55000000000000004</v>
      </c>
      <c r="I219" s="25">
        <f ca="1">IFERROR(__xludf.DUMMYFUNCTION("ROUND(D219*GOOGLEFINANCE(""RUBKZT"")*H219)"),109079)</f>
        <v>109079</v>
      </c>
      <c r="J219" s="26">
        <f ca="1">IFERROR(__xludf.DUMMYFUNCTION("ROUND(I219*GOOGLEFINANCE(""KZTEUR""))"),228)</f>
        <v>228</v>
      </c>
      <c r="K219" s="26">
        <f t="shared" ca="1" si="1"/>
        <v>14250</v>
      </c>
      <c r="L219" s="26">
        <f t="shared" ca="1" si="2"/>
        <v>2707.5</v>
      </c>
      <c r="M219" s="26">
        <f t="shared" ref="M219:N219" si="223">M$3</f>
        <v>500</v>
      </c>
      <c r="N219" s="26">
        <f t="shared" si="223"/>
        <v>500</v>
      </c>
      <c r="O219" s="26">
        <f ca="1">IFERROR(__xludf.DUMMYFUNCTION("ROUND(GOOGLEFINANCE(""Currency:EURKZT"")*K219)"),6805367)</f>
        <v>6805367</v>
      </c>
      <c r="P219" s="26">
        <f ca="1">IFERROR(__xludf.DUMMYFUNCTION("ROUND(GOOGLEFINANCE(""Currency:EURKZT"")*M219)"),238785)</f>
        <v>238785</v>
      </c>
      <c r="Q219" s="26">
        <f ca="1">IFERROR(__xludf.DUMMYFUNCTION("ROUND(GOOGLEFINANCE(""Currency:EURKZT"")*N219)"),238785)</f>
        <v>238785</v>
      </c>
      <c r="R219" s="26">
        <f t="shared" ca="1" si="4"/>
        <v>816644</v>
      </c>
      <c r="S219" s="26">
        <f t="shared" ca="1" si="5"/>
        <v>8099581</v>
      </c>
      <c r="T219" s="26">
        <f ca="1">IFERROR(__xludf.DUMMYFUNCTION("ROUND(GOOGLEFINANCE(""Currency:EURKZT"")*L219+S219)"),9392601)</f>
        <v>9392601</v>
      </c>
      <c r="U219" s="26">
        <f ca="1">IFERROR(__xludf.DUMMYFUNCTION("D219*GOOGLEFINANCE(""RUBKZT"")*1000/F219"),12395310.7861881)</f>
        <v>12395310.7861881</v>
      </c>
      <c r="V219" s="27">
        <f t="shared" ca="1" si="6"/>
        <v>0.31968884723071911</v>
      </c>
    </row>
    <row r="220" spans="1:22" ht="12.75" customHeight="1" x14ac:dyDescent="0.2">
      <c r="A220" s="6" t="s">
        <v>421</v>
      </c>
      <c r="B220" s="6" t="s">
        <v>283</v>
      </c>
      <c r="C220" s="7">
        <v>203581</v>
      </c>
      <c r="D220" s="8">
        <v>24798</v>
      </c>
      <c r="E220" s="9" t="s">
        <v>16</v>
      </c>
      <c r="F220" s="23">
        <v>16</v>
      </c>
      <c r="G220" s="25"/>
      <c r="H220" s="14">
        <f t="shared" si="0"/>
        <v>0.55000000000000004</v>
      </c>
      <c r="I220" s="25">
        <f ca="1">IFERROR(__xludf.DUMMYFUNCTION("ROUND(D220*GOOGLEFINANCE(""RUBKZT"")*H220)"),106431)</f>
        <v>106431</v>
      </c>
      <c r="J220" s="26">
        <f ca="1">IFERROR(__xludf.DUMMYFUNCTION("ROUND(I220*GOOGLEFINANCE(""KZTEUR""))"),223)</f>
        <v>223</v>
      </c>
      <c r="K220" s="26">
        <f t="shared" ca="1" si="1"/>
        <v>13938</v>
      </c>
      <c r="L220" s="26">
        <f t="shared" ca="1" si="2"/>
        <v>2648.2200000000003</v>
      </c>
      <c r="M220" s="26">
        <f t="shared" ref="M220:N220" si="224">M$3</f>
        <v>500</v>
      </c>
      <c r="N220" s="26">
        <f t="shared" si="224"/>
        <v>500</v>
      </c>
      <c r="O220" s="26">
        <f ca="1">IFERROR(__xludf.DUMMYFUNCTION("ROUND(GOOGLEFINANCE(""Currency:EURKZT"")*K220)"),6656365)</f>
        <v>6656365</v>
      </c>
      <c r="P220" s="26">
        <f ca="1">IFERROR(__xludf.DUMMYFUNCTION("ROUND(GOOGLEFINANCE(""Currency:EURKZT"")*M220)"),238785)</f>
        <v>238785</v>
      </c>
      <c r="Q220" s="26">
        <f ca="1">IFERROR(__xludf.DUMMYFUNCTION("ROUND(GOOGLEFINANCE(""Currency:EURKZT"")*N220)"),238785)</f>
        <v>238785</v>
      </c>
      <c r="R220" s="26">
        <f t="shared" ca="1" si="4"/>
        <v>798764</v>
      </c>
      <c r="S220" s="26">
        <f t="shared" ca="1" si="5"/>
        <v>7932699</v>
      </c>
      <c r="T220" s="26">
        <f ca="1">IFERROR(__xludf.DUMMYFUNCTION("ROUND(GOOGLEFINANCE(""Currency:EURKZT"")*L220+S220)"),9197408)</f>
        <v>9197408</v>
      </c>
      <c r="U220" s="26">
        <f ca="1">IFERROR(__xludf.DUMMYFUNCTION("D220*GOOGLEFINANCE(""RUBKZT"")*1000/F220"),12094484.9802435)</f>
        <v>12094484.9802435</v>
      </c>
      <c r="V220" s="27">
        <f t="shared" ca="1" si="6"/>
        <v>0.3149884163281112</v>
      </c>
    </row>
    <row r="221" spans="1:22" ht="12.75" customHeight="1" x14ac:dyDescent="0.2">
      <c r="A221" s="6" t="s">
        <v>225</v>
      </c>
      <c r="B221" s="6" t="s">
        <v>226</v>
      </c>
      <c r="C221" s="7">
        <v>157634</v>
      </c>
      <c r="D221" s="8">
        <v>189351.6</v>
      </c>
      <c r="E221" s="9" t="s">
        <v>16</v>
      </c>
      <c r="F221" s="23">
        <v>170</v>
      </c>
      <c r="G221" s="25"/>
      <c r="H221" s="14">
        <f t="shared" si="0"/>
        <v>0.55000000000000004</v>
      </c>
      <c r="I221" s="25">
        <f ca="1">IFERROR(__xludf.DUMMYFUNCTION("ROUND(D221*GOOGLEFINANCE(""RUBKZT"")*H221)"),812685)</f>
        <v>812685</v>
      </c>
      <c r="J221" s="26">
        <f ca="1">IFERROR(__xludf.DUMMYFUNCTION("ROUND(I221*GOOGLEFINANCE(""KZTEUR""))"),1702)</f>
        <v>1702</v>
      </c>
      <c r="K221" s="26">
        <f t="shared" ca="1" si="1"/>
        <v>10012</v>
      </c>
      <c r="L221" s="26">
        <f t="shared" ca="1" si="2"/>
        <v>1902.28</v>
      </c>
      <c r="M221" s="26">
        <f t="shared" ref="M221:N221" si="225">M$3</f>
        <v>500</v>
      </c>
      <c r="N221" s="26">
        <f t="shared" si="225"/>
        <v>500</v>
      </c>
      <c r="O221" s="26">
        <f ca="1">IFERROR(__xludf.DUMMYFUNCTION("ROUND(GOOGLEFINANCE(""Currency:EURKZT"")*K221)"),4781427)</f>
        <v>4781427</v>
      </c>
      <c r="P221" s="26">
        <f ca="1">IFERROR(__xludf.DUMMYFUNCTION("ROUND(GOOGLEFINANCE(""Currency:EURKZT"")*M221)"),238785)</f>
        <v>238785</v>
      </c>
      <c r="Q221" s="26">
        <f ca="1">IFERROR(__xludf.DUMMYFUNCTION("ROUND(GOOGLEFINANCE(""Currency:EURKZT"")*N221)"),238785)</f>
        <v>238785</v>
      </c>
      <c r="R221" s="26">
        <f t="shared" ca="1" si="4"/>
        <v>573771</v>
      </c>
      <c r="S221" s="26">
        <f t="shared" ca="1" si="5"/>
        <v>5832768</v>
      </c>
      <c r="T221" s="26">
        <f ca="1">IFERROR(__xludf.DUMMYFUNCTION("ROUND(GOOGLEFINANCE(""Currency:EURKZT"")*L221+S221)"),6741239)</f>
        <v>6741239</v>
      </c>
      <c r="U221" s="26">
        <f ca="1">IFERROR(__xludf.DUMMYFUNCTION("D221*GOOGLEFINANCE(""RUBKZT"")*1000/F221"),8691820.80978096)</f>
        <v>8691820.8097809609</v>
      </c>
      <c r="V221" s="27">
        <f t="shared" ca="1" si="6"/>
        <v>0.28935063862606875</v>
      </c>
    </row>
    <row r="222" spans="1:22" ht="12.75" customHeight="1" x14ac:dyDescent="0.2">
      <c r="A222" s="6" t="s">
        <v>252</v>
      </c>
      <c r="B222" s="6" t="s">
        <v>226</v>
      </c>
      <c r="C222" s="7">
        <v>164578</v>
      </c>
      <c r="D222" s="8">
        <v>229167.6</v>
      </c>
      <c r="E222" s="9" t="s">
        <v>16</v>
      </c>
      <c r="F222" s="23">
        <v>170</v>
      </c>
      <c r="G222" s="25"/>
      <c r="H222" s="14">
        <f t="shared" si="0"/>
        <v>0.55000000000000004</v>
      </c>
      <c r="I222" s="25">
        <f ca="1">IFERROR(__xludf.DUMMYFUNCTION("ROUND(D222*GOOGLEFINANCE(""RUBKZT"")*H222)"),983573)</f>
        <v>983573</v>
      </c>
      <c r="J222" s="26">
        <f ca="1">IFERROR(__xludf.DUMMYFUNCTION("ROUND(I222*GOOGLEFINANCE(""KZTEUR""))"),2060)</f>
        <v>2060</v>
      </c>
      <c r="K222" s="26">
        <f t="shared" ca="1" si="1"/>
        <v>12118</v>
      </c>
      <c r="L222" s="26">
        <f t="shared" ca="1" si="2"/>
        <v>2302.42</v>
      </c>
      <c r="M222" s="26">
        <f t="shared" ref="M222:N222" si="226">M$3</f>
        <v>500</v>
      </c>
      <c r="N222" s="26">
        <f t="shared" si="226"/>
        <v>500</v>
      </c>
      <c r="O222" s="26">
        <f ca="1">IFERROR(__xludf.DUMMYFUNCTION("ROUND(GOOGLEFINANCE(""Currency:EURKZT"")*K222)"),5787189)</f>
        <v>5787189</v>
      </c>
      <c r="P222" s="26">
        <f ca="1">IFERROR(__xludf.DUMMYFUNCTION("ROUND(GOOGLEFINANCE(""Currency:EURKZT"")*M222)"),238785)</f>
        <v>238785</v>
      </c>
      <c r="Q222" s="26">
        <f ca="1">IFERROR(__xludf.DUMMYFUNCTION("ROUND(GOOGLEFINANCE(""Currency:EURKZT"")*N222)"),238785)</f>
        <v>238785</v>
      </c>
      <c r="R222" s="26">
        <f t="shared" ca="1" si="4"/>
        <v>694463</v>
      </c>
      <c r="S222" s="26">
        <f t="shared" ca="1" si="5"/>
        <v>6959222</v>
      </c>
      <c r="T222" s="26">
        <f ca="1">IFERROR(__xludf.DUMMYFUNCTION("ROUND(GOOGLEFINANCE(""Currency:EURKZT"")*L222+S222)"),8058788)</f>
        <v>8058788</v>
      </c>
      <c r="U222" s="26">
        <f ca="1">IFERROR(__xludf.DUMMYFUNCTION("D222*GOOGLEFINANCE(""RUBKZT"")*1000/F222"),10519497.6678705)</f>
        <v>10519497.667870499</v>
      </c>
      <c r="V222" s="27">
        <f t="shared" ca="1" si="6"/>
        <v>0.30534488162121887</v>
      </c>
    </row>
    <row r="223" spans="1:22" ht="12.75" customHeight="1" x14ac:dyDescent="0.2">
      <c r="A223" s="6" t="s">
        <v>267</v>
      </c>
      <c r="B223" s="6" t="s">
        <v>226</v>
      </c>
      <c r="C223" s="7">
        <v>170667</v>
      </c>
      <c r="D223" s="8">
        <v>275848.8</v>
      </c>
      <c r="E223" s="9" t="s">
        <v>16</v>
      </c>
      <c r="F223" s="23">
        <v>170</v>
      </c>
      <c r="G223" s="25"/>
      <c r="H223" s="14">
        <f t="shared" si="0"/>
        <v>0.55000000000000004</v>
      </c>
      <c r="I223" s="25">
        <f ca="1">IFERROR(__xludf.DUMMYFUNCTION("ROUND(D223*GOOGLEFINANCE(""RUBKZT"")*H223)"),1183926)</f>
        <v>1183926</v>
      </c>
      <c r="J223" s="26">
        <f ca="1">IFERROR(__xludf.DUMMYFUNCTION("ROUND(I223*GOOGLEFINANCE(""KZTEUR""))"),2480)</f>
        <v>2480</v>
      </c>
      <c r="K223" s="26">
        <f t="shared" ca="1" si="1"/>
        <v>14588</v>
      </c>
      <c r="L223" s="26">
        <f t="shared" ca="1" si="2"/>
        <v>2771.7200000000003</v>
      </c>
      <c r="M223" s="26">
        <f t="shared" ref="M223:N223" si="227">M$3</f>
        <v>500</v>
      </c>
      <c r="N223" s="26">
        <f t="shared" si="227"/>
        <v>500</v>
      </c>
      <c r="O223" s="26">
        <f ca="1">IFERROR(__xludf.DUMMYFUNCTION("ROUND(GOOGLEFINANCE(""Currency:EURKZT"")*K223)"),6966786)</f>
        <v>6966786</v>
      </c>
      <c r="P223" s="26">
        <f ca="1">IFERROR(__xludf.DUMMYFUNCTION("ROUND(GOOGLEFINANCE(""Currency:EURKZT"")*M223)"),238785)</f>
        <v>238785</v>
      </c>
      <c r="Q223" s="26">
        <f ca="1">IFERROR(__xludf.DUMMYFUNCTION("ROUND(GOOGLEFINANCE(""Currency:EURKZT"")*N223)"),238785)</f>
        <v>238785</v>
      </c>
      <c r="R223" s="26">
        <f t="shared" ca="1" si="4"/>
        <v>836014</v>
      </c>
      <c r="S223" s="26">
        <f t="shared" ca="1" si="5"/>
        <v>8280370</v>
      </c>
      <c r="T223" s="26">
        <f ca="1">IFERROR(__xludf.DUMMYFUNCTION("ROUND(GOOGLEFINANCE(""Currency:EURKZT"")*L223+S223)"),9604059)</f>
        <v>9604059</v>
      </c>
      <c r="U223" s="26">
        <f ca="1">IFERROR(__xludf.DUMMYFUNCTION("D223*GOOGLEFINANCE(""RUBKZT"")*1000/F223"),12662308.3205692)</f>
        <v>12662308.3205692</v>
      </c>
      <c r="V223" s="27">
        <f t="shared" ca="1" si="6"/>
        <v>0.31843300010643422</v>
      </c>
    </row>
    <row r="224" spans="1:22" ht="12.75" customHeight="1" x14ac:dyDescent="0.2">
      <c r="A224" s="6" t="s">
        <v>240</v>
      </c>
      <c r="B224" s="6" t="s">
        <v>226</v>
      </c>
      <c r="C224" s="7">
        <v>182499</v>
      </c>
      <c r="D224" s="8">
        <v>263118</v>
      </c>
      <c r="E224" s="9" t="s">
        <v>16</v>
      </c>
      <c r="F224" s="23">
        <v>170</v>
      </c>
      <c r="G224" s="25"/>
      <c r="H224" s="14">
        <f t="shared" si="0"/>
        <v>0.55000000000000004</v>
      </c>
      <c r="I224" s="25">
        <f ca="1">IFERROR(__xludf.DUMMYFUNCTION("ROUND(D224*GOOGLEFINANCE(""RUBKZT"")*H224)"),1129286)</f>
        <v>1129286</v>
      </c>
      <c r="J224" s="26">
        <f ca="1">IFERROR(__xludf.DUMMYFUNCTION("ROUND(I224*GOOGLEFINANCE(""KZTEUR""))"),2365)</f>
        <v>2365</v>
      </c>
      <c r="K224" s="26">
        <f t="shared" ca="1" si="1"/>
        <v>13912</v>
      </c>
      <c r="L224" s="26">
        <f t="shared" ca="1" si="2"/>
        <v>2643.28</v>
      </c>
      <c r="M224" s="26">
        <f t="shared" ref="M224:N224" si="228">M$3</f>
        <v>500</v>
      </c>
      <c r="N224" s="26">
        <f t="shared" si="228"/>
        <v>500</v>
      </c>
      <c r="O224" s="26">
        <f ca="1">IFERROR(__xludf.DUMMYFUNCTION("ROUND(GOOGLEFINANCE(""Currency:EURKZT"")*K224)"),6643948)</f>
        <v>6643948</v>
      </c>
      <c r="P224" s="26">
        <f ca="1">IFERROR(__xludf.DUMMYFUNCTION("ROUND(GOOGLEFINANCE(""Currency:EURKZT"")*M224)"),238785)</f>
        <v>238785</v>
      </c>
      <c r="Q224" s="26">
        <f ca="1">IFERROR(__xludf.DUMMYFUNCTION("ROUND(GOOGLEFINANCE(""Currency:EURKZT"")*N224)"),238785)</f>
        <v>238785</v>
      </c>
      <c r="R224" s="26">
        <f t="shared" ca="1" si="4"/>
        <v>797274</v>
      </c>
      <c r="S224" s="26">
        <f t="shared" ca="1" si="5"/>
        <v>7918792</v>
      </c>
      <c r="T224" s="26">
        <f ca="1">IFERROR(__xludf.DUMMYFUNCTION("ROUND(GOOGLEFINANCE(""Currency:EURKZT"")*L224+S224)"),9181142)</f>
        <v>9181142</v>
      </c>
      <c r="U224" s="26">
        <f ca="1">IFERROR(__xludf.DUMMYFUNCTION("D224*GOOGLEFINANCE(""RUBKZT"")*1000/F224"),12077925.4457208)</f>
        <v>12077925.445720799</v>
      </c>
      <c r="V224" s="27">
        <f t="shared" ca="1" si="6"/>
        <v>0.31551450197816344</v>
      </c>
    </row>
    <row r="225" spans="1:22" ht="12.75" customHeight="1" x14ac:dyDescent="0.2">
      <c r="A225" s="6" t="s">
        <v>238</v>
      </c>
      <c r="B225" s="6" t="s">
        <v>226</v>
      </c>
      <c r="C225" s="7">
        <v>182884</v>
      </c>
      <c r="D225" s="8">
        <v>263118</v>
      </c>
      <c r="E225" s="9" t="s">
        <v>16</v>
      </c>
      <c r="F225" s="23">
        <v>170</v>
      </c>
      <c r="G225" s="25"/>
      <c r="H225" s="14">
        <f t="shared" si="0"/>
        <v>0.55000000000000004</v>
      </c>
      <c r="I225" s="25">
        <f ca="1">IFERROR(__xludf.DUMMYFUNCTION("ROUND(D225*GOOGLEFINANCE(""RUBKZT"")*H225)"),1129286)</f>
        <v>1129286</v>
      </c>
      <c r="J225" s="26">
        <f ca="1">IFERROR(__xludf.DUMMYFUNCTION("ROUND(I225*GOOGLEFINANCE(""KZTEUR""))"),2365)</f>
        <v>2365</v>
      </c>
      <c r="K225" s="26">
        <f t="shared" ca="1" si="1"/>
        <v>13912</v>
      </c>
      <c r="L225" s="26">
        <f t="shared" ca="1" si="2"/>
        <v>2643.28</v>
      </c>
      <c r="M225" s="26">
        <f t="shared" ref="M225:N225" si="229">M$3</f>
        <v>500</v>
      </c>
      <c r="N225" s="26">
        <f t="shared" si="229"/>
        <v>500</v>
      </c>
      <c r="O225" s="26">
        <f ca="1">IFERROR(__xludf.DUMMYFUNCTION("ROUND(GOOGLEFINANCE(""Currency:EURKZT"")*K225)"),6643948)</f>
        <v>6643948</v>
      </c>
      <c r="P225" s="26">
        <f ca="1">IFERROR(__xludf.DUMMYFUNCTION("ROUND(GOOGLEFINANCE(""Currency:EURKZT"")*M225)"),238785)</f>
        <v>238785</v>
      </c>
      <c r="Q225" s="26">
        <f ca="1">IFERROR(__xludf.DUMMYFUNCTION("ROUND(GOOGLEFINANCE(""Currency:EURKZT"")*N225)"),238785)</f>
        <v>238785</v>
      </c>
      <c r="R225" s="26">
        <f t="shared" ca="1" si="4"/>
        <v>797274</v>
      </c>
      <c r="S225" s="26">
        <f t="shared" ca="1" si="5"/>
        <v>7918792</v>
      </c>
      <c r="T225" s="26">
        <f ca="1">IFERROR(__xludf.DUMMYFUNCTION("ROUND(GOOGLEFINANCE(""Currency:EURKZT"")*L225+S225)"),9181142)</f>
        <v>9181142</v>
      </c>
      <c r="U225" s="26">
        <f ca="1">IFERROR(__xludf.DUMMYFUNCTION("D225*GOOGLEFINANCE(""RUBKZT"")*1000/F225"),12077925.4457208)</f>
        <v>12077925.445720799</v>
      </c>
      <c r="V225" s="27">
        <f t="shared" ca="1" si="6"/>
        <v>0.31551450197816344</v>
      </c>
    </row>
    <row r="226" spans="1:22" ht="12.75" customHeight="1" x14ac:dyDescent="0.2">
      <c r="A226" s="6" t="s">
        <v>252</v>
      </c>
      <c r="B226" s="6" t="s">
        <v>256</v>
      </c>
      <c r="C226" s="7">
        <v>165886</v>
      </c>
      <c r="D226" s="8">
        <v>24614.399999999998</v>
      </c>
      <c r="E226" s="9" t="s">
        <v>16</v>
      </c>
      <c r="F226" s="23">
        <v>17</v>
      </c>
      <c r="G226" s="25"/>
      <c r="H226" s="14">
        <f t="shared" si="0"/>
        <v>0.55000000000000004</v>
      </c>
      <c r="I226" s="25">
        <f ca="1">IFERROR(__xludf.DUMMYFUNCTION("ROUND(D226*GOOGLEFINANCE(""RUBKZT"")*H226)"),105643)</f>
        <v>105643</v>
      </c>
      <c r="J226" s="26">
        <f ca="1">IFERROR(__xludf.DUMMYFUNCTION("ROUND(I226*GOOGLEFINANCE(""KZTEUR""))"),221)</f>
        <v>221</v>
      </c>
      <c r="K226" s="26">
        <f t="shared" ca="1" si="1"/>
        <v>13000</v>
      </c>
      <c r="L226" s="26">
        <f t="shared" ca="1" si="2"/>
        <v>2470</v>
      </c>
      <c r="M226" s="26">
        <f t="shared" ref="M226:N226" si="230">M$3</f>
        <v>500</v>
      </c>
      <c r="N226" s="26">
        <f t="shared" si="230"/>
        <v>500</v>
      </c>
      <c r="O226" s="26">
        <f ca="1">IFERROR(__xludf.DUMMYFUNCTION("ROUND(GOOGLEFINANCE(""Currency:EURKZT"")*K226)"),6208405)</f>
        <v>6208405</v>
      </c>
      <c r="P226" s="26">
        <f ca="1">IFERROR(__xludf.DUMMYFUNCTION("ROUND(GOOGLEFINANCE(""Currency:EURKZT"")*M226)"),238785)</f>
        <v>238785</v>
      </c>
      <c r="Q226" s="26">
        <f ca="1">IFERROR(__xludf.DUMMYFUNCTION("ROUND(GOOGLEFINANCE(""Currency:EURKZT"")*N226)"),238785)</f>
        <v>238785</v>
      </c>
      <c r="R226" s="26">
        <f t="shared" ca="1" si="4"/>
        <v>745009</v>
      </c>
      <c r="S226" s="26">
        <f t="shared" ca="1" si="5"/>
        <v>7430984</v>
      </c>
      <c r="T226" s="26">
        <f ca="1">IFERROR(__xludf.DUMMYFUNCTION("ROUND(GOOGLEFINANCE(""Currency:EURKZT"")*L226+S226)"),8610581)</f>
        <v>8610581</v>
      </c>
      <c r="U226" s="26">
        <f ca="1">IFERROR(__xludf.DUMMYFUNCTION("D226*GOOGLEFINANCE(""RUBKZT"")*1000/F226"),11298766.6404864)</f>
        <v>11298766.640486401</v>
      </c>
      <c r="V226" s="27">
        <f t="shared" ca="1" si="6"/>
        <v>0.31219561612467273</v>
      </c>
    </row>
    <row r="227" spans="1:22" ht="12.75" customHeight="1" x14ac:dyDescent="0.2">
      <c r="A227" s="6" t="s">
        <v>267</v>
      </c>
      <c r="B227" s="6" t="s">
        <v>256</v>
      </c>
      <c r="C227" s="7">
        <v>170669</v>
      </c>
      <c r="D227" s="8">
        <v>30555.599999999999</v>
      </c>
      <c r="E227" s="9" t="s">
        <v>16</v>
      </c>
      <c r="F227" s="23">
        <v>17</v>
      </c>
      <c r="G227" s="25"/>
      <c r="H227" s="14">
        <f t="shared" si="0"/>
        <v>0.55000000000000004</v>
      </c>
      <c r="I227" s="25">
        <f ca="1">IFERROR(__xludf.DUMMYFUNCTION("ROUND(D227*GOOGLEFINANCE(""RUBKZT"")*H227)"),131143)</f>
        <v>131143</v>
      </c>
      <c r="J227" s="26">
        <f ca="1">IFERROR(__xludf.DUMMYFUNCTION("ROUND(I227*GOOGLEFINANCE(""KZTEUR""))"),275)</f>
        <v>275</v>
      </c>
      <c r="K227" s="26">
        <f t="shared" ca="1" si="1"/>
        <v>16176</v>
      </c>
      <c r="L227" s="26">
        <f t="shared" ca="1" si="2"/>
        <v>3073.44</v>
      </c>
      <c r="M227" s="26">
        <f t="shared" ref="M227:N227" si="231">M$3</f>
        <v>500</v>
      </c>
      <c r="N227" s="26">
        <f t="shared" si="231"/>
        <v>500</v>
      </c>
      <c r="O227" s="26">
        <f ca="1">IFERROR(__xludf.DUMMYFUNCTION("ROUND(GOOGLEFINANCE(""Currency:EURKZT"")*K227)"),7725166)</f>
        <v>7725166</v>
      </c>
      <c r="P227" s="26">
        <f ca="1">IFERROR(__xludf.DUMMYFUNCTION("ROUND(GOOGLEFINANCE(""Currency:EURKZT"")*M227)"),238785)</f>
        <v>238785</v>
      </c>
      <c r="Q227" s="26">
        <f ca="1">IFERROR(__xludf.DUMMYFUNCTION("ROUND(GOOGLEFINANCE(""Currency:EURKZT"")*N227)"),238785)</f>
        <v>238785</v>
      </c>
      <c r="R227" s="26">
        <f t="shared" ca="1" si="4"/>
        <v>927020</v>
      </c>
      <c r="S227" s="26">
        <f t="shared" ca="1" si="5"/>
        <v>9129756</v>
      </c>
      <c r="T227" s="26">
        <f ca="1">IFERROR(__xludf.DUMMYFUNCTION("ROUND(GOOGLEFINANCE(""Currency:EURKZT"")*L227+S227)"),10597538)</f>
        <v>10597538</v>
      </c>
      <c r="U227" s="26">
        <f ca="1">IFERROR(__xludf.DUMMYFUNCTION("D227*GOOGLEFINANCE(""RUBKZT"")*1000/F227"),14025960.1680336)</f>
        <v>14025960.1680336</v>
      </c>
      <c r="V227" s="27">
        <f t="shared" ca="1" si="6"/>
        <v>0.32351119364078712</v>
      </c>
    </row>
    <row r="228" spans="1:22" ht="12.75" customHeight="1" x14ac:dyDescent="0.2">
      <c r="A228" s="6" t="s">
        <v>240</v>
      </c>
      <c r="B228" s="6" t="s">
        <v>256</v>
      </c>
      <c r="C228" s="7">
        <v>182690</v>
      </c>
      <c r="D228" s="8">
        <v>27585.599999999999</v>
      </c>
      <c r="E228" s="9" t="s">
        <v>16</v>
      </c>
      <c r="F228" s="23">
        <v>17</v>
      </c>
      <c r="G228" s="25"/>
      <c r="H228" s="14">
        <f t="shared" si="0"/>
        <v>0.55000000000000004</v>
      </c>
      <c r="I228" s="25">
        <f ca="1">IFERROR(__xludf.DUMMYFUNCTION("ROUND(D228*GOOGLEFINANCE(""RUBKZT"")*H228)"),118396)</f>
        <v>118396</v>
      </c>
      <c r="J228" s="26">
        <f ca="1">IFERROR(__xludf.DUMMYFUNCTION("ROUND(I228*GOOGLEFINANCE(""KZTEUR""))"),248)</f>
        <v>248</v>
      </c>
      <c r="K228" s="26">
        <f t="shared" ca="1" si="1"/>
        <v>14588</v>
      </c>
      <c r="L228" s="26">
        <f t="shared" ca="1" si="2"/>
        <v>2771.7200000000003</v>
      </c>
      <c r="M228" s="26">
        <f t="shared" ref="M228:N228" si="232">M$3</f>
        <v>500</v>
      </c>
      <c r="N228" s="26">
        <f t="shared" si="232"/>
        <v>500</v>
      </c>
      <c r="O228" s="26">
        <f ca="1">IFERROR(__xludf.DUMMYFUNCTION("ROUND(GOOGLEFINANCE(""Currency:EURKZT"")*K228)"),6966786)</f>
        <v>6966786</v>
      </c>
      <c r="P228" s="26">
        <f ca="1">IFERROR(__xludf.DUMMYFUNCTION("ROUND(GOOGLEFINANCE(""Currency:EURKZT"")*M228)"),238785)</f>
        <v>238785</v>
      </c>
      <c r="Q228" s="26">
        <f ca="1">IFERROR(__xludf.DUMMYFUNCTION("ROUND(GOOGLEFINANCE(""Currency:EURKZT"")*N228)"),238785)</f>
        <v>238785</v>
      </c>
      <c r="R228" s="26">
        <f t="shared" ca="1" si="4"/>
        <v>836014</v>
      </c>
      <c r="S228" s="26">
        <f t="shared" ca="1" si="5"/>
        <v>8280370</v>
      </c>
      <c r="T228" s="26">
        <f ca="1">IFERROR(__xludf.DUMMYFUNCTION("ROUND(GOOGLEFINANCE(""Currency:EURKZT"")*L228+S228)"),9604059)</f>
        <v>9604059</v>
      </c>
      <c r="U228" s="26">
        <f ca="1">IFERROR(__xludf.DUMMYFUNCTION("D228*GOOGLEFINANCE(""RUBKZT"")*1000/F228"),12662638.8227135)</f>
        <v>12662638.8227135</v>
      </c>
      <c r="V228" s="27">
        <f t="shared" ca="1" si="6"/>
        <v>0.31846741286298846</v>
      </c>
    </row>
    <row r="229" spans="1:22" ht="12.75" customHeight="1" x14ac:dyDescent="0.2">
      <c r="A229" s="6" t="s">
        <v>238</v>
      </c>
      <c r="B229" s="6" t="s">
        <v>256</v>
      </c>
      <c r="C229" s="7">
        <v>197566</v>
      </c>
      <c r="D229" s="8">
        <v>27585.599999999999</v>
      </c>
      <c r="E229" s="9" t="s">
        <v>16</v>
      </c>
      <c r="F229" s="23">
        <v>17</v>
      </c>
      <c r="G229" s="25"/>
      <c r="H229" s="14">
        <f t="shared" si="0"/>
        <v>0.55000000000000004</v>
      </c>
      <c r="I229" s="25">
        <f ca="1">IFERROR(__xludf.DUMMYFUNCTION("ROUND(D229*GOOGLEFINANCE(""RUBKZT"")*H229)"),118396)</f>
        <v>118396</v>
      </c>
      <c r="J229" s="26">
        <f ca="1">IFERROR(__xludf.DUMMYFUNCTION("ROUND(I229*GOOGLEFINANCE(""KZTEUR""))"),248)</f>
        <v>248</v>
      </c>
      <c r="K229" s="26">
        <f t="shared" ca="1" si="1"/>
        <v>14588</v>
      </c>
      <c r="L229" s="26">
        <f t="shared" ca="1" si="2"/>
        <v>2771.7200000000003</v>
      </c>
      <c r="M229" s="26">
        <f t="shared" ref="M229:N229" si="233">M$3</f>
        <v>500</v>
      </c>
      <c r="N229" s="26">
        <f t="shared" si="233"/>
        <v>500</v>
      </c>
      <c r="O229" s="26">
        <f ca="1">IFERROR(__xludf.DUMMYFUNCTION("ROUND(GOOGLEFINANCE(""Currency:EURKZT"")*K229)"),6966786)</f>
        <v>6966786</v>
      </c>
      <c r="P229" s="26">
        <f ca="1">IFERROR(__xludf.DUMMYFUNCTION("ROUND(GOOGLEFINANCE(""Currency:EURKZT"")*M229)"),238785)</f>
        <v>238785</v>
      </c>
      <c r="Q229" s="26">
        <f ca="1">IFERROR(__xludf.DUMMYFUNCTION("ROUND(GOOGLEFINANCE(""Currency:EURKZT"")*N229)"),238785)</f>
        <v>238785</v>
      </c>
      <c r="R229" s="26">
        <f t="shared" ca="1" si="4"/>
        <v>836014</v>
      </c>
      <c r="S229" s="26">
        <f t="shared" ca="1" si="5"/>
        <v>8280370</v>
      </c>
      <c r="T229" s="26">
        <f ca="1">IFERROR(__xludf.DUMMYFUNCTION("ROUND(GOOGLEFINANCE(""Currency:EURKZT"")*L229+S229)"),9604059)</f>
        <v>9604059</v>
      </c>
      <c r="U229" s="26">
        <f ca="1">IFERROR(__xludf.DUMMYFUNCTION("D229*GOOGLEFINANCE(""RUBKZT"")*1000/F229"),12662638.8227135)</f>
        <v>12662638.8227135</v>
      </c>
      <c r="V229" s="27">
        <f t="shared" ca="1" si="6"/>
        <v>0.31846741286298846</v>
      </c>
    </row>
    <row r="230" spans="1:22" ht="12.75" customHeight="1" x14ac:dyDescent="0.2">
      <c r="A230" s="6" t="s">
        <v>196</v>
      </c>
      <c r="B230" s="6" t="s">
        <v>256</v>
      </c>
      <c r="C230" s="7">
        <v>201089</v>
      </c>
      <c r="D230" s="8">
        <v>17960.399999999998</v>
      </c>
      <c r="E230" s="9" t="s">
        <v>16</v>
      </c>
      <c r="F230" s="23">
        <v>17</v>
      </c>
      <c r="G230" s="25"/>
      <c r="H230" s="14">
        <f t="shared" si="0"/>
        <v>0.55000000000000004</v>
      </c>
      <c r="I230" s="25">
        <f ca="1">IFERROR(__xludf.DUMMYFUNCTION("ROUND(D230*GOOGLEFINANCE(""RUBKZT"")*H230)"),77085)</f>
        <v>77085</v>
      </c>
      <c r="J230" s="26">
        <f ca="1">IFERROR(__xludf.DUMMYFUNCTION("ROUND(I230*GOOGLEFINANCE(""KZTEUR""))"),161)</f>
        <v>161</v>
      </c>
      <c r="K230" s="26">
        <f t="shared" ca="1" si="1"/>
        <v>9471</v>
      </c>
      <c r="L230" s="26">
        <f t="shared" ca="1" si="2"/>
        <v>1799.49</v>
      </c>
      <c r="M230" s="26">
        <f t="shared" ref="M230:N230" si="234">M$3</f>
        <v>500</v>
      </c>
      <c r="N230" s="26">
        <f t="shared" si="234"/>
        <v>500</v>
      </c>
      <c r="O230" s="26">
        <f ca="1">IFERROR(__xludf.DUMMYFUNCTION("ROUND(GOOGLEFINANCE(""Currency:EURKZT"")*K230)"),4523062)</f>
        <v>4523062</v>
      </c>
      <c r="P230" s="26">
        <f ca="1">IFERROR(__xludf.DUMMYFUNCTION("ROUND(GOOGLEFINANCE(""Currency:EURKZT"")*M230)"),238785)</f>
        <v>238785</v>
      </c>
      <c r="Q230" s="26">
        <f ca="1">IFERROR(__xludf.DUMMYFUNCTION("ROUND(GOOGLEFINANCE(""Currency:EURKZT"")*N230)"),238785)</f>
        <v>238785</v>
      </c>
      <c r="R230" s="26">
        <f t="shared" ca="1" si="4"/>
        <v>542767</v>
      </c>
      <c r="S230" s="26">
        <f t="shared" ca="1" si="5"/>
        <v>5543399</v>
      </c>
      <c r="T230" s="26">
        <f ca="1">IFERROR(__xludf.DUMMYFUNCTION("ROUND(GOOGLEFINANCE(""Currency:EURKZT"")*L230+S230)"),6402781)</f>
        <v>6402781</v>
      </c>
      <c r="U230" s="26">
        <f ca="1">IFERROR(__xludf.DUMMYFUNCTION("D230*GOOGLEFINANCE(""RUBKZT"")*1000/F230"),8244375.9900624)</f>
        <v>8244375.9900623998</v>
      </c>
      <c r="V230" s="27">
        <f t="shared" ca="1" si="6"/>
        <v>0.2876242354786771</v>
      </c>
    </row>
    <row r="231" spans="1:22" ht="12.75" customHeight="1" x14ac:dyDescent="0.2">
      <c r="A231" s="6" t="s">
        <v>225</v>
      </c>
      <c r="B231" s="6" t="s">
        <v>256</v>
      </c>
      <c r="C231" s="7">
        <v>201128</v>
      </c>
      <c r="D231" s="8">
        <v>20098.8</v>
      </c>
      <c r="E231" s="9" t="s">
        <v>16</v>
      </c>
      <c r="F231" s="23">
        <v>17</v>
      </c>
      <c r="G231" s="25"/>
      <c r="H231" s="14">
        <f t="shared" si="0"/>
        <v>0.55000000000000004</v>
      </c>
      <c r="I231" s="25">
        <f ca="1">IFERROR(__xludf.DUMMYFUNCTION("ROUND(D231*GOOGLEFINANCE(""RUBKZT"")*H231)"),86263)</f>
        <v>86263</v>
      </c>
      <c r="J231" s="26">
        <f ca="1">IFERROR(__xludf.DUMMYFUNCTION("ROUND(I231*GOOGLEFINANCE(""KZTEUR""))"),181)</f>
        <v>181</v>
      </c>
      <c r="K231" s="26">
        <f t="shared" ca="1" si="1"/>
        <v>10647</v>
      </c>
      <c r="L231" s="26">
        <f t="shared" ca="1" si="2"/>
        <v>2022.93</v>
      </c>
      <c r="M231" s="26">
        <f t="shared" ref="M231:N231" si="235">M$3</f>
        <v>500</v>
      </c>
      <c r="N231" s="26">
        <f t="shared" si="235"/>
        <v>500</v>
      </c>
      <c r="O231" s="26">
        <f ca="1">IFERROR(__xludf.DUMMYFUNCTION("ROUND(GOOGLEFINANCE(""Currency:EURKZT"")*K231)"),5084684)</f>
        <v>5084684</v>
      </c>
      <c r="P231" s="26">
        <f ca="1">IFERROR(__xludf.DUMMYFUNCTION("ROUND(GOOGLEFINANCE(""Currency:EURKZT"")*M231)"),238785)</f>
        <v>238785</v>
      </c>
      <c r="Q231" s="26">
        <f ca="1">IFERROR(__xludf.DUMMYFUNCTION("ROUND(GOOGLEFINANCE(""Currency:EURKZT"")*N231)"),238785)</f>
        <v>238785</v>
      </c>
      <c r="R231" s="26">
        <f t="shared" ca="1" si="4"/>
        <v>610162</v>
      </c>
      <c r="S231" s="26">
        <f t="shared" ca="1" si="5"/>
        <v>6172416</v>
      </c>
      <c r="T231" s="26">
        <f ca="1">IFERROR(__xludf.DUMMYFUNCTION("ROUND(GOOGLEFINANCE(""Currency:EURKZT"")*L231+S231)"),7138506)</f>
        <v>7138506</v>
      </c>
      <c r="U231" s="26">
        <f ca="1">IFERROR(__xludf.DUMMYFUNCTION("D231*GOOGLEFINANCE(""RUBKZT"")*1000/F231"),9225967.3586928)</f>
        <v>9225967.3586928006</v>
      </c>
      <c r="V231" s="27">
        <f t="shared" ca="1" si="6"/>
        <v>0.29242272244259521</v>
      </c>
    </row>
    <row r="232" spans="1:22" ht="12.75" customHeight="1" x14ac:dyDescent="0.2">
      <c r="A232" s="6" t="s">
        <v>17</v>
      </c>
      <c r="B232" s="6" t="s">
        <v>18</v>
      </c>
      <c r="C232" s="7">
        <v>110369</v>
      </c>
      <c r="D232" s="8">
        <v>147049.19999999998</v>
      </c>
      <c r="E232" s="9" t="s">
        <v>16</v>
      </c>
      <c r="F232" s="23">
        <v>180</v>
      </c>
      <c r="G232" s="25"/>
      <c r="H232" s="14">
        <f t="shared" si="0"/>
        <v>0.55000000000000004</v>
      </c>
      <c r="I232" s="25">
        <f ca="1">IFERROR(__xludf.DUMMYFUNCTION("ROUND(D232*GOOGLEFINANCE(""RUBKZT"")*H232)"),631126)</f>
        <v>631126</v>
      </c>
      <c r="J232" s="26">
        <f ca="1">IFERROR(__xludf.DUMMYFUNCTION("ROUND(I232*GOOGLEFINANCE(""KZTEUR""))"),1322)</f>
        <v>1322</v>
      </c>
      <c r="K232" s="26">
        <f t="shared" ca="1" si="1"/>
        <v>7344</v>
      </c>
      <c r="L232" s="26">
        <f t="shared" ca="1" si="2"/>
        <v>1395.3600000000001</v>
      </c>
      <c r="M232" s="26">
        <f t="shared" ref="M232:N232" si="236">M$3</f>
        <v>500</v>
      </c>
      <c r="N232" s="26">
        <f t="shared" si="236"/>
        <v>500</v>
      </c>
      <c r="O232" s="26">
        <f ca="1">IFERROR(__xludf.DUMMYFUNCTION("ROUND(GOOGLEFINANCE(""Currency:EURKZT"")*K232)"),3507271)</f>
        <v>3507271</v>
      </c>
      <c r="P232" s="26">
        <f ca="1">IFERROR(__xludf.DUMMYFUNCTION("ROUND(GOOGLEFINANCE(""Currency:EURKZT"")*M232)"),238785)</f>
        <v>238785</v>
      </c>
      <c r="Q232" s="26">
        <f ca="1">IFERROR(__xludf.DUMMYFUNCTION("ROUND(GOOGLEFINANCE(""Currency:EURKZT"")*N232)"),238785)</f>
        <v>238785</v>
      </c>
      <c r="R232" s="26">
        <f t="shared" ca="1" si="4"/>
        <v>420873</v>
      </c>
      <c r="S232" s="26">
        <f t="shared" ca="1" si="5"/>
        <v>4405714</v>
      </c>
      <c r="T232" s="26">
        <f ca="1">IFERROR(__xludf.DUMMYFUNCTION("ROUND(GOOGLEFINANCE(""Currency:EURKZT"")*L232+S232)"),5072096)</f>
        <v>5072096</v>
      </c>
      <c r="U232" s="26">
        <f ca="1">IFERROR(__xludf.DUMMYFUNCTION("D232*GOOGLEFINANCE(""RUBKZT"")*1000/F232"),6375009.95871288)</f>
        <v>6375009.9587128796</v>
      </c>
      <c r="V232" s="27">
        <f t="shared" ca="1" si="6"/>
        <v>0.2568788048792609</v>
      </c>
    </row>
    <row r="233" spans="1:22" ht="12.75" customHeight="1" x14ac:dyDescent="0.2">
      <c r="A233" s="6" t="s">
        <v>20</v>
      </c>
      <c r="B233" s="6" t="s">
        <v>18</v>
      </c>
      <c r="C233" s="7">
        <v>110378</v>
      </c>
      <c r="D233" s="8">
        <v>110509.2</v>
      </c>
      <c r="E233" s="9" t="s">
        <v>16</v>
      </c>
      <c r="F233" s="23">
        <v>180</v>
      </c>
      <c r="G233" s="25"/>
      <c r="H233" s="14">
        <f t="shared" si="0"/>
        <v>0.55000000000000004</v>
      </c>
      <c r="I233" s="25">
        <f ca="1">IFERROR(__xludf.DUMMYFUNCTION("ROUND(D233*GOOGLEFINANCE(""RUBKZT"")*H233)"),474299)</f>
        <v>474299</v>
      </c>
      <c r="J233" s="26">
        <f ca="1">IFERROR(__xludf.DUMMYFUNCTION("ROUND(I233*GOOGLEFINANCE(""KZTEUR""))"),993)</f>
        <v>993</v>
      </c>
      <c r="K233" s="26">
        <f t="shared" ca="1" si="1"/>
        <v>5517</v>
      </c>
      <c r="L233" s="26">
        <f t="shared" ca="1" si="2"/>
        <v>1048.23</v>
      </c>
      <c r="M233" s="26">
        <f t="shared" ref="M233:N233" si="237">M$3</f>
        <v>500</v>
      </c>
      <c r="N233" s="26">
        <f t="shared" si="237"/>
        <v>500</v>
      </c>
      <c r="O233" s="26">
        <f ca="1">IFERROR(__xludf.DUMMYFUNCTION("ROUND(GOOGLEFINANCE(""Currency:EURKZT"")*K233)"),2634752)</f>
        <v>2634752</v>
      </c>
      <c r="P233" s="26">
        <f ca="1">IFERROR(__xludf.DUMMYFUNCTION("ROUND(GOOGLEFINANCE(""Currency:EURKZT"")*M233)"),238785)</f>
        <v>238785</v>
      </c>
      <c r="Q233" s="26">
        <f ca="1">IFERROR(__xludf.DUMMYFUNCTION("ROUND(GOOGLEFINANCE(""Currency:EURKZT"")*N233)"),238785)</f>
        <v>238785</v>
      </c>
      <c r="R233" s="26">
        <f t="shared" ca="1" si="4"/>
        <v>316170</v>
      </c>
      <c r="S233" s="26">
        <f t="shared" ca="1" si="5"/>
        <v>3428492</v>
      </c>
      <c r="T233" s="26">
        <f ca="1">IFERROR(__xludf.DUMMYFUNCTION("ROUND(GOOGLEFINANCE(""Currency:EURKZT"")*L233+S233)"),3929095)</f>
        <v>3929095</v>
      </c>
      <c r="U233" s="26">
        <f ca="1">IFERROR(__xludf.DUMMYFUNCTION("D233*GOOGLEFINANCE(""RUBKZT"")*1000/F233"),4790894.81975688)</f>
        <v>4790894.8197568804</v>
      </c>
      <c r="V233" s="27">
        <f t="shared" ca="1" si="6"/>
        <v>0.21933799507440782</v>
      </c>
    </row>
    <row r="234" spans="1:22" ht="12.75" customHeight="1" x14ac:dyDescent="0.2">
      <c r="A234" s="6" t="s">
        <v>21</v>
      </c>
      <c r="B234" s="6" t="s">
        <v>18</v>
      </c>
      <c r="C234" s="7">
        <v>110382</v>
      </c>
      <c r="D234" s="8">
        <v>108960</v>
      </c>
      <c r="E234" s="9" t="s">
        <v>16</v>
      </c>
      <c r="F234" s="23">
        <v>180</v>
      </c>
      <c r="G234" s="25"/>
      <c r="H234" s="14">
        <f t="shared" si="0"/>
        <v>0.55000000000000004</v>
      </c>
      <c r="I234" s="25">
        <f ca="1">IFERROR(__xludf.DUMMYFUNCTION("ROUND(D234*GOOGLEFINANCE(""RUBKZT"")*H234)"),467650)</f>
        <v>467650</v>
      </c>
      <c r="J234" s="26">
        <f ca="1">IFERROR(__xludf.DUMMYFUNCTION("ROUND(I234*GOOGLEFINANCE(""KZTEUR""))"),979)</f>
        <v>979</v>
      </c>
      <c r="K234" s="26">
        <f t="shared" ca="1" si="1"/>
        <v>5439</v>
      </c>
      <c r="L234" s="26">
        <f t="shared" ca="1" si="2"/>
        <v>1033.4100000000001</v>
      </c>
      <c r="M234" s="26">
        <f t="shared" ref="M234:N234" si="238">M$3</f>
        <v>500</v>
      </c>
      <c r="N234" s="26">
        <f t="shared" si="238"/>
        <v>500</v>
      </c>
      <c r="O234" s="26">
        <f ca="1">IFERROR(__xludf.DUMMYFUNCTION("ROUND(GOOGLEFINANCE(""Currency:EURKZT"")*K234)"),2597501)</f>
        <v>2597501</v>
      </c>
      <c r="P234" s="26">
        <f ca="1">IFERROR(__xludf.DUMMYFUNCTION("ROUND(GOOGLEFINANCE(""Currency:EURKZT"")*M234)"),238785)</f>
        <v>238785</v>
      </c>
      <c r="Q234" s="26">
        <f ca="1">IFERROR(__xludf.DUMMYFUNCTION("ROUND(GOOGLEFINANCE(""Currency:EURKZT"")*N234)"),238785)</f>
        <v>238785</v>
      </c>
      <c r="R234" s="26">
        <f t="shared" ca="1" si="4"/>
        <v>311700</v>
      </c>
      <c r="S234" s="26">
        <f t="shared" ca="1" si="5"/>
        <v>3386771</v>
      </c>
      <c r="T234" s="26">
        <f ca="1">IFERROR(__xludf.DUMMYFUNCTION("ROUND(GOOGLEFINANCE(""Currency:EURKZT"")*L234+S234)"),3880296)</f>
        <v>3880296</v>
      </c>
      <c r="U234" s="26">
        <f ca="1">IFERROR(__xludf.DUMMYFUNCTION("D234*GOOGLEFINANCE(""RUBKZT"")*1000/F234"),4723732.499744)</f>
        <v>4723732.4997439999</v>
      </c>
      <c r="V234" s="27">
        <f t="shared" ca="1" si="6"/>
        <v>0.21736395876603226</v>
      </c>
    </row>
    <row r="235" spans="1:22" ht="12.75" customHeight="1" x14ac:dyDescent="0.2">
      <c r="A235" s="6" t="s">
        <v>24</v>
      </c>
      <c r="B235" s="6" t="s">
        <v>18</v>
      </c>
      <c r="C235" s="7">
        <v>110394</v>
      </c>
      <c r="D235" s="8">
        <v>122137.2</v>
      </c>
      <c r="E235" s="9" t="s">
        <v>16</v>
      </c>
      <c r="F235" s="23">
        <v>180</v>
      </c>
      <c r="G235" s="25"/>
      <c r="H235" s="14">
        <f t="shared" si="0"/>
        <v>0.55000000000000004</v>
      </c>
      <c r="I235" s="25">
        <f ca="1">IFERROR(__xludf.DUMMYFUNCTION("ROUND(D235*GOOGLEFINANCE(""RUBKZT"")*H235)"),524205)</f>
        <v>524205</v>
      </c>
      <c r="J235" s="26">
        <f ca="1">IFERROR(__xludf.DUMMYFUNCTION("ROUND(I235*GOOGLEFINANCE(""KZTEUR""))"),1098)</f>
        <v>1098</v>
      </c>
      <c r="K235" s="26">
        <f t="shared" ca="1" si="1"/>
        <v>6100</v>
      </c>
      <c r="L235" s="26">
        <f t="shared" ca="1" si="2"/>
        <v>1159</v>
      </c>
      <c r="M235" s="26">
        <f t="shared" ref="M235:N235" si="239">M$3</f>
        <v>500</v>
      </c>
      <c r="N235" s="26">
        <f t="shared" si="239"/>
        <v>500</v>
      </c>
      <c r="O235" s="26">
        <f ca="1">IFERROR(__xludf.DUMMYFUNCTION("ROUND(GOOGLEFINANCE(""Currency:EURKZT"")*K235)"),2913175)</f>
        <v>2913175</v>
      </c>
      <c r="P235" s="26">
        <f ca="1">IFERROR(__xludf.DUMMYFUNCTION("ROUND(GOOGLEFINANCE(""Currency:EURKZT"")*M235)"),238785)</f>
        <v>238785</v>
      </c>
      <c r="Q235" s="26">
        <f ca="1">IFERROR(__xludf.DUMMYFUNCTION("ROUND(GOOGLEFINANCE(""Currency:EURKZT"")*N235)"),238785)</f>
        <v>238785</v>
      </c>
      <c r="R235" s="26">
        <f t="shared" ca="1" si="4"/>
        <v>349581</v>
      </c>
      <c r="S235" s="26">
        <f t="shared" ca="1" si="5"/>
        <v>3740326</v>
      </c>
      <c r="T235" s="26">
        <f ca="1">IFERROR(__xludf.DUMMYFUNCTION("ROUND(GOOGLEFINANCE(""Currency:EURKZT"")*L235+S235)"),4293829)</f>
        <v>4293829</v>
      </c>
      <c r="U235" s="26">
        <f ca="1">IFERROR(__xludf.DUMMYFUNCTION("D235*GOOGLEFINANCE(""RUBKZT"")*1000/F235"),5295002.39599608)</f>
        <v>5295002.3959960798</v>
      </c>
      <c r="V235" s="27">
        <f t="shared" ca="1" si="6"/>
        <v>0.23316564213341515</v>
      </c>
    </row>
    <row r="236" spans="1:22" ht="12.75" customHeight="1" x14ac:dyDescent="0.2">
      <c r="A236" s="6" t="s">
        <v>23</v>
      </c>
      <c r="B236" s="6" t="s">
        <v>18</v>
      </c>
      <c r="C236" s="7">
        <v>112826</v>
      </c>
      <c r="D236" s="8">
        <v>131293.19999999998</v>
      </c>
      <c r="E236" s="9" t="s">
        <v>16</v>
      </c>
      <c r="F236" s="23">
        <v>180</v>
      </c>
      <c r="G236" s="25"/>
      <c r="H236" s="14">
        <f t="shared" si="0"/>
        <v>0.55000000000000004</v>
      </c>
      <c r="I236" s="25">
        <f ca="1">IFERROR(__xludf.DUMMYFUNCTION("ROUND(D236*GOOGLEFINANCE(""RUBKZT"")*H236)"),563502)</f>
        <v>563502</v>
      </c>
      <c r="J236" s="26">
        <f ca="1">IFERROR(__xludf.DUMMYFUNCTION("ROUND(I236*GOOGLEFINANCE(""KZTEUR""))"),1180)</f>
        <v>1180</v>
      </c>
      <c r="K236" s="26">
        <f t="shared" ca="1" si="1"/>
        <v>6556</v>
      </c>
      <c r="L236" s="26">
        <f t="shared" ca="1" si="2"/>
        <v>1245.6400000000001</v>
      </c>
      <c r="M236" s="26">
        <f t="shared" ref="M236:N236" si="240">M$3</f>
        <v>500</v>
      </c>
      <c r="N236" s="26">
        <f t="shared" si="240"/>
        <v>500</v>
      </c>
      <c r="O236" s="26">
        <f ca="1">IFERROR(__xludf.DUMMYFUNCTION("ROUND(GOOGLEFINANCE(""Currency:EURKZT"")*K236)"),3130946)</f>
        <v>3130946</v>
      </c>
      <c r="P236" s="26">
        <f ca="1">IFERROR(__xludf.DUMMYFUNCTION("ROUND(GOOGLEFINANCE(""Currency:EURKZT"")*M236)"),238785)</f>
        <v>238785</v>
      </c>
      <c r="Q236" s="26">
        <f ca="1">IFERROR(__xludf.DUMMYFUNCTION("ROUND(GOOGLEFINANCE(""Currency:EURKZT"")*N236)"),238785)</f>
        <v>238785</v>
      </c>
      <c r="R236" s="26">
        <f t="shared" ca="1" si="4"/>
        <v>375714</v>
      </c>
      <c r="S236" s="26">
        <f t="shared" ca="1" si="5"/>
        <v>3984230</v>
      </c>
      <c r="T236" s="26">
        <f ca="1">IFERROR(__xludf.DUMMYFUNCTION("ROUND(GOOGLEFINANCE(""Currency:EURKZT"")*L236+S236)"),4579110)</f>
        <v>4579110</v>
      </c>
      <c r="U236" s="26">
        <f ca="1">IFERROR(__xludf.DUMMYFUNCTION("D236*GOOGLEFINANCE(""RUBKZT"")*1000/F236"),5691941.59173447)</f>
        <v>5691941.5917344699</v>
      </c>
      <c r="V236" s="27">
        <f t="shared" ca="1" si="6"/>
        <v>0.24302355517436136</v>
      </c>
    </row>
    <row r="237" spans="1:22" ht="12.75" customHeight="1" x14ac:dyDescent="0.2">
      <c r="A237" s="6" t="s">
        <v>161</v>
      </c>
      <c r="B237" s="6" t="s">
        <v>18</v>
      </c>
      <c r="C237" s="7">
        <v>140000</v>
      </c>
      <c r="D237" s="8">
        <v>116539.2</v>
      </c>
      <c r="E237" s="9" t="s">
        <v>7</v>
      </c>
      <c r="F237" s="23">
        <v>180</v>
      </c>
      <c r="G237" s="25"/>
      <c r="H237" s="14">
        <f t="shared" si="0"/>
        <v>0.55000000000000004</v>
      </c>
      <c r="I237" s="25">
        <f ca="1">IFERROR(__xludf.DUMMYFUNCTION("ROUND(D237*GOOGLEFINANCE(""RUBKZT"")*H237)"),500179)</f>
        <v>500179</v>
      </c>
      <c r="J237" s="26">
        <f ca="1">IFERROR(__xludf.DUMMYFUNCTION("ROUND(I237*GOOGLEFINANCE(""KZTEUR""))"),1048)</f>
        <v>1048</v>
      </c>
      <c r="K237" s="26">
        <f t="shared" ca="1" si="1"/>
        <v>5822</v>
      </c>
      <c r="L237" s="26">
        <f t="shared" ca="1" si="2"/>
        <v>1106.18</v>
      </c>
      <c r="M237" s="26">
        <f t="shared" ref="M237:N237" si="241">M$3</f>
        <v>500</v>
      </c>
      <c r="N237" s="26">
        <f t="shared" si="241"/>
        <v>500</v>
      </c>
      <c r="O237" s="26">
        <f ca="1">IFERROR(__xludf.DUMMYFUNCTION("ROUND(GOOGLEFINANCE(""Currency:EURKZT"")*K237)"),2780410)</f>
        <v>2780410</v>
      </c>
      <c r="P237" s="26">
        <f ca="1">IFERROR(__xludf.DUMMYFUNCTION("ROUND(GOOGLEFINANCE(""Currency:EURKZT"")*M237)"),238785)</f>
        <v>238785</v>
      </c>
      <c r="Q237" s="26">
        <f ca="1">IFERROR(__xludf.DUMMYFUNCTION("ROUND(GOOGLEFINANCE(""Currency:EURKZT"")*N237)"),238785)</f>
        <v>238785</v>
      </c>
      <c r="R237" s="26">
        <f t="shared" ca="1" si="4"/>
        <v>333649</v>
      </c>
      <c r="S237" s="26">
        <f t="shared" ca="1" si="5"/>
        <v>3591629</v>
      </c>
      <c r="T237" s="26">
        <f ca="1">IFERROR(__xludf.DUMMYFUNCTION("ROUND(GOOGLEFINANCE(""Currency:EURKZT"")*L237+S237)"),4119907)</f>
        <v>4119907</v>
      </c>
      <c r="U237" s="26">
        <f ca="1">IFERROR(__xludf.DUMMYFUNCTION("D237*GOOGLEFINANCE(""RUBKZT"")*1000/F237"),5052312.83529888)</f>
        <v>5052312.83529888</v>
      </c>
      <c r="V237" s="27">
        <f t="shared" ca="1" si="6"/>
        <v>0.22631720456284085</v>
      </c>
    </row>
    <row r="238" spans="1:22" ht="12.75" customHeight="1" x14ac:dyDescent="0.2">
      <c r="A238" s="6" t="s">
        <v>165</v>
      </c>
      <c r="B238" s="6" t="s">
        <v>18</v>
      </c>
      <c r="C238" s="7">
        <v>140060</v>
      </c>
      <c r="D238" s="8">
        <v>110509.2</v>
      </c>
      <c r="E238" s="9" t="s">
        <v>16</v>
      </c>
      <c r="F238" s="23">
        <v>180</v>
      </c>
      <c r="G238" s="25"/>
      <c r="H238" s="14">
        <f t="shared" si="0"/>
        <v>0.55000000000000004</v>
      </c>
      <c r="I238" s="25">
        <f ca="1">IFERROR(__xludf.DUMMYFUNCTION("ROUND(D238*GOOGLEFINANCE(""RUBKZT"")*H238)"),474299)</f>
        <v>474299</v>
      </c>
      <c r="J238" s="26">
        <f ca="1">IFERROR(__xludf.DUMMYFUNCTION("ROUND(I238*GOOGLEFINANCE(""KZTEUR""))"),993)</f>
        <v>993</v>
      </c>
      <c r="K238" s="26">
        <f t="shared" ca="1" si="1"/>
        <v>5517</v>
      </c>
      <c r="L238" s="26">
        <f t="shared" ca="1" si="2"/>
        <v>1048.23</v>
      </c>
      <c r="M238" s="26">
        <f t="shared" ref="M238:N238" si="242">M$3</f>
        <v>500</v>
      </c>
      <c r="N238" s="26">
        <f t="shared" si="242"/>
        <v>500</v>
      </c>
      <c r="O238" s="26">
        <f ca="1">IFERROR(__xludf.DUMMYFUNCTION("ROUND(GOOGLEFINANCE(""Currency:EURKZT"")*K238)"),2634752)</f>
        <v>2634752</v>
      </c>
      <c r="P238" s="26">
        <f ca="1">IFERROR(__xludf.DUMMYFUNCTION("ROUND(GOOGLEFINANCE(""Currency:EURKZT"")*M238)"),238785)</f>
        <v>238785</v>
      </c>
      <c r="Q238" s="26">
        <f ca="1">IFERROR(__xludf.DUMMYFUNCTION("ROUND(GOOGLEFINANCE(""Currency:EURKZT"")*N238)"),238785)</f>
        <v>238785</v>
      </c>
      <c r="R238" s="26">
        <f t="shared" ca="1" si="4"/>
        <v>316170</v>
      </c>
      <c r="S238" s="26">
        <f t="shared" ca="1" si="5"/>
        <v>3428492</v>
      </c>
      <c r="T238" s="26">
        <f ca="1">IFERROR(__xludf.DUMMYFUNCTION("ROUND(GOOGLEFINANCE(""Currency:EURKZT"")*L238+S238)"),3929095)</f>
        <v>3929095</v>
      </c>
      <c r="U238" s="26">
        <f ca="1">IFERROR(__xludf.DUMMYFUNCTION("D238*GOOGLEFINANCE(""RUBKZT"")*1000/F238"),4790894.81975688)</f>
        <v>4790894.8197568804</v>
      </c>
      <c r="V238" s="27">
        <f t="shared" ca="1" si="6"/>
        <v>0.21933799507440782</v>
      </c>
    </row>
    <row r="239" spans="1:22" ht="12.75" customHeight="1" x14ac:dyDescent="0.2">
      <c r="A239" s="6" t="s">
        <v>168</v>
      </c>
      <c r="B239" s="6" t="s">
        <v>18</v>
      </c>
      <c r="C239" s="7">
        <v>140082</v>
      </c>
      <c r="D239" s="8">
        <v>146752.79999999999</v>
      </c>
      <c r="E239" s="9" t="s">
        <v>16</v>
      </c>
      <c r="F239" s="23">
        <v>180</v>
      </c>
      <c r="G239" s="25"/>
      <c r="H239" s="14">
        <f t="shared" si="0"/>
        <v>0.55000000000000004</v>
      </c>
      <c r="I239" s="25">
        <f ca="1">IFERROR(__xludf.DUMMYFUNCTION("ROUND(D239*GOOGLEFINANCE(""RUBKZT"")*H239)"),629854)</f>
        <v>629854</v>
      </c>
      <c r="J239" s="26">
        <f ca="1">IFERROR(__xludf.DUMMYFUNCTION("ROUND(I239*GOOGLEFINANCE(""KZTEUR""))"),1319)</f>
        <v>1319</v>
      </c>
      <c r="K239" s="26">
        <f t="shared" ca="1" si="1"/>
        <v>7328</v>
      </c>
      <c r="L239" s="26">
        <f t="shared" ca="1" si="2"/>
        <v>1392.32</v>
      </c>
      <c r="M239" s="26">
        <f t="shared" ref="M239:N239" si="243">M$3</f>
        <v>500</v>
      </c>
      <c r="N239" s="26">
        <f t="shared" si="243"/>
        <v>500</v>
      </c>
      <c r="O239" s="26">
        <f ca="1">IFERROR(__xludf.DUMMYFUNCTION("ROUND(GOOGLEFINANCE(""Currency:EURKZT"")*K239)"),3499630)</f>
        <v>3499630</v>
      </c>
      <c r="P239" s="26">
        <f ca="1">IFERROR(__xludf.DUMMYFUNCTION("ROUND(GOOGLEFINANCE(""Currency:EURKZT"")*M239)"),238785)</f>
        <v>238785</v>
      </c>
      <c r="Q239" s="26">
        <f ca="1">IFERROR(__xludf.DUMMYFUNCTION("ROUND(GOOGLEFINANCE(""Currency:EURKZT"")*N239)"),238785)</f>
        <v>238785</v>
      </c>
      <c r="R239" s="26">
        <f t="shared" ca="1" si="4"/>
        <v>419956</v>
      </c>
      <c r="S239" s="26">
        <f t="shared" ca="1" si="5"/>
        <v>4397156</v>
      </c>
      <c r="T239" s="26">
        <f ca="1">IFERROR(__xludf.DUMMYFUNCTION("ROUND(GOOGLEFINANCE(""Currency:EURKZT"")*L239+S239)"),5062086)</f>
        <v>5062086</v>
      </c>
      <c r="U239" s="26">
        <f ca="1">IFERROR(__xludf.DUMMYFUNCTION("D239*GOOGLEFINANCE(""RUBKZT"")*1000/F239"),6362160.15774991)</f>
        <v>6362160.1577499099</v>
      </c>
      <c r="V239" s="27">
        <f t="shared" ca="1" si="6"/>
        <v>0.25682577454233491</v>
      </c>
    </row>
    <row r="240" spans="1:22" ht="12.75" customHeight="1" x14ac:dyDescent="0.2">
      <c r="A240" s="6" t="s">
        <v>78</v>
      </c>
      <c r="B240" s="6" t="s">
        <v>18</v>
      </c>
      <c r="C240" s="7">
        <v>140096</v>
      </c>
      <c r="D240" s="8">
        <v>112292.4</v>
      </c>
      <c r="E240" s="9" t="s">
        <v>16</v>
      </c>
      <c r="F240" s="23">
        <v>180</v>
      </c>
      <c r="G240" s="25"/>
      <c r="H240" s="14">
        <f t="shared" si="0"/>
        <v>0.55000000000000004</v>
      </c>
      <c r="I240" s="25">
        <f ca="1">IFERROR(__xludf.DUMMYFUNCTION("ROUND(D240*GOOGLEFINANCE(""RUBKZT"")*H240)"),481952)</f>
        <v>481952</v>
      </c>
      <c r="J240" s="26">
        <f ca="1">IFERROR(__xludf.DUMMYFUNCTION("ROUND(I240*GOOGLEFINANCE(""KZTEUR""))"),1009)</f>
        <v>1009</v>
      </c>
      <c r="K240" s="26">
        <f t="shared" ca="1" si="1"/>
        <v>5606</v>
      </c>
      <c r="L240" s="26">
        <f t="shared" ca="1" si="2"/>
        <v>1065.1400000000001</v>
      </c>
      <c r="M240" s="26">
        <f t="shared" ref="M240:N240" si="244">M$3</f>
        <v>500</v>
      </c>
      <c r="N240" s="26">
        <f t="shared" si="244"/>
        <v>500</v>
      </c>
      <c r="O240" s="26">
        <f ca="1">IFERROR(__xludf.DUMMYFUNCTION("ROUND(GOOGLEFINANCE(""Currency:EURKZT"")*K240)"),2677255)</f>
        <v>2677255</v>
      </c>
      <c r="P240" s="26">
        <f ca="1">IFERROR(__xludf.DUMMYFUNCTION("ROUND(GOOGLEFINANCE(""Currency:EURKZT"")*M240)"),238785)</f>
        <v>238785</v>
      </c>
      <c r="Q240" s="26">
        <f ca="1">IFERROR(__xludf.DUMMYFUNCTION("ROUND(GOOGLEFINANCE(""Currency:EURKZT"")*N240)"),238785)</f>
        <v>238785</v>
      </c>
      <c r="R240" s="26">
        <f t="shared" ca="1" si="4"/>
        <v>321271</v>
      </c>
      <c r="S240" s="26">
        <f t="shared" ca="1" si="5"/>
        <v>3476096</v>
      </c>
      <c r="T240" s="26">
        <f ca="1">IFERROR(__xludf.DUMMYFUNCTION("ROUND(GOOGLEFINANCE(""Currency:EURKZT"")*L240+S240)"),3984774)</f>
        <v>3984774</v>
      </c>
      <c r="U240" s="26">
        <f ca="1">IFERROR(__xludf.DUMMYFUNCTION("D240*GOOGLEFINANCE(""RUBKZT"")*1000/F240"),4868201.71947736)</f>
        <v>4868201.7194773601</v>
      </c>
      <c r="V240" s="27">
        <f t="shared" ca="1" si="6"/>
        <v>0.22170083409432007</v>
      </c>
    </row>
    <row r="241" spans="1:22" ht="12.75" customHeight="1" x14ac:dyDescent="0.2">
      <c r="A241" s="6" t="s">
        <v>25</v>
      </c>
      <c r="B241" s="6" t="s">
        <v>18</v>
      </c>
      <c r="C241" s="7">
        <v>140106</v>
      </c>
      <c r="D241" s="8">
        <v>173763.6</v>
      </c>
      <c r="E241" s="9" t="s">
        <v>16</v>
      </c>
      <c r="F241" s="23">
        <v>180</v>
      </c>
      <c r="G241" s="25"/>
      <c r="H241" s="14">
        <f t="shared" si="0"/>
        <v>0.55000000000000004</v>
      </c>
      <c r="I241" s="25">
        <f ca="1">IFERROR(__xludf.DUMMYFUNCTION("ROUND(D241*GOOGLEFINANCE(""RUBKZT"")*H241)"),745783)</f>
        <v>745783</v>
      </c>
      <c r="J241" s="26">
        <f ca="1">IFERROR(__xludf.DUMMYFUNCTION("ROUND(I241*GOOGLEFINANCE(""KZTEUR""))"),1562)</f>
        <v>1562</v>
      </c>
      <c r="K241" s="26">
        <f t="shared" ca="1" si="1"/>
        <v>8678</v>
      </c>
      <c r="L241" s="26">
        <f t="shared" ca="1" si="2"/>
        <v>1648.82</v>
      </c>
      <c r="M241" s="26">
        <f t="shared" ref="M241:N241" si="245">M$3</f>
        <v>500</v>
      </c>
      <c r="N241" s="26">
        <f t="shared" si="245"/>
        <v>500</v>
      </c>
      <c r="O241" s="26">
        <f ca="1">IFERROR(__xludf.DUMMYFUNCTION("ROUND(GOOGLEFINANCE(""Currency:EURKZT"")*K241)"),4144349)</f>
        <v>4144349</v>
      </c>
      <c r="P241" s="26">
        <f ca="1">IFERROR(__xludf.DUMMYFUNCTION("ROUND(GOOGLEFINANCE(""Currency:EURKZT"")*M241)"),238785)</f>
        <v>238785</v>
      </c>
      <c r="Q241" s="26">
        <f ca="1">IFERROR(__xludf.DUMMYFUNCTION("ROUND(GOOGLEFINANCE(""Currency:EURKZT"")*N241)"),238785)</f>
        <v>238785</v>
      </c>
      <c r="R241" s="26">
        <f t="shared" ca="1" si="4"/>
        <v>497322</v>
      </c>
      <c r="S241" s="26">
        <f t="shared" ca="1" si="5"/>
        <v>5119241</v>
      </c>
      <c r="T241" s="26">
        <f ca="1">IFERROR(__xludf.DUMMYFUNCTION("ROUND(GOOGLEFINANCE(""Currency:EURKZT"")*L241+S241)"),5906667)</f>
        <v>5906667</v>
      </c>
      <c r="U241" s="26">
        <f ca="1">IFERROR(__xludf.DUMMYFUNCTION("D241*GOOGLEFINANCE(""RUBKZT"")*1000/F241"),7533156.79692104)</f>
        <v>7533156.7969210399</v>
      </c>
      <c r="V241" s="27">
        <f t="shared" ca="1" si="6"/>
        <v>0.27536507423239537</v>
      </c>
    </row>
    <row r="242" spans="1:22" ht="12.75" customHeight="1" x14ac:dyDescent="0.2">
      <c r="A242" s="6" t="s">
        <v>162</v>
      </c>
      <c r="B242" s="6" t="s">
        <v>18</v>
      </c>
      <c r="C242" s="7">
        <v>140168</v>
      </c>
      <c r="D242" s="8">
        <v>111079.2</v>
      </c>
      <c r="E242" s="9" t="s">
        <v>7</v>
      </c>
      <c r="F242" s="23">
        <v>180</v>
      </c>
      <c r="G242" s="25"/>
      <c r="H242" s="14">
        <f t="shared" si="0"/>
        <v>0.55000000000000004</v>
      </c>
      <c r="I242" s="25">
        <f ca="1">IFERROR(__xludf.DUMMYFUNCTION("ROUND(D242*GOOGLEFINANCE(""RUBKZT"")*H242)"),476745)</f>
        <v>476745</v>
      </c>
      <c r="J242" s="26">
        <f ca="1">IFERROR(__xludf.DUMMYFUNCTION("ROUND(I242*GOOGLEFINANCE(""KZTEUR""))"),998)</f>
        <v>998</v>
      </c>
      <c r="K242" s="26">
        <f t="shared" ca="1" si="1"/>
        <v>5544</v>
      </c>
      <c r="L242" s="26">
        <f t="shared" ca="1" si="2"/>
        <v>1053.3599999999999</v>
      </c>
      <c r="M242" s="26">
        <f t="shared" ref="M242:N242" si="246">M$3</f>
        <v>500</v>
      </c>
      <c r="N242" s="26">
        <f t="shared" si="246"/>
        <v>500</v>
      </c>
      <c r="O242" s="26">
        <f ca="1">IFERROR(__xludf.DUMMYFUNCTION("ROUND(GOOGLEFINANCE(""Currency:EURKZT"")*K242)"),2647646)</f>
        <v>2647646</v>
      </c>
      <c r="P242" s="26">
        <f ca="1">IFERROR(__xludf.DUMMYFUNCTION("ROUND(GOOGLEFINANCE(""Currency:EURKZT"")*M242)"),238785)</f>
        <v>238785</v>
      </c>
      <c r="Q242" s="26">
        <f ca="1">IFERROR(__xludf.DUMMYFUNCTION("ROUND(GOOGLEFINANCE(""Currency:EURKZT"")*N242)"),238785)</f>
        <v>238785</v>
      </c>
      <c r="R242" s="26">
        <f t="shared" ca="1" si="4"/>
        <v>317718</v>
      </c>
      <c r="S242" s="26">
        <f t="shared" ca="1" si="5"/>
        <v>3442934</v>
      </c>
      <c r="T242" s="26">
        <f ca="1">IFERROR(__xludf.DUMMYFUNCTION("ROUND(GOOGLEFINANCE(""Currency:EURKZT"")*L242+S242)"),3945987)</f>
        <v>3945987</v>
      </c>
      <c r="U242" s="26">
        <f ca="1">IFERROR(__xludf.DUMMYFUNCTION("D242*GOOGLEFINANCE(""RUBKZT"")*1000/F242"),4815605.97545488)</f>
        <v>4815605.9754548799</v>
      </c>
      <c r="V242" s="27">
        <f t="shared" ca="1" si="6"/>
        <v>0.22038059817604061</v>
      </c>
    </row>
    <row r="243" spans="1:22" ht="12.75" customHeight="1" x14ac:dyDescent="0.2">
      <c r="A243" s="6" t="s">
        <v>172</v>
      </c>
      <c r="B243" s="6" t="s">
        <v>18</v>
      </c>
      <c r="C243" s="7">
        <v>140191</v>
      </c>
      <c r="D243" s="8">
        <v>160694.39999999999</v>
      </c>
      <c r="E243" s="9" t="s">
        <v>16</v>
      </c>
      <c r="F243" s="23">
        <v>180</v>
      </c>
      <c r="G243" s="25"/>
      <c r="H243" s="14">
        <f t="shared" si="0"/>
        <v>0.55000000000000004</v>
      </c>
      <c r="I243" s="25">
        <f ca="1">IFERROR(__xludf.DUMMYFUNCTION("ROUND(D243*GOOGLEFINANCE(""RUBKZT"")*H243)"),689690)</f>
        <v>689690</v>
      </c>
      <c r="J243" s="26">
        <f ca="1">IFERROR(__xludf.DUMMYFUNCTION("ROUND(I243*GOOGLEFINANCE(""KZTEUR""))"),1444)</f>
        <v>1444</v>
      </c>
      <c r="K243" s="26">
        <f t="shared" ca="1" si="1"/>
        <v>8022</v>
      </c>
      <c r="L243" s="26">
        <f t="shared" ca="1" si="2"/>
        <v>1524.18</v>
      </c>
      <c r="M243" s="26">
        <f t="shared" ref="M243:N243" si="247">M$3</f>
        <v>500</v>
      </c>
      <c r="N243" s="26">
        <f t="shared" si="247"/>
        <v>500</v>
      </c>
      <c r="O243" s="26">
        <f ca="1">IFERROR(__xludf.DUMMYFUNCTION("ROUND(GOOGLEFINANCE(""Currency:EURKZT"")*K243)"),3831063)</f>
        <v>3831063</v>
      </c>
      <c r="P243" s="26">
        <f ca="1">IFERROR(__xludf.DUMMYFUNCTION("ROUND(GOOGLEFINANCE(""Currency:EURKZT"")*M243)"),238785)</f>
        <v>238785</v>
      </c>
      <c r="Q243" s="26">
        <f ca="1">IFERROR(__xludf.DUMMYFUNCTION("ROUND(GOOGLEFINANCE(""Currency:EURKZT"")*N243)"),238785)</f>
        <v>238785</v>
      </c>
      <c r="R243" s="26">
        <f t="shared" ca="1" si="4"/>
        <v>459728</v>
      </c>
      <c r="S243" s="26">
        <f t="shared" ca="1" si="5"/>
        <v>4768361</v>
      </c>
      <c r="T243" s="26">
        <f ca="1">IFERROR(__xludf.DUMMYFUNCTION("ROUND(GOOGLEFINANCE(""Currency:EURKZT"")*L243+S243)"),5496263)</f>
        <v>5496263</v>
      </c>
      <c r="U243" s="26">
        <f ca="1">IFERROR(__xludf.DUMMYFUNCTION("D243*GOOGLEFINANCE(""RUBKZT"")*1000/F243"),6966569.01438016)</f>
        <v>6966569.0143801598</v>
      </c>
      <c r="V243" s="27">
        <f t="shared" ca="1" si="6"/>
        <v>0.26751012722283485</v>
      </c>
    </row>
    <row r="244" spans="1:22" ht="12.75" customHeight="1" x14ac:dyDescent="0.2">
      <c r="A244" s="6" t="s">
        <v>174</v>
      </c>
      <c r="B244" s="6" t="s">
        <v>18</v>
      </c>
      <c r="C244" s="7">
        <v>140202</v>
      </c>
      <c r="D244" s="8">
        <v>252178.8</v>
      </c>
      <c r="E244" s="9" t="s">
        <v>16</v>
      </c>
      <c r="F244" s="23">
        <v>180</v>
      </c>
      <c r="G244" s="25"/>
      <c r="H244" s="14">
        <f t="shared" si="0"/>
        <v>0.55000000000000004</v>
      </c>
      <c r="I244" s="25">
        <f ca="1">IFERROR(__xludf.DUMMYFUNCTION("ROUND(D244*GOOGLEFINANCE(""RUBKZT"")*H244)"),1082336)</f>
        <v>1082336</v>
      </c>
      <c r="J244" s="26">
        <f ca="1">IFERROR(__xludf.DUMMYFUNCTION("ROUND(I244*GOOGLEFINANCE(""KZTEUR""))"),2267)</f>
        <v>2267</v>
      </c>
      <c r="K244" s="26">
        <f t="shared" ca="1" si="1"/>
        <v>12594</v>
      </c>
      <c r="L244" s="26">
        <f t="shared" ca="1" si="2"/>
        <v>2392.86</v>
      </c>
      <c r="M244" s="26">
        <f t="shared" ref="M244:N244" si="248">M$3</f>
        <v>500</v>
      </c>
      <c r="N244" s="26">
        <f t="shared" si="248"/>
        <v>500</v>
      </c>
      <c r="O244" s="26">
        <f ca="1">IFERROR(__xludf.DUMMYFUNCTION("ROUND(GOOGLEFINANCE(""Currency:EURKZT"")*K244)"),6014512)</f>
        <v>6014512</v>
      </c>
      <c r="P244" s="26">
        <f ca="1">IFERROR(__xludf.DUMMYFUNCTION("ROUND(GOOGLEFINANCE(""Currency:EURKZT"")*M244)"),238785)</f>
        <v>238785</v>
      </c>
      <c r="Q244" s="26">
        <f ca="1">IFERROR(__xludf.DUMMYFUNCTION("ROUND(GOOGLEFINANCE(""Currency:EURKZT"")*N244)"),238785)</f>
        <v>238785</v>
      </c>
      <c r="R244" s="26">
        <f t="shared" ca="1" si="4"/>
        <v>721741</v>
      </c>
      <c r="S244" s="26">
        <f t="shared" ca="1" si="5"/>
        <v>7213823</v>
      </c>
      <c r="T244" s="26">
        <f ca="1">IFERROR(__xludf.DUMMYFUNCTION("ROUND(GOOGLEFINANCE(""Currency:EURKZT"")*L244+S244)"),8356580)</f>
        <v>8356580</v>
      </c>
      <c r="U244" s="26">
        <f ca="1">IFERROR(__xludf.DUMMYFUNCTION("D244*GOOGLEFINANCE(""RUBKZT"")*1000/F244"),10932683.4921663)</f>
        <v>10932683.492166299</v>
      </c>
      <c r="V244" s="27">
        <f t="shared" ca="1" si="6"/>
        <v>0.30827246219940446</v>
      </c>
    </row>
    <row r="245" spans="1:22" ht="12.75" customHeight="1" x14ac:dyDescent="0.2">
      <c r="A245" s="6" t="s">
        <v>171</v>
      </c>
      <c r="B245" s="6" t="s">
        <v>18</v>
      </c>
      <c r="C245" s="7">
        <v>146190</v>
      </c>
      <c r="D245" s="8">
        <v>132939.6</v>
      </c>
      <c r="E245" s="9" t="s">
        <v>16</v>
      </c>
      <c r="F245" s="23">
        <v>180</v>
      </c>
      <c r="G245" s="25"/>
      <c r="H245" s="14">
        <f t="shared" si="0"/>
        <v>0.55000000000000004</v>
      </c>
      <c r="I245" s="25">
        <f ca="1">IFERROR(__xludf.DUMMYFUNCTION("ROUND(D245*GOOGLEFINANCE(""RUBKZT"")*H245)"),570568)</f>
        <v>570568</v>
      </c>
      <c r="J245" s="26">
        <f ca="1">IFERROR(__xludf.DUMMYFUNCTION("ROUND(I245*GOOGLEFINANCE(""KZTEUR""))"),1195)</f>
        <v>1195</v>
      </c>
      <c r="K245" s="26">
        <f t="shared" ca="1" si="1"/>
        <v>6639</v>
      </c>
      <c r="L245" s="26">
        <f t="shared" ca="1" si="2"/>
        <v>1261.4100000000001</v>
      </c>
      <c r="M245" s="26">
        <f t="shared" ref="M245:N245" si="249">M$3</f>
        <v>500</v>
      </c>
      <c r="N245" s="26">
        <f t="shared" si="249"/>
        <v>500</v>
      </c>
      <c r="O245" s="26">
        <f ca="1">IFERROR(__xludf.DUMMYFUNCTION("ROUND(GOOGLEFINANCE(""Currency:EURKZT"")*K245)"),3170585)</f>
        <v>3170585</v>
      </c>
      <c r="P245" s="26">
        <f ca="1">IFERROR(__xludf.DUMMYFUNCTION("ROUND(GOOGLEFINANCE(""Currency:EURKZT"")*M245)"),238785)</f>
        <v>238785</v>
      </c>
      <c r="Q245" s="26">
        <f ca="1">IFERROR(__xludf.DUMMYFUNCTION("ROUND(GOOGLEFINANCE(""Currency:EURKZT"")*N245)"),238785)</f>
        <v>238785</v>
      </c>
      <c r="R245" s="26">
        <f t="shared" ca="1" si="4"/>
        <v>380470</v>
      </c>
      <c r="S245" s="26">
        <f t="shared" ca="1" si="5"/>
        <v>4028625</v>
      </c>
      <c r="T245" s="26">
        <f ca="1">IFERROR(__xludf.DUMMYFUNCTION("ROUND(GOOGLEFINANCE(""Currency:EURKZT"")*L245+S245)"),4631036)</f>
        <v>4631036</v>
      </c>
      <c r="U245" s="26">
        <f ca="1">IFERROR(__xludf.DUMMYFUNCTION("D245*GOOGLEFINANCE(""RUBKZT"")*1000/F245"),5763317.81408744)</f>
        <v>5763317.8140874403</v>
      </c>
      <c r="V245" s="27">
        <f t="shared" ca="1" si="6"/>
        <v>0.2444985990364662</v>
      </c>
    </row>
    <row r="246" spans="1:22" ht="12.75" customHeight="1" x14ac:dyDescent="0.2">
      <c r="A246" s="6" t="s">
        <v>182</v>
      </c>
      <c r="B246" s="6" t="s">
        <v>18</v>
      </c>
      <c r="C246" s="7">
        <v>147892</v>
      </c>
      <c r="D246" s="8">
        <v>132344.4</v>
      </c>
      <c r="E246" s="9" t="s">
        <v>16</v>
      </c>
      <c r="F246" s="23">
        <v>180</v>
      </c>
      <c r="G246" s="25"/>
      <c r="H246" s="14">
        <f t="shared" si="0"/>
        <v>0.55000000000000004</v>
      </c>
      <c r="I246" s="25">
        <f ca="1">IFERROR(__xludf.DUMMYFUNCTION("ROUND(D246*GOOGLEFINANCE(""RUBKZT"")*H246)"),568014)</f>
        <v>568014</v>
      </c>
      <c r="J246" s="26">
        <f ca="1">IFERROR(__xludf.DUMMYFUNCTION("ROUND(I246*GOOGLEFINANCE(""KZTEUR""))"),1190)</f>
        <v>1190</v>
      </c>
      <c r="K246" s="26">
        <f t="shared" ca="1" si="1"/>
        <v>6611</v>
      </c>
      <c r="L246" s="26">
        <f t="shared" ca="1" si="2"/>
        <v>1256.0899999999999</v>
      </c>
      <c r="M246" s="26">
        <f t="shared" ref="M246:N246" si="250">M$3</f>
        <v>500</v>
      </c>
      <c r="N246" s="26">
        <f t="shared" si="250"/>
        <v>500</v>
      </c>
      <c r="O246" s="26">
        <f ca="1">IFERROR(__xludf.DUMMYFUNCTION("ROUND(GOOGLEFINANCE(""Currency:EURKZT"")*K246)"),3157213)</f>
        <v>3157213</v>
      </c>
      <c r="P246" s="26">
        <f ca="1">IFERROR(__xludf.DUMMYFUNCTION("ROUND(GOOGLEFINANCE(""Currency:EURKZT"")*M246)"),238785)</f>
        <v>238785</v>
      </c>
      <c r="Q246" s="26">
        <f ca="1">IFERROR(__xludf.DUMMYFUNCTION("ROUND(GOOGLEFINANCE(""Currency:EURKZT"")*N246)"),238785)</f>
        <v>238785</v>
      </c>
      <c r="R246" s="26">
        <f t="shared" ca="1" si="4"/>
        <v>378866</v>
      </c>
      <c r="S246" s="26">
        <f t="shared" ca="1" si="5"/>
        <v>4013649</v>
      </c>
      <c r="T246" s="26">
        <f ca="1">IFERROR(__xludf.DUMMYFUNCTION("ROUND(GOOGLEFINANCE(""Currency:EURKZT"")*L246+S246)"),4613519)</f>
        <v>4613519</v>
      </c>
      <c r="U246" s="26">
        <f ca="1">IFERROR(__xludf.DUMMYFUNCTION("D246*GOOGLEFINANCE(""RUBKZT"")*1000/F246"),5737514.16519015)</f>
        <v>5737514.16519015</v>
      </c>
      <c r="V246" s="27">
        <f t="shared" ca="1" si="6"/>
        <v>0.24363076540708947</v>
      </c>
    </row>
    <row r="247" spans="1:22" ht="12.75" customHeight="1" x14ac:dyDescent="0.2">
      <c r="A247" s="6" t="s">
        <v>183</v>
      </c>
      <c r="B247" s="6" t="s">
        <v>18</v>
      </c>
      <c r="C247" s="7">
        <v>147898</v>
      </c>
      <c r="D247" s="8">
        <v>165319.19999999998</v>
      </c>
      <c r="E247" s="9" t="s">
        <v>16</v>
      </c>
      <c r="F247" s="23">
        <v>180</v>
      </c>
      <c r="G247" s="25"/>
      <c r="H247" s="14">
        <f t="shared" si="0"/>
        <v>0.55000000000000004</v>
      </c>
      <c r="I247" s="25">
        <f ca="1">IFERROR(__xludf.DUMMYFUNCTION("ROUND(D247*GOOGLEFINANCE(""RUBKZT"")*H247)"),709540)</f>
        <v>709540</v>
      </c>
      <c r="J247" s="26">
        <f ca="1">IFERROR(__xludf.DUMMYFUNCTION("ROUND(I247*GOOGLEFINANCE(""KZTEUR""))"),1486)</f>
        <v>1486</v>
      </c>
      <c r="K247" s="26">
        <f t="shared" ca="1" si="1"/>
        <v>8256</v>
      </c>
      <c r="L247" s="26">
        <f t="shared" ca="1" si="2"/>
        <v>1568.64</v>
      </c>
      <c r="M247" s="26">
        <f t="shared" ref="M247:N247" si="251">M$3</f>
        <v>500</v>
      </c>
      <c r="N247" s="26">
        <f t="shared" si="251"/>
        <v>500</v>
      </c>
      <c r="O247" s="26">
        <f ca="1">IFERROR(__xludf.DUMMYFUNCTION("ROUND(GOOGLEFINANCE(""Currency:EURKZT"")*K247)"),3942815)</f>
        <v>3942815</v>
      </c>
      <c r="P247" s="26">
        <f ca="1">IFERROR(__xludf.DUMMYFUNCTION("ROUND(GOOGLEFINANCE(""Currency:EURKZT"")*M247)"),238785)</f>
        <v>238785</v>
      </c>
      <c r="Q247" s="26">
        <f ca="1">IFERROR(__xludf.DUMMYFUNCTION("ROUND(GOOGLEFINANCE(""Currency:EURKZT"")*N247)"),238785)</f>
        <v>238785</v>
      </c>
      <c r="R247" s="26">
        <f t="shared" ca="1" si="4"/>
        <v>473138</v>
      </c>
      <c r="S247" s="26">
        <f t="shared" ca="1" si="5"/>
        <v>4893523</v>
      </c>
      <c r="T247" s="26">
        <f ca="1">IFERROR(__xludf.DUMMYFUNCTION("ROUND(GOOGLEFINANCE(""Currency:EURKZT"")*L247+S247)"),5642658)</f>
        <v>5642658</v>
      </c>
      <c r="U247" s="26">
        <f ca="1">IFERROR(__xludf.DUMMYFUNCTION("D247*GOOGLEFINANCE(""RUBKZT"")*1000/F247"),7167067.52819087)</f>
        <v>7167067.5281908698</v>
      </c>
      <c r="V247" s="27">
        <f t="shared" ca="1" si="6"/>
        <v>0.27015805816883992</v>
      </c>
    </row>
    <row r="248" spans="1:22" ht="12.75" customHeight="1" x14ac:dyDescent="0.2">
      <c r="A248" s="6" t="s">
        <v>206</v>
      </c>
      <c r="B248" s="6" t="s">
        <v>18</v>
      </c>
      <c r="C248" s="7">
        <v>152100</v>
      </c>
      <c r="D248" s="8">
        <v>151549.19999999998</v>
      </c>
      <c r="E248" s="9" t="s">
        <v>16</v>
      </c>
      <c r="F248" s="23">
        <v>180</v>
      </c>
      <c r="G248" s="25"/>
      <c r="H248" s="14">
        <f t="shared" si="0"/>
        <v>0.55000000000000004</v>
      </c>
      <c r="I248" s="25">
        <f ca="1">IFERROR(__xludf.DUMMYFUNCTION("ROUND(D248*GOOGLEFINANCE(""RUBKZT"")*H248)"),650440)</f>
        <v>650440</v>
      </c>
      <c r="J248" s="26">
        <f ca="1">IFERROR(__xludf.DUMMYFUNCTION("ROUND(I248*GOOGLEFINANCE(""KZTEUR""))"),1362)</f>
        <v>1362</v>
      </c>
      <c r="K248" s="26">
        <f t="shared" ca="1" si="1"/>
        <v>7567</v>
      </c>
      <c r="L248" s="26">
        <f t="shared" ca="1" si="2"/>
        <v>1437.73</v>
      </c>
      <c r="M248" s="26">
        <f t="shared" ref="M248:N248" si="252">M$3</f>
        <v>500</v>
      </c>
      <c r="N248" s="26">
        <f t="shared" si="252"/>
        <v>500</v>
      </c>
      <c r="O248" s="26">
        <f ca="1">IFERROR(__xludf.DUMMYFUNCTION("ROUND(GOOGLEFINANCE(""Currency:EURKZT"")*K248)"),3613769)</f>
        <v>3613769</v>
      </c>
      <c r="P248" s="26">
        <f ca="1">IFERROR(__xludf.DUMMYFUNCTION("ROUND(GOOGLEFINANCE(""Currency:EURKZT"")*M248)"),238785)</f>
        <v>238785</v>
      </c>
      <c r="Q248" s="26">
        <f ca="1">IFERROR(__xludf.DUMMYFUNCTION("ROUND(GOOGLEFINANCE(""Currency:EURKZT"")*N248)"),238785)</f>
        <v>238785</v>
      </c>
      <c r="R248" s="26">
        <f t="shared" ca="1" si="4"/>
        <v>433652</v>
      </c>
      <c r="S248" s="26">
        <f t="shared" ca="1" si="5"/>
        <v>4524991</v>
      </c>
      <c r="T248" s="26">
        <f ca="1">IFERROR(__xludf.DUMMYFUNCTION("ROUND(GOOGLEFINANCE(""Currency:EURKZT"")*L248+S248)"),5211607)</f>
        <v>5211607</v>
      </c>
      <c r="U248" s="26">
        <f ca="1">IFERROR(__xludf.DUMMYFUNCTION("D248*GOOGLEFINANCE(""RUBKZT"")*1000/F248"),6570098.03001287)</f>
        <v>6570098.0300128702</v>
      </c>
      <c r="V248" s="27">
        <f t="shared" ca="1" si="6"/>
        <v>0.26066643743721857</v>
      </c>
    </row>
    <row r="249" spans="1:22" ht="12.75" customHeight="1" x14ac:dyDescent="0.2">
      <c r="A249" s="6" t="s">
        <v>211</v>
      </c>
      <c r="B249" s="6" t="s">
        <v>18</v>
      </c>
      <c r="C249" s="7">
        <v>155147</v>
      </c>
      <c r="D249" s="8">
        <v>133681.19999999998</v>
      </c>
      <c r="E249" s="9" t="s">
        <v>16</v>
      </c>
      <c r="F249" s="23">
        <v>180</v>
      </c>
      <c r="G249" s="25"/>
      <c r="H249" s="14">
        <f t="shared" si="0"/>
        <v>0.55000000000000004</v>
      </c>
      <c r="I249" s="25">
        <f ca="1">IFERROR(__xludf.DUMMYFUNCTION("ROUND(D249*GOOGLEFINANCE(""RUBKZT"")*H249)"),573751)</f>
        <v>573751</v>
      </c>
      <c r="J249" s="26">
        <f ca="1">IFERROR(__xludf.DUMMYFUNCTION("ROUND(I249*GOOGLEFINANCE(""KZTEUR""))"),1202)</f>
        <v>1202</v>
      </c>
      <c r="K249" s="26">
        <f t="shared" ca="1" si="1"/>
        <v>6678</v>
      </c>
      <c r="L249" s="26">
        <f t="shared" ca="1" si="2"/>
        <v>1268.82</v>
      </c>
      <c r="M249" s="26">
        <f t="shared" ref="M249:N249" si="253">M$3</f>
        <v>500</v>
      </c>
      <c r="N249" s="26">
        <f t="shared" si="253"/>
        <v>500</v>
      </c>
      <c r="O249" s="26">
        <f ca="1">IFERROR(__xludf.DUMMYFUNCTION("ROUND(GOOGLEFINANCE(""Currency:EURKZT"")*K249)"),3189210)</f>
        <v>3189210</v>
      </c>
      <c r="P249" s="26">
        <f ca="1">IFERROR(__xludf.DUMMYFUNCTION("ROUND(GOOGLEFINANCE(""Currency:EURKZT"")*M249)"),238785)</f>
        <v>238785</v>
      </c>
      <c r="Q249" s="26">
        <f ca="1">IFERROR(__xludf.DUMMYFUNCTION("ROUND(GOOGLEFINANCE(""Currency:EURKZT"")*N249)"),238785)</f>
        <v>238785</v>
      </c>
      <c r="R249" s="26">
        <f t="shared" ca="1" si="4"/>
        <v>382705</v>
      </c>
      <c r="S249" s="26">
        <f t="shared" ca="1" si="5"/>
        <v>4049485</v>
      </c>
      <c r="T249" s="26">
        <f ca="1">IFERROR(__xludf.DUMMYFUNCTION("ROUND(GOOGLEFINANCE(""Currency:EURKZT"")*L249+S249)"),4655435)</f>
        <v>4655435</v>
      </c>
      <c r="U249" s="26">
        <f ca="1">IFERROR(__xludf.DUMMYFUNCTION("D249*GOOGLEFINANCE(""RUBKZT"")*1000/F249"),5795468.32823768)</f>
        <v>5795468.3282376798</v>
      </c>
      <c r="V249" s="27">
        <f t="shared" ca="1" si="6"/>
        <v>0.24488223511609114</v>
      </c>
    </row>
    <row r="250" spans="1:22" ht="12.75" customHeight="1" x14ac:dyDescent="0.2">
      <c r="A250" s="6" t="s">
        <v>184</v>
      </c>
      <c r="B250" s="6" t="s">
        <v>18</v>
      </c>
      <c r="C250" s="7">
        <v>157463</v>
      </c>
      <c r="D250" s="8">
        <v>147571.19999999998</v>
      </c>
      <c r="E250" s="9" t="s">
        <v>16</v>
      </c>
      <c r="F250" s="23">
        <v>180</v>
      </c>
      <c r="G250" s="25"/>
      <c r="H250" s="14">
        <f t="shared" si="0"/>
        <v>0.55000000000000004</v>
      </c>
      <c r="I250" s="25">
        <f ca="1">IFERROR(__xludf.DUMMYFUNCTION("ROUND(D250*GOOGLEFINANCE(""RUBKZT"")*H250)"),633366)</f>
        <v>633366</v>
      </c>
      <c r="J250" s="26">
        <f ca="1">IFERROR(__xludf.DUMMYFUNCTION("ROUND(I250*GOOGLEFINANCE(""KZTEUR""))"),1326)</f>
        <v>1326</v>
      </c>
      <c r="K250" s="26">
        <f t="shared" ca="1" si="1"/>
        <v>7367</v>
      </c>
      <c r="L250" s="26">
        <f t="shared" ca="1" si="2"/>
        <v>1399.73</v>
      </c>
      <c r="M250" s="26">
        <f t="shared" ref="M250:N250" si="254">M$3</f>
        <v>500</v>
      </c>
      <c r="N250" s="26">
        <f t="shared" si="254"/>
        <v>500</v>
      </c>
      <c r="O250" s="26">
        <f ca="1">IFERROR(__xludf.DUMMYFUNCTION("ROUND(GOOGLEFINANCE(""Currency:EURKZT"")*K250)"),3518255)</f>
        <v>3518255</v>
      </c>
      <c r="P250" s="26">
        <f ca="1">IFERROR(__xludf.DUMMYFUNCTION("ROUND(GOOGLEFINANCE(""Currency:EURKZT"")*M250)"),238785)</f>
        <v>238785</v>
      </c>
      <c r="Q250" s="26">
        <f ca="1">IFERROR(__xludf.DUMMYFUNCTION("ROUND(GOOGLEFINANCE(""Currency:EURKZT"")*N250)"),238785)</f>
        <v>238785</v>
      </c>
      <c r="R250" s="26">
        <f t="shared" ca="1" si="4"/>
        <v>422191</v>
      </c>
      <c r="S250" s="26">
        <f t="shared" ca="1" si="5"/>
        <v>4418016</v>
      </c>
      <c r="T250" s="26">
        <f ca="1">IFERROR(__xludf.DUMMYFUNCTION("ROUND(GOOGLEFINANCE(""Currency:EURKZT"")*L250+S250)"),5086485)</f>
        <v>5086485</v>
      </c>
      <c r="U250" s="26">
        <f ca="1">IFERROR(__xludf.DUMMYFUNCTION("D250*GOOGLEFINANCE(""RUBKZT"")*1000/F250"),6397640.17498368)</f>
        <v>6397640.1749836802</v>
      </c>
      <c r="V250" s="27">
        <f t="shared" ca="1" si="6"/>
        <v>0.2577723467155964</v>
      </c>
    </row>
    <row r="251" spans="1:22" ht="12.75" customHeight="1" x14ac:dyDescent="0.2">
      <c r="A251" s="6" t="s">
        <v>281</v>
      </c>
      <c r="B251" s="6" t="s">
        <v>18</v>
      </c>
      <c r="C251" s="7">
        <v>176269</v>
      </c>
      <c r="D251" s="8">
        <v>138136.79999999999</v>
      </c>
      <c r="E251" s="9" t="s">
        <v>16</v>
      </c>
      <c r="F251" s="23">
        <v>180</v>
      </c>
      <c r="G251" s="25"/>
      <c r="H251" s="14">
        <f t="shared" si="0"/>
        <v>0.55000000000000004</v>
      </c>
      <c r="I251" s="25">
        <f ca="1">IFERROR(__xludf.DUMMYFUNCTION("ROUND(D251*GOOGLEFINANCE(""RUBKZT"")*H251)"),592875)</f>
        <v>592875</v>
      </c>
      <c r="J251" s="26">
        <f ca="1">IFERROR(__xludf.DUMMYFUNCTION("ROUND(I251*GOOGLEFINANCE(""KZTEUR""))"),1242)</f>
        <v>1242</v>
      </c>
      <c r="K251" s="26">
        <f t="shared" ca="1" si="1"/>
        <v>6900</v>
      </c>
      <c r="L251" s="26">
        <f t="shared" ca="1" si="2"/>
        <v>1311</v>
      </c>
      <c r="M251" s="26">
        <f t="shared" ref="M251:N251" si="255">M$3</f>
        <v>500</v>
      </c>
      <c r="N251" s="26">
        <f t="shared" si="255"/>
        <v>500</v>
      </c>
      <c r="O251" s="26">
        <f ca="1">IFERROR(__xludf.DUMMYFUNCTION("ROUND(GOOGLEFINANCE(""Currency:EURKZT"")*K251)"),3295230)</f>
        <v>3295230</v>
      </c>
      <c r="P251" s="26">
        <f ca="1">IFERROR(__xludf.DUMMYFUNCTION("ROUND(GOOGLEFINANCE(""Currency:EURKZT"")*M251)"),238785)</f>
        <v>238785</v>
      </c>
      <c r="Q251" s="26">
        <f ca="1">IFERROR(__xludf.DUMMYFUNCTION("ROUND(GOOGLEFINANCE(""Currency:EURKZT"")*N251)"),238785)</f>
        <v>238785</v>
      </c>
      <c r="R251" s="26">
        <f t="shared" ca="1" si="4"/>
        <v>395428</v>
      </c>
      <c r="S251" s="26">
        <f t="shared" ca="1" si="5"/>
        <v>4168228</v>
      </c>
      <c r="T251" s="26">
        <f ca="1">IFERROR(__xludf.DUMMYFUNCTION("ROUND(GOOGLEFINANCE(""Currency:EURKZT"")*L251+S251)"),4794322)</f>
        <v>4794322</v>
      </c>
      <c r="U251" s="26">
        <f ca="1">IFERROR(__xludf.DUMMYFUNCTION("D251*GOOGLEFINANCE(""RUBKZT"")*1000/F251"),5988631.53056752)</f>
        <v>5988631.5305675203</v>
      </c>
      <c r="V251" s="27">
        <f t="shared" ca="1" si="6"/>
        <v>0.2491091609131636</v>
      </c>
    </row>
    <row r="252" spans="1:22" ht="12.75" customHeight="1" x14ac:dyDescent="0.2">
      <c r="A252" s="6" t="s">
        <v>289</v>
      </c>
      <c r="B252" s="6" t="s">
        <v>18</v>
      </c>
      <c r="C252" s="7">
        <v>182158</v>
      </c>
      <c r="D252" s="8">
        <v>140538</v>
      </c>
      <c r="E252" s="9" t="s">
        <v>16</v>
      </c>
      <c r="F252" s="23">
        <v>180</v>
      </c>
      <c r="G252" s="25"/>
      <c r="H252" s="14">
        <f t="shared" si="0"/>
        <v>0.55000000000000004</v>
      </c>
      <c r="I252" s="25">
        <f ca="1">IFERROR(__xludf.DUMMYFUNCTION("ROUND(D252*GOOGLEFINANCE(""RUBKZT"")*H252)"),603180)</f>
        <v>603180</v>
      </c>
      <c r="J252" s="26">
        <f ca="1">IFERROR(__xludf.DUMMYFUNCTION("ROUND(I252*GOOGLEFINANCE(""KZTEUR""))"),1263)</f>
        <v>1263</v>
      </c>
      <c r="K252" s="26">
        <f t="shared" ca="1" si="1"/>
        <v>7017</v>
      </c>
      <c r="L252" s="26">
        <f t="shared" ca="1" si="2"/>
        <v>1333.23</v>
      </c>
      <c r="M252" s="26">
        <f t="shared" ref="M252:N252" si="256">M$3</f>
        <v>500</v>
      </c>
      <c r="N252" s="26">
        <f t="shared" si="256"/>
        <v>500</v>
      </c>
      <c r="O252" s="26">
        <f ca="1">IFERROR(__xludf.DUMMYFUNCTION("ROUND(GOOGLEFINANCE(""Currency:EURKZT"")*K252)"),3351106)</f>
        <v>3351106</v>
      </c>
      <c r="P252" s="26">
        <f ca="1">IFERROR(__xludf.DUMMYFUNCTION("ROUND(GOOGLEFINANCE(""Currency:EURKZT"")*M252)"),238785)</f>
        <v>238785</v>
      </c>
      <c r="Q252" s="26">
        <f ca="1">IFERROR(__xludf.DUMMYFUNCTION("ROUND(GOOGLEFINANCE(""Currency:EURKZT"")*N252)"),238785)</f>
        <v>238785</v>
      </c>
      <c r="R252" s="26">
        <f t="shared" ca="1" si="4"/>
        <v>402133</v>
      </c>
      <c r="S252" s="26">
        <f t="shared" ca="1" si="5"/>
        <v>4230809</v>
      </c>
      <c r="T252" s="26">
        <f ca="1">IFERROR(__xludf.DUMMYFUNCTION("ROUND(GOOGLEFINANCE(""Currency:EURKZT"")*L252+S252)"),4867519)</f>
        <v>4867519</v>
      </c>
      <c r="U252" s="26">
        <f ca="1">IFERROR(__xludf.DUMMYFUNCTION("D252*GOOGLEFINANCE(""RUBKZT"")*1000/F252"),6092730.5254132)</f>
        <v>6092730.5254132003</v>
      </c>
      <c r="V252" s="27">
        <f t="shared" ca="1" si="6"/>
        <v>0.2517117088630163</v>
      </c>
    </row>
    <row r="253" spans="1:22" ht="12.75" customHeight="1" x14ac:dyDescent="0.2">
      <c r="A253" s="6" t="s">
        <v>258</v>
      </c>
      <c r="B253" s="6" t="s">
        <v>18</v>
      </c>
      <c r="C253" s="7">
        <v>183447</v>
      </c>
      <c r="D253" s="8">
        <v>142592.4</v>
      </c>
      <c r="E253" s="9" t="s">
        <v>16</v>
      </c>
      <c r="F253" s="23">
        <v>180</v>
      </c>
      <c r="G253" s="25"/>
      <c r="H253" s="14">
        <f t="shared" si="0"/>
        <v>0.55000000000000004</v>
      </c>
      <c r="I253" s="25">
        <f ca="1">IFERROR(__xludf.DUMMYFUNCTION("ROUND(D253*GOOGLEFINANCE(""RUBKZT"")*H253)"),611998)</f>
        <v>611998</v>
      </c>
      <c r="J253" s="26">
        <f ca="1">IFERROR(__xludf.DUMMYFUNCTION("ROUND(I253*GOOGLEFINANCE(""KZTEUR""))"),1282)</f>
        <v>1282</v>
      </c>
      <c r="K253" s="26">
        <f t="shared" ca="1" si="1"/>
        <v>7122</v>
      </c>
      <c r="L253" s="26">
        <f t="shared" ca="1" si="2"/>
        <v>1353.18</v>
      </c>
      <c r="M253" s="26">
        <f t="shared" ref="M253:N253" si="257">M$3</f>
        <v>500</v>
      </c>
      <c r="N253" s="26">
        <f t="shared" si="257"/>
        <v>500</v>
      </c>
      <c r="O253" s="26">
        <f ca="1">IFERROR(__xludf.DUMMYFUNCTION("ROUND(GOOGLEFINANCE(""Currency:EURKZT"")*K253)"),3401251)</f>
        <v>3401251</v>
      </c>
      <c r="P253" s="26">
        <f ca="1">IFERROR(__xludf.DUMMYFUNCTION("ROUND(GOOGLEFINANCE(""Currency:EURKZT"")*M253)"),238785)</f>
        <v>238785</v>
      </c>
      <c r="Q253" s="26">
        <f ca="1">IFERROR(__xludf.DUMMYFUNCTION("ROUND(GOOGLEFINANCE(""Currency:EURKZT"")*N253)"),238785)</f>
        <v>238785</v>
      </c>
      <c r="R253" s="26">
        <f t="shared" ca="1" si="4"/>
        <v>408150</v>
      </c>
      <c r="S253" s="26">
        <f t="shared" ca="1" si="5"/>
        <v>4286971</v>
      </c>
      <c r="T253" s="26">
        <f ca="1">IFERROR(__xludf.DUMMYFUNCTION("ROUND(GOOGLEFINANCE(""Currency:EURKZT"")*L253+S253)"),4933209)</f>
        <v>4933209</v>
      </c>
      <c r="U253" s="26">
        <f ca="1">IFERROR(__xludf.DUMMYFUNCTION("D253*GOOGLEFINANCE(""RUBKZT"")*1000/F253"),6181794.73289736)</f>
        <v>6181794.7328973599</v>
      </c>
      <c r="V253" s="27">
        <f t="shared" ca="1" si="6"/>
        <v>0.25309808137002909</v>
      </c>
    </row>
    <row r="254" spans="1:22" ht="12.75" customHeight="1" x14ac:dyDescent="0.2">
      <c r="A254" s="6" t="s">
        <v>316</v>
      </c>
      <c r="B254" s="6" t="s">
        <v>18</v>
      </c>
      <c r="C254" s="7">
        <v>188254</v>
      </c>
      <c r="D254" s="8">
        <v>271818</v>
      </c>
      <c r="E254" s="9" t="s">
        <v>16</v>
      </c>
      <c r="F254" s="23">
        <v>180</v>
      </c>
      <c r="G254" s="25"/>
      <c r="H254" s="14">
        <f t="shared" si="0"/>
        <v>0.55000000000000004</v>
      </c>
      <c r="I254" s="25">
        <f ca="1">IFERROR(__xludf.DUMMYFUNCTION("ROUND(D254*GOOGLEFINANCE(""RUBKZT"")*H254)"),1166626)</f>
        <v>1166626</v>
      </c>
      <c r="J254" s="26">
        <f ca="1">IFERROR(__xludf.DUMMYFUNCTION("ROUND(I254*GOOGLEFINANCE(""KZTEUR""))"),2443)</f>
        <v>2443</v>
      </c>
      <c r="K254" s="26">
        <f t="shared" ca="1" si="1"/>
        <v>13572</v>
      </c>
      <c r="L254" s="26">
        <f t="shared" ca="1" si="2"/>
        <v>2578.6799999999998</v>
      </c>
      <c r="M254" s="26">
        <f t="shared" ref="M254:N254" si="258">M$3</f>
        <v>500</v>
      </c>
      <c r="N254" s="26">
        <f t="shared" si="258"/>
        <v>500</v>
      </c>
      <c r="O254" s="26">
        <f ca="1">IFERROR(__xludf.DUMMYFUNCTION("ROUND(GOOGLEFINANCE(""Currency:EURKZT"")*K254)"),6481575)</f>
        <v>6481575</v>
      </c>
      <c r="P254" s="26">
        <f ca="1">IFERROR(__xludf.DUMMYFUNCTION("ROUND(GOOGLEFINANCE(""Currency:EURKZT"")*M254)"),238785)</f>
        <v>238785</v>
      </c>
      <c r="Q254" s="26">
        <f ca="1">IFERROR(__xludf.DUMMYFUNCTION("ROUND(GOOGLEFINANCE(""Currency:EURKZT"")*N254)"),238785)</f>
        <v>238785</v>
      </c>
      <c r="R254" s="26">
        <f t="shared" ca="1" si="4"/>
        <v>777789</v>
      </c>
      <c r="S254" s="26">
        <f t="shared" ca="1" si="5"/>
        <v>7736934</v>
      </c>
      <c r="T254" s="26">
        <f ca="1">IFERROR(__xludf.DUMMYFUNCTION("ROUND(GOOGLEFINANCE(""Currency:EURKZT"")*L254+S254)"),8968433)</f>
        <v>8968433</v>
      </c>
      <c r="U254" s="26">
        <f ca="1">IFERROR(__xludf.DUMMYFUNCTION("D254*GOOGLEFINANCE(""RUBKZT"")*1000/F254"),11784099.8588052)</f>
        <v>11784099.8588052</v>
      </c>
      <c r="V254" s="27">
        <f t="shared" ca="1" si="6"/>
        <v>0.31395304606782481</v>
      </c>
    </row>
    <row r="255" spans="1:22" ht="12.75" customHeight="1" x14ac:dyDescent="0.2">
      <c r="A255" s="6" t="s">
        <v>321</v>
      </c>
      <c r="B255" s="6" t="s">
        <v>18</v>
      </c>
      <c r="C255" s="7">
        <v>188518</v>
      </c>
      <c r="D255" s="8">
        <v>262959.59999999998</v>
      </c>
      <c r="E255" s="9" t="s">
        <v>16</v>
      </c>
      <c r="F255" s="23">
        <v>180</v>
      </c>
      <c r="G255" s="25"/>
      <c r="H255" s="14">
        <f t="shared" si="0"/>
        <v>0.55000000000000004</v>
      </c>
      <c r="I255" s="25">
        <f ca="1">IFERROR(__xludf.DUMMYFUNCTION("ROUND(D255*GOOGLEFINANCE(""RUBKZT"")*H255)"),1128606)</f>
        <v>1128606</v>
      </c>
      <c r="J255" s="26">
        <f ca="1">IFERROR(__xludf.DUMMYFUNCTION("ROUND(I255*GOOGLEFINANCE(""KZTEUR""))"),2364)</f>
        <v>2364</v>
      </c>
      <c r="K255" s="26">
        <f t="shared" ca="1" si="1"/>
        <v>13133</v>
      </c>
      <c r="L255" s="26">
        <f t="shared" ca="1" si="2"/>
        <v>2495.27</v>
      </c>
      <c r="M255" s="26">
        <f t="shared" ref="M255:N255" si="259">M$3</f>
        <v>500</v>
      </c>
      <c r="N255" s="26">
        <f t="shared" si="259"/>
        <v>500</v>
      </c>
      <c r="O255" s="26">
        <f ca="1">IFERROR(__xludf.DUMMYFUNCTION("ROUND(GOOGLEFINANCE(""Currency:EURKZT"")*K255)"),6271922)</f>
        <v>6271922</v>
      </c>
      <c r="P255" s="26">
        <f ca="1">IFERROR(__xludf.DUMMYFUNCTION("ROUND(GOOGLEFINANCE(""Currency:EURKZT"")*M255)"),238785)</f>
        <v>238785</v>
      </c>
      <c r="Q255" s="26">
        <f ca="1">IFERROR(__xludf.DUMMYFUNCTION("ROUND(GOOGLEFINANCE(""Currency:EURKZT"")*N255)"),238785)</f>
        <v>238785</v>
      </c>
      <c r="R255" s="26">
        <f t="shared" ca="1" si="4"/>
        <v>752631</v>
      </c>
      <c r="S255" s="26">
        <f t="shared" ca="1" si="5"/>
        <v>7502123</v>
      </c>
      <c r="T255" s="26">
        <f ca="1">IFERROR(__xludf.DUMMYFUNCTION("ROUND(GOOGLEFINANCE(""Currency:EURKZT"")*L255+S255)"),8693788)</f>
        <v>8693788</v>
      </c>
      <c r="U255" s="26">
        <f ca="1">IFERROR(__xludf.DUMMYFUNCTION("D255*GOOGLEFINANCE(""RUBKZT"")*1000/F255"),11400062.4875154)</f>
        <v>11400062.487515399</v>
      </c>
      <c r="V255" s="27">
        <f t="shared" ca="1" si="6"/>
        <v>0.31128830005003566</v>
      </c>
    </row>
    <row r="256" spans="1:22" ht="12.75" customHeight="1" x14ac:dyDescent="0.2">
      <c r="A256" s="6" t="s">
        <v>322</v>
      </c>
      <c r="B256" s="6" t="s">
        <v>18</v>
      </c>
      <c r="C256" s="7">
        <v>188580</v>
      </c>
      <c r="D256" s="8">
        <v>236112</v>
      </c>
      <c r="E256" s="9" t="s">
        <v>16</v>
      </c>
      <c r="F256" s="23">
        <v>180</v>
      </c>
      <c r="G256" s="25"/>
      <c r="H256" s="14">
        <f t="shared" si="0"/>
        <v>0.55000000000000004</v>
      </c>
      <c r="I256" s="25">
        <f ca="1">IFERROR(__xludf.DUMMYFUNCTION("ROUND(D256*GOOGLEFINANCE(""RUBKZT"")*H256)"),1013378)</f>
        <v>1013378</v>
      </c>
      <c r="J256" s="26">
        <f ca="1">IFERROR(__xludf.DUMMYFUNCTION("ROUND(I256*GOOGLEFINANCE(""KZTEUR""))"),2122)</f>
        <v>2122</v>
      </c>
      <c r="K256" s="26">
        <f t="shared" ca="1" si="1"/>
        <v>11789</v>
      </c>
      <c r="L256" s="26">
        <f t="shared" ca="1" si="2"/>
        <v>2239.91</v>
      </c>
      <c r="M256" s="26">
        <f t="shared" ref="M256:N256" si="260">M$3</f>
        <v>500</v>
      </c>
      <c r="N256" s="26">
        <f t="shared" si="260"/>
        <v>500</v>
      </c>
      <c r="O256" s="26">
        <f ca="1">IFERROR(__xludf.DUMMYFUNCTION("ROUND(GOOGLEFINANCE(""Currency:EURKZT"")*K256)"),5630068)</f>
        <v>5630068</v>
      </c>
      <c r="P256" s="26">
        <f ca="1">IFERROR(__xludf.DUMMYFUNCTION("ROUND(GOOGLEFINANCE(""Currency:EURKZT"")*M256)"),238785)</f>
        <v>238785</v>
      </c>
      <c r="Q256" s="26">
        <f ca="1">IFERROR(__xludf.DUMMYFUNCTION("ROUND(GOOGLEFINANCE(""Currency:EURKZT"")*N256)"),238785)</f>
        <v>238785</v>
      </c>
      <c r="R256" s="26">
        <f t="shared" ca="1" si="4"/>
        <v>675608</v>
      </c>
      <c r="S256" s="26">
        <f t="shared" ca="1" si="5"/>
        <v>6783246</v>
      </c>
      <c r="T256" s="26">
        <f ca="1">IFERROR(__xludf.DUMMYFUNCTION("ROUND(GOOGLEFINANCE(""Currency:EURKZT"")*L256+S256)"),7852959)</f>
        <v>7852959</v>
      </c>
      <c r="U256" s="26">
        <f ca="1">IFERROR(__xludf.DUMMYFUNCTION("D256*GOOGLEFINANCE(""RUBKZT"")*1000/F256"),10236141.0423968)</f>
        <v>10236141.042396801</v>
      </c>
      <c r="V256" s="27">
        <f t="shared" ca="1" si="6"/>
        <v>0.30347567616191562</v>
      </c>
    </row>
    <row r="257" spans="1:22" ht="12.75" customHeight="1" x14ac:dyDescent="0.2">
      <c r="A257" s="6" t="s">
        <v>347</v>
      </c>
      <c r="B257" s="6" t="s">
        <v>18</v>
      </c>
      <c r="C257" s="7">
        <v>190641</v>
      </c>
      <c r="D257" s="8">
        <v>141301.19999999998</v>
      </c>
      <c r="E257" s="9" t="s">
        <v>16</v>
      </c>
      <c r="F257" s="23">
        <v>180</v>
      </c>
      <c r="G257" s="25"/>
      <c r="H257" s="14">
        <f t="shared" si="0"/>
        <v>0.55000000000000004</v>
      </c>
      <c r="I257" s="25">
        <f ca="1">IFERROR(__xludf.DUMMYFUNCTION("ROUND(D257*GOOGLEFINANCE(""RUBKZT"")*H257)"),606456)</f>
        <v>606456</v>
      </c>
      <c r="J257" s="26">
        <f ca="1">IFERROR(__xludf.DUMMYFUNCTION("ROUND(I257*GOOGLEFINANCE(""KZTEUR""))"),1270)</f>
        <v>1270</v>
      </c>
      <c r="K257" s="26">
        <f t="shared" ca="1" si="1"/>
        <v>7056</v>
      </c>
      <c r="L257" s="26">
        <f t="shared" ca="1" si="2"/>
        <v>1340.64</v>
      </c>
      <c r="M257" s="26">
        <f t="shared" ref="M257:N257" si="261">M$3</f>
        <v>500</v>
      </c>
      <c r="N257" s="26">
        <f t="shared" si="261"/>
        <v>500</v>
      </c>
      <c r="O257" s="26">
        <f ca="1">IFERROR(__xludf.DUMMYFUNCTION("ROUND(GOOGLEFINANCE(""Currency:EURKZT"")*K257)"),3369731)</f>
        <v>3369731</v>
      </c>
      <c r="P257" s="26">
        <f ca="1">IFERROR(__xludf.DUMMYFUNCTION("ROUND(GOOGLEFINANCE(""Currency:EURKZT"")*M257)"),238785)</f>
        <v>238785</v>
      </c>
      <c r="Q257" s="26">
        <f ca="1">IFERROR(__xludf.DUMMYFUNCTION("ROUND(GOOGLEFINANCE(""Currency:EURKZT"")*N257)"),238785)</f>
        <v>238785</v>
      </c>
      <c r="R257" s="26">
        <f t="shared" ca="1" si="4"/>
        <v>404368</v>
      </c>
      <c r="S257" s="26">
        <f t="shared" ca="1" si="5"/>
        <v>4251669</v>
      </c>
      <c r="T257" s="26">
        <f ca="1">IFERROR(__xludf.DUMMYFUNCTION("ROUND(GOOGLEFINANCE(""Currency:EURKZT"")*L257+S257)"),4891918)</f>
        <v>4891918</v>
      </c>
      <c r="U257" s="26">
        <f ca="1">IFERROR(__xludf.DUMMYFUNCTION("D257*GOOGLEFINANCE(""RUBKZT"")*1000/F257"),6125817.46230568)</f>
        <v>6125817.4623056799</v>
      </c>
      <c r="V257" s="27">
        <f t="shared" ca="1" si="6"/>
        <v>0.2522322455743698</v>
      </c>
    </row>
    <row r="258" spans="1:22" ht="12.75" customHeight="1" x14ac:dyDescent="0.2">
      <c r="A258" s="6" t="s">
        <v>376</v>
      </c>
      <c r="B258" s="6" t="s">
        <v>18</v>
      </c>
      <c r="C258" s="7">
        <v>197276</v>
      </c>
      <c r="D258" s="8">
        <v>145044</v>
      </c>
      <c r="E258" s="9" t="s">
        <v>16</v>
      </c>
      <c r="F258" s="23">
        <v>180</v>
      </c>
      <c r="G258" s="25"/>
      <c r="H258" s="14">
        <f t="shared" si="0"/>
        <v>0.55000000000000004</v>
      </c>
      <c r="I258" s="25">
        <f ca="1">IFERROR(__xludf.DUMMYFUNCTION("ROUND(D258*GOOGLEFINANCE(""RUBKZT"")*H258)"),622520)</f>
        <v>622520</v>
      </c>
      <c r="J258" s="26">
        <f ca="1">IFERROR(__xludf.DUMMYFUNCTION("ROUND(I258*GOOGLEFINANCE(""KZTEUR""))"),1304)</f>
        <v>1304</v>
      </c>
      <c r="K258" s="26">
        <f t="shared" ca="1" si="1"/>
        <v>7244</v>
      </c>
      <c r="L258" s="26">
        <f t="shared" ca="1" si="2"/>
        <v>1376.3600000000001</v>
      </c>
      <c r="M258" s="26">
        <f t="shared" ref="M258:N258" si="262">M$3</f>
        <v>500</v>
      </c>
      <c r="N258" s="26">
        <f t="shared" si="262"/>
        <v>500</v>
      </c>
      <c r="O258" s="26">
        <f ca="1">IFERROR(__xludf.DUMMYFUNCTION("ROUND(GOOGLEFINANCE(""Currency:EURKZT"")*K258)"),3459514)</f>
        <v>3459514</v>
      </c>
      <c r="P258" s="26">
        <f ca="1">IFERROR(__xludf.DUMMYFUNCTION("ROUND(GOOGLEFINANCE(""Currency:EURKZT"")*M258)"),238785)</f>
        <v>238785</v>
      </c>
      <c r="Q258" s="26">
        <f ca="1">IFERROR(__xludf.DUMMYFUNCTION("ROUND(GOOGLEFINANCE(""Currency:EURKZT"")*N258)"),238785)</f>
        <v>238785</v>
      </c>
      <c r="R258" s="26">
        <f t="shared" ca="1" si="4"/>
        <v>415142</v>
      </c>
      <c r="S258" s="26">
        <f t="shared" ca="1" si="5"/>
        <v>4352226</v>
      </c>
      <c r="T258" s="26">
        <f ca="1">IFERROR(__xludf.DUMMYFUNCTION("ROUND(GOOGLEFINANCE(""Currency:EURKZT"")*L258+S258)"),5009534)</f>
        <v>5009534</v>
      </c>
      <c r="U258" s="26">
        <f ca="1">IFERROR(__xludf.DUMMYFUNCTION("D258*GOOGLEFINANCE(""RUBKZT"")*1000/F258"),6288078.7141416)</f>
        <v>6288078.7141415998</v>
      </c>
      <c r="V258" s="27">
        <f t="shared" ca="1" si="6"/>
        <v>0.25522228497532901</v>
      </c>
    </row>
    <row r="259" spans="1:22" ht="12.75" customHeight="1" x14ac:dyDescent="0.2">
      <c r="A259" s="6" t="s">
        <v>391</v>
      </c>
      <c r="B259" s="6" t="s">
        <v>18</v>
      </c>
      <c r="C259" s="7">
        <v>199419</v>
      </c>
      <c r="D259" s="8">
        <v>199884</v>
      </c>
      <c r="E259" s="9" t="s">
        <v>16</v>
      </c>
      <c r="F259" s="23">
        <v>180</v>
      </c>
      <c r="G259" s="25"/>
      <c r="H259" s="14">
        <f t="shared" si="0"/>
        <v>0.55000000000000004</v>
      </c>
      <c r="I259" s="25">
        <f ca="1">IFERROR(__xludf.DUMMYFUNCTION("ROUND(D259*GOOGLEFINANCE(""RUBKZT"")*H259)"),857890)</f>
        <v>857890</v>
      </c>
      <c r="J259" s="26">
        <f ca="1">IFERROR(__xludf.DUMMYFUNCTION("ROUND(I259*GOOGLEFINANCE(""KZTEUR""))"),1797)</f>
        <v>1797</v>
      </c>
      <c r="K259" s="26">
        <f t="shared" ca="1" si="1"/>
        <v>9983</v>
      </c>
      <c r="L259" s="26">
        <f t="shared" ca="1" si="2"/>
        <v>1896.77</v>
      </c>
      <c r="M259" s="26">
        <f t="shared" ref="M259:N259" si="263">M$3</f>
        <v>500</v>
      </c>
      <c r="N259" s="26">
        <f t="shared" si="263"/>
        <v>500</v>
      </c>
      <c r="O259" s="26">
        <f ca="1">IFERROR(__xludf.DUMMYFUNCTION("ROUND(GOOGLEFINANCE(""Currency:EURKZT"")*K259)"),4767577)</f>
        <v>4767577</v>
      </c>
      <c r="P259" s="26">
        <f ca="1">IFERROR(__xludf.DUMMYFUNCTION("ROUND(GOOGLEFINANCE(""Currency:EURKZT"")*M259)"),238785)</f>
        <v>238785</v>
      </c>
      <c r="Q259" s="26">
        <f ca="1">IFERROR(__xludf.DUMMYFUNCTION("ROUND(GOOGLEFINANCE(""Currency:EURKZT"")*N259)"),238785)</f>
        <v>238785</v>
      </c>
      <c r="R259" s="26">
        <f t="shared" ca="1" si="4"/>
        <v>572109</v>
      </c>
      <c r="S259" s="26">
        <f t="shared" ca="1" si="5"/>
        <v>5817256</v>
      </c>
      <c r="T259" s="26">
        <f ca="1">IFERROR(__xludf.DUMMYFUNCTION("ROUND(GOOGLEFINANCE(""Currency:EURKZT"")*L259+S259)"),6723096)</f>
        <v>6723096</v>
      </c>
      <c r="U259" s="26">
        <f ca="1">IFERROR(__xludf.DUMMYFUNCTION("D259*GOOGLEFINANCE(""RUBKZT"")*1000/F259"),8665552.0097176)</f>
        <v>8665552.0097176004</v>
      </c>
      <c r="V259" s="27">
        <f t="shared" ca="1" si="6"/>
        <v>0.28892284294580955</v>
      </c>
    </row>
    <row r="260" spans="1:22" ht="12.75" customHeight="1" x14ac:dyDescent="0.2">
      <c r="A260" s="6" t="s">
        <v>17</v>
      </c>
      <c r="B260" s="6" t="s">
        <v>18</v>
      </c>
      <c r="C260" s="7">
        <v>188854</v>
      </c>
      <c r="D260" s="8">
        <v>147049.19999999998</v>
      </c>
      <c r="E260" s="9" t="s">
        <v>16</v>
      </c>
      <c r="F260" s="23">
        <v>180</v>
      </c>
      <c r="G260" s="25"/>
      <c r="H260" s="14">
        <f t="shared" ref="H260:H514" si="264">H$3+G260</f>
        <v>0.55000000000000004</v>
      </c>
      <c r="I260" s="25">
        <f ca="1">IFERROR(__xludf.DUMMYFUNCTION("ROUND(D260*GOOGLEFINANCE(""RUBKZT"")*H260)"),631126)</f>
        <v>631126</v>
      </c>
      <c r="J260" s="26">
        <f ca="1">IFERROR(__xludf.DUMMYFUNCTION("ROUND(I260*GOOGLEFINANCE(""KZTEUR""))"),1322)</f>
        <v>1322</v>
      </c>
      <c r="K260" s="26">
        <f t="shared" ref="K260:K514" ca="1" si="265">ROUND(J260/F260*1000,0)</f>
        <v>7344</v>
      </c>
      <c r="L260" s="26">
        <f t="shared" ref="L260:L514" ca="1" si="266">K260*L$3</f>
        <v>1395.3600000000001</v>
      </c>
      <c r="M260" s="26">
        <f t="shared" ref="M260:N260" si="267">M$3</f>
        <v>500</v>
      </c>
      <c r="N260" s="26">
        <f t="shared" si="267"/>
        <v>500</v>
      </c>
      <c r="O260" s="26">
        <f ca="1">IFERROR(__xludf.DUMMYFUNCTION("ROUND(GOOGLEFINANCE(""Currency:EURKZT"")*K260)"),3507271)</f>
        <v>3507271</v>
      </c>
      <c r="P260" s="26">
        <f ca="1">IFERROR(__xludf.DUMMYFUNCTION("ROUND(GOOGLEFINANCE(""Currency:EURKZT"")*M260)"),238785)</f>
        <v>238785</v>
      </c>
      <c r="Q260" s="26">
        <f ca="1">IFERROR(__xludf.DUMMYFUNCTION("ROUND(GOOGLEFINANCE(""Currency:EURKZT"")*N260)"),238785)</f>
        <v>238785</v>
      </c>
      <c r="R260" s="26">
        <f t="shared" ref="R260:R514" ca="1" si="268">ROUND(O260*R$3,0)</f>
        <v>420873</v>
      </c>
      <c r="S260" s="26">
        <f t="shared" ref="S260:S514" ca="1" si="269">SUM(O260:R260)</f>
        <v>4405714</v>
      </c>
      <c r="T260" s="26">
        <f ca="1">IFERROR(__xludf.DUMMYFUNCTION("ROUND(GOOGLEFINANCE(""Currency:EURKZT"")*L260+S260)"),5072096)</f>
        <v>5072096</v>
      </c>
      <c r="U260" s="26">
        <f ca="1">IFERROR(__xludf.DUMMYFUNCTION("D260*GOOGLEFINANCE(""RUBKZT"")*1000/F260"),6375009.95871288)</f>
        <v>6375009.9587128796</v>
      </c>
      <c r="V260" s="27">
        <f t="shared" ref="V260:V514" ca="1" si="270">(U260-T260)/T260</f>
        <v>0.2568788048792609</v>
      </c>
    </row>
    <row r="261" spans="1:22" ht="12.75" customHeight="1" x14ac:dyDescent="0.2">
      <c r="A261" s="6" t="s">
        <v>20</v>
      </c>
      <c r="B261" s="6" t="s">
        <v>18</v>
      </c>
      <c r="C261" s="7">
        <v>190717</v>
      </c>
      <c r="D261" s="8">
        <v>110509.2</v>
      </c>
      <c r="E261" s="9" t="s">
        <v>16</v>
      </c>
      <c r="F261" s="23">
        <v>180</v>
      </c>
      <c r="G261" s="25"/>
      <c r="H261" s="14">
        <f t="shared" si="264"/>
        <v>0.55000000000000004</v>
      </c>
      <c r="I261" s="25">
        <f ca="1">IFERROR(__xludf.DUMMYFUNCTION("ROUND(D261*GOOGLEFINANCE(""RUBKZT"")*H261)"),474299)</f>
        <v>474299</v>
      </c>
      <c r="J261" s="26">
        <f ca="1">IFERROR(__xludf.DUMMYFUNCTION("ROUND(I261*GOOGLEFINANCE(""KZTEUR""))"),993)</f>
        <v>993</v>
      </c>
      <c r="K261" s="26">
        <f t="shared" ca="1" si="265"/>
        <v>5517</v>
      </c>
      <c r="L261" s="26">
        <f t="shared" ca="1" si="266"/>
        <v>1048.23</v>
      </c>
      <c r="M261" s="26">
        <f t="shared" ref="M261:N261" si="271">M$3</f>
        <v>500</v>
      </c>
      <c r="N261" s="26">
        <f t="shared" si="271"/>
        <v>500</v>
      </c>
      <c r="O261" s="26">
        <f ca="1">IFERROR(__xludf.DUMMYFUNCTION("ROUND(GOOGLEFINANCE(""Currency:EURKZT"")*K261)"),2634752)</f>
        <v>2634752</v>
      </c>
      <c r="P261" s="26">
        <f ca="1">IFERROR(__xludf.DUMMYFUNCTION("ROUND(GOOGLEFINANCE(""Currency:EURKZT"")*M261)"),238785)</f>
        <v>238785</v>
      </c>
      <c r="Q261" s="26">
        <f ca="1">IFERROR(__xludf.DUMMYFUNCTION("ROUND(GOOGLEFINANCE(""Currency:EURKZT"")*N261)"),238785)</f>
        <v>238785</v>
      </c>
      <c r="R261" s="26">
        <f t="shared" ca="1" si="268"/>
        <v>316170</v>
      </c>
      <c r="S261" s="26">
        <f t="shared" ca="1" si="269"/>
        <v>3428492</v>
      </c>
      <c r="T261" s="26">
        <f ca="1">IFERROR(__xludf.DUMMYFUNCTION("ROUND(GOOGLEFINANCE(""Currency:EURKZT"")*L261+S261)"),3929095)</f>
        <v>3929095</v>
      </c>
      <c r="U261" s="26">
        <f ca="1">IFERROR(__xludf.DUMMYFUNCTION("D261*GOOGLEFINANCE(""RUBKZT"")*1000/F261"),4790894.81975688)</f>
        <v>4790894.8197568804</v>
      </c>
      <c r="V261" s="27">
        <f t="shared" ca="1" si="270"/>
        <v>0.21933799507440782</v>
      </c>
    </row>
    <row r="262" spans="1:22" ht="12.75" customHeight="1" x14ac:dyDescent="0.2">
      <c r="A262" s="6" t="s">
        <v>21</v>
      </c>
      <c r="B262" s="6" t="s">
        <v>18</v>
      </c>
      <c r="C262" s="7">
        <v>190718</v>
      </c>
      <c r="D262" s="8">
        <v>108960</v>
      </c>
      <c r="E262" s="9" t="s">
        <v>16</v>
      </c>
      <c r="F262" s="23">
        <v>180</v>
      </c>
      <c r="G262" s="25"/>
      <c r="H262" s="14">
        <f t="shared" si="264"/>
        <v>0.55000000000000004</v>
      </c>
      <c r="I262" s="25">
        <f ca="1">IFERROR(__xludf.DUMMYFUNCTION("ROUND(D262*GOOGLEFINANCE(""RUBKZT"")*H262)"),467650)</f>
        <v>467650</v>
      </c>
      <c r="J262" s="26">
        <f ca="1">IFERROR(__xludf.DUMMYFUNCTION("ROUND(I262*GOOGLEFINANCE(""KZTEUR""))"),979)</f>
        <v>979</v>
      </c>
      <c r="K262" s="26">
        <f t="shared" ca="1" si="265"/>
        <v>5439</v>
      </c>
      <c r="L262" s="26">
        <f t="shared" ca="1" si="266"/>
        <v>1033.4100000000001</v>
      </c>
      <c r="M262" s="26">
        <f t="shared" ref="M262:N262" si="272">M$3</f>
        <v>500</v>
      </c>
      <c r="N262" s="26">
        <f t="shared" si="272"/>
        <v>500</v>
      </c>
      <c r="O262" s="26">
        <f ca="1">IFERROR(__xludf.DUMMYFUNCTION("ROUND(GOOGLEFINANCE(""Currency:EURKZT"")*K262)"),2597501)</f>
        <v>2597501</v>
      </c>
      <c r="P262" s="26">
        <f ca="1">IFERROR(__xludf.DUMMYFUNCTION("ROUND(GOOGLEFINANCE(""Currency:EURKZT"")*M262)"),238785)</f>
        <v>238785</v>
      </c>
      <c r="Q262" s="26">
        <f ca="1">IFERROR(__xludf.DUMMYFUNCTION("ROUND(GOOGLEFINANCE(""Currency:EURKZT"")*N262)"),238785)</f>
        <v>238785</v>
      </c>
      <c r="R262" s="26">
        <f t="shared" ca="1" si="268"/>
        <v>311700</v>
      </c>
      <c r="S262" s="26">
        <f t="shared" ca="1" si="269"/>
        <v>3386771</v>
      </c>
      <c r="T262" s="26">
        <f ca="1">IFERROR(__xludf.DUMMYFUNCTION("ROUND(GOOGLEFINANCE(""Currency:EURKZT"")*L262+S262)"),3880296)</f>
        <v>3880296</v>
      </c>
      <c r="U262" s="26">
        <f ca="1">IFERROR(__xludf.DUMMYFUNCTION("D262*GOOGLEFINANCE(""RUBKZT"")*1000/F262"),4723732.499744)</f>
        <v>4723732.4997439999</v>
      </c>
      <c r="V262" s="27">
        <f t="shared" ca="1" si="270"/>
        <v>0.21736395876603226</v>
      </c>
    </row>
    <row r="263" spans="1:22" ht="12.75" customHeight="1" x14ac:dyDescent="0.2">
      <c r="A263" s="6" t="s">
        <v>24</v>
      </c>
      <c r="B263" s="6" t="s">
        <v>18</v>
      </c>
      <c r="C263" s="7">
        <v>168555</v>
      </c>
      <c r="D263" s="8">
        <v>122137.2</v>
      </c>
      <c r="E263" s="9" t="s">
        <v>16</v>
      </c>
      <c r="F263" s="23">
        <v>180</v>
      </c>
      <c r="G263" s="25"/>
      <c r="H263" s="14">
        <f t="shared" si="264"/>
        <v>0.55000000000000004</v>
      </c>
      <c r="I263" s="25">
        <f ca="1">IFERROR(__xludf.DUMMYFUNCTION("ROUND(D263*GOOGLEFINANCE(""RUBKZT"")*H263)"),524205)</f>
        <v>524205</v>
      </c>
      <c r="J263" s="26">
        <f ca="1">IFERROR(__xludf.DUMMYFUNCTION("ROUND(I263*GOOGLEFINANCE(""KZTEUR""))"),1098)</f>
        <v>1098</v>
      </c>
      <c r="K263" s="26">
        <f t="shared" ca="1" si="265"/>
        <v>6100</v>
      </c>
      <c r="L263" s="26">
        <f t="shared" ca="1" si="266"/>
        <v>1159</v>
      </c>
      <c r="M263" s="26">
        <f t="shared" ref="M263:N263" si="273">M$3</f>
        <v>500</v>
      </c>
      <c r="N263" s="26">
        <f t="shared" si="273"/>
        <v>500</v>
      </c>
      <c r="O263" s="26">
        <f ca="1">IFERROR(__xludf.DUMMYFUNCTION("ROUND(GOOGLEFINANCE(""Currency:EURKZT"")*K263)"),2913175)</f>
        <v>2913175</v>
      </c>
      <c r="P263" s="26">
        <f ca="1">IFERROR(__xludf.DUMMYFUNCTION("ROUND(GOOGLEFINANCE(""Currency:EURKZT"")*M263)"),238785)</f>
        <v>238785</v>
      </c>
      <c r="Q263" s="26">
        <f ca="1">IFERROR(__xludf.DUMMYFUNCTION("ROUND(GOOGLEFINANCE(""Currency:EURKZT"")*N263)"),238785)</f>
        <v>238785</v>
      </c>
      <c r="R263" s="26">
        <f t="shared" ca="1" si="268"/>
        <v>349581</v>
      </c>
      <c r="S263" s="26">
        <f t="shared" ca="1" si="269"/>
        <v>3740326</v>
      </c>
      <c r="T263" s="26">
        <f ca="1">IFERROR(__xludf.DUMMYFUNCTION("ROUND(GOOGLEFINANCE(""Currency:EURKZT"")*L263+S263)"),4293829)</f>
        <v>4293829</v>
      </c>
      <c r="U263" s="26">
        <f ca="1">IFERROR(__xludf.DUMMYFUNCTION("D263*GOOGLEFINANCE(""RUBKZT"")*1000/F263"),5295002.39599608)</f>
        <v>5295002.3959960798</v>
      </c>
      <c r="V263" s="27">
        <f t="shared" ca="1" si="270"/>
        <v>0.23316564213341515</v>
      </c>
    </row>
    <row r="264" spans="1:22" ht="12.75" customHeight="1" x14ac:dyDescent="0.2">
      <c r="A264" s="6" t="s">
        <v>23</v>
      </c>
      <c r="B264" s="6" t="s">
        <v>18</v>
      </c>
      <c r="C264" s="7">
        <v>190719</v>
      </c>
      <c r="D264" s="8">
        <v>131293.19999999998</v>
      </c>
      <c r="E264" s="9" t="s">
        <v>16</v>
      </c>
      <c r="F264" s="23">
        <v>180</v>
      </c>
      <c r="G264" s="25"/>
      <c r="H264" s="14">
        <f t="shared" si="264"/>
        <v>0.55000000000000004</v>
      </c>
      <c r="I264" s="25">
        <f ca="1">IFERROR(__xludf.DUMMYFUNCTION("ROUND(D264*GOOGLEFINANCE(""RUBKZT"")*H264)"),563502)</f>
        <v>563502</v>
      </c>
      <c r="J264" s="26">
        <f ca="1">IFERROR(__xludf.DUMMYFUNCTION("ROUND(I264*GOOGLEFINANCE(""KZTEUR""))"),1180)</f>
        <v>1180</v>
      </c>
      <c r="K264" s="26">
        <f t="shared" ca="1" si="265"/>
        <v>6556</v>
      </c>
      <c r="L264" s="26">
        <f t="shared" ca="1" si="266"/>
        <v>1245.6400000000001</v>
      </c>
      <c r="M264" s="26">
        <f t="shared" ref="M264:N264" si="274">M$3</f>
        <v>500</v>
      </c>
      <c r="N264" s="26">
        <f t="shared" si="274"/>
        <v>500</v>
      </c>
      <c r="O264" s="26">
        <f ca="1">IFERROR(__xludf.DUMMYFUNCTION("ROUND(GOOGLEFINANCE(""Currency:EURKZT"")*K264)"),3130946)</f>
        <v>3130946</v>
      </c>
      <c r="P264" s="26">
        <f ca="1">IFERROR(__xludf.DUMMYFUNCTION("ROUND(GOOGLEFINANCE(""Currency:EURKZT"")*M264)"),238785)</f>
        <v>238785</v>
      </c>
      <c r="Q264" s="26">
        <f ca="1">IFERROR(__xludf.DUMMYFUNCTION("ROUND(GOOGLEFINANCE(""Currency:EURKZT"")*N264)"),238785)</f>
        <v>238785</v>
      </c>
      <c r="R264" s="26">
        <f t="shared" ca="1" si="268"/>
        <v>375714</v>
      </c>
      <c r="S264" s="26">
        <f t="shared" ca="1" si="269"/>
        <v>3984230</v>
      </c>
      <c r="T264" s="26">
        <f ca="1">IFERROR(__xludf.DUMMYFUNCTION("ROUND(GOOGLEFINANCE(""Currency:EURKZT"")*L264+S264)"),4579110)</f>
        <v>4579110</v>
      </c>
      <c r="U264" s="26">
        <f ca="1">IFERROR(__xludf.DUMMYFUNCTION("D264*GOOGLEFINANCE(""RUBKZT"")*1000/F264"),5691941.59173447)</f>
        <v>5691941.5917344699</v>
      </c>
      <c r="V264" s="27">
        <f t="shared" ca="1" si="270"/>
        <v>0.24302355517436136</v>
      </c>
    </row>
    <row r="265" spans="1:22" ht="12.75" customHeight="1" x14ac:dyDescent="0.2">
      <c r="A265" s="6" t="s">
        <v>165</v>
      </c>
      <c r="B265" s="6" t="s">
        <v>18</v>
      </c>
      <c r="C265" s="7">
        <v>195062</v>
      </c>
      <c r="D265" s="8">
        <v>110509.2</v>
      </c>
      <c r="E265" s="9" t="s">
        <v>16</v>
      </c>
      <c r="F265" s="23">
        <v>180</v>
      </c>
      <c r="G265" s="25"/>
      <c r="H265" s="14">
        <f t="shared" si="264"/>
        <v>0.55000000000000004</v>
      </c>
      <c r="I265" s="25">
        <f ca="1">IFERROR(__xludf.DUMMYFUNCTION("ROUND(D265*GOOGLEFINANCE(""RUBKZT"")*H265)"),474299)</f>
        <v>474299</v>
      </c>
      <c r="J265" s="26">
        <f ca="1">IFERROR(__xludf.DUMMYFUNCTION("ROUND(I265*GOOGLEFINANCE(""KZTEUR""))"),993)</f>
        <v>993</v>
      </c>
      <c r="K265" s="26">
        <f t="shared" ca="1" si="265"/>
        <v>5517</v>
      </c>
      <c r="L265" s="26">
        <f t="shared" ca="1" si="266"/>
        <v>1048.23</v>
      </c>
      <c r="M265" s="26">
        <f t="shared" ref="M265:N265" si="275">M$3</f>
        <v>500</v>
      </c>
      <c r="N265" s="26">
        <f t="shared" si="275"/>
        <v>500</v>
      </c>
      <c r="O265" s="26">
        <f ca="1">IFERROR(__xludf.DUMMYFUNCTION("ROUND(GOOGLEFINANCE(""Currency:EURKZT"")*K265)"),2634752)</f>
        <v>2634752</v>
      </c>
      <c r="P265" s="26">
        <f ca="1">IFERROR(__xludf.DUMMYFUNCTION("ROUND(GOOGLEFINANCE(""Currency:EURKZT"")*M265)"),238785)</f>
        <v>238785</v>
      </c>
      <c r="Q265" s="26">
        <f ca="1">IFERROR(__xludf.DUMMYFUNCTION("ROUND(GOOGLEFINANCE(""Currency:EURKZT"")*N265)"),238785)</f>
        <v>238785</v>
      </c>
      <c r="R265" s="26">
        <f t="shared" ca="1" si="268"/>
        <v>316170</v>
      </c>
      <c r="S265" s="26">
        <f t="shared" ca="1" si="269"/>
        <v>3428492</v>
      </c>
      <c r="T265" s="26">
        <f ca="1">IFERROR(__xludf.DUMMYFUNCTION("ROUND(GOOGLEFINANCE(""Currency:EURKZT"")*L265+S265)"),3929095)</f>
        <v>3929095</v>
      </c>
      <c r="U265" s="26">
        <f ca="1">IFERROR(__xludf.DUMMYFUNCTION("D265*GOOGLEFINANCE(""RUBKZT"")*1000/F265"),4790894.81975688)</f>
        <v>4790894.8197568804</v>
      </c>
      <c r="V265" s="27">
        <f t="shared" ca="1" si="270"/>
        <v>0.21933799507440782</v>
      </c>
    </row>
    <row r="266" spans="1:22" ht="12.75" customHeight="1" x14ac:dyDescent="0.2">
      <c r="A266" s="6" t="s">
        <v>78</v>
      </c>
      <c r="B266" s="6" t="s">
        <v>18</v>
      </c>
      <c r="C266" s="7">
        <v>204234</v>
      </c>
      <c r="D266" s="8">
        <v>112292.4</v>
      </c>
      <c r="E266" s="9" t="s">
        <v>16</v>
      </c>
      <c r="F266" s="23">
        <v>180</v>
      </c>
      <c r="G266" s="25"/>
      <c r="H266" s="14">
        <f t="shared" si="264"/>
        <v>0.55000000000000004</v>
      </c>
      <c r="I266" s="25">
        <f ca="1">IFERROR(__xludf.DUMMYFUNCTION("ROUND(D266*GOOGLEFINANCE(""RUBKZT"")*H266)"),481952)</f>
        <v>481952</v>
      </c>
      <c r="J266" s="26">
        <f ca="1">IFERROR(__xludf.DUMMYFUNCTION("ROUND(I266*GOOGLEFINANCE(""KZTEUR""))"),1009)</f>
        <v>1009</v>
      </c>
      <c r="K266" s="26">
        <f t="shared" ca="1" si="265"/>
        <v>5606</v>
      </c>
      <c r="L266" s="26">
        <f t="shared" ca="1" si="266"/>
        <v>1065.1400000000001</v>
      </c>
      <c r="M266" s="26">
        <f t="shared" ref="M266:N266" si="276">M$3</f>
        <v>500</v>
      </c>
      <c r="N266" s="26">
        <f t="shared" si="276"/>
        <v>500</v>
      </c>
      <c r="O266" s="26">
        <f ca="1">IFERROR(__xludf.DUMMYFUNCTION("ROUND(GOOGLEFINANCE(""Currency:EURKZT"")*K266)"),2677255)</f>
        <v>2677255</v>
      </c>
      <c r="P266" s="26">
        <f ca="1">IFERROR(__xludf.DUMMYFUNCTION("ROUND(GOOGLEFINANCE(""Currency:EURKZT"")*M266)"),238785)</f>
        <v>238785</v>
      </c>
      <c r="Q266" s="26">
        <f ca="1">IFERROR(__xludf.DUMMYFUNCTION("ROUND(GOOGLEFINANCE(""Currency:EURKZT"")*N266)"),238785)</f>
        <v>238785</v>
      </c>
      <c r="R266" s="26">
        <f t="shared" ca="1" si="268"/>
        <v>321271</v>
      </c>
      <c r="S266" s="26">
        <f t="shared" ca="1" si="269"/>
        <v>3476096</v>
      </c>
      <c r="T266" s="26">
        <f ca="1">IFERROR(__xludf.DUMMYFUNCTION("ROUND(GOOGLEFINANCE(""Currency:EURKZT"")*L266+S266)"),3984774)</f>
        <v>3984774</v>
      </c>
      <c r="U266" s="26">
        <f ca="1">IFERROR(__xludf.DUMMYFUNCTION("D266*GOOGLEFINANCE(""RUBKZT"")*1000/F266"),4868201.71947736)</f>
        <v>4868201.7194773601</v>
      </c>
      <c r="V266" s="27">
        <f t="shared" ca="1" si="270"/>
        <v>0.22170083409432007</v>
      </c>
    </row>
    <row r="267" spans="1:22" ht="12.75" customHeight="1" x14ac:dyDescent="0.2">
      <c r="A267" s="6" t="s">
        <v>182</v>
      </c>
      <c r="B267" s="6" t="s">
        <v>18</v>
      </c>
      <c r="C267" s="7">
        <v>209684</v>
      </c>
      <c r="D267" s="8">
        <v>132344.4</v>
      </c>
      <c r="E267" s="9" t="s">
        <v>16</v>
      </c>
      <c r="F267" s="23">
        <v>180</v>
      </c>
      <c r="G267" s="25"/>
      <c r="H267" s="14">
        <f t="shared" si="264"/>
        <v>0.55000000000000004</v>
      </c>
      <c r="I267" s="25">
        <f ca="1">IFERROR(__xludf.DUMMYFUNCTION("ROUND(D267*GOOGLEFINANCE(""RUBKZT"")*H267)"),568014)</f>
        <v>568014</v>
      </c>
      <c r="J267" s="26">
        <f ca="1">IFERROR(__xludf.DUMMYFUNCTION("ROUND(I267*GOOGLEFINANCE(""KZTEUR""))"),1190)</f>
        <v>1190</v>
      </c>
      <c r="K267" s="26">
        <f t="shared" ca="1" si="265"/>
        <v>6611</v>
      </c>
      <c r="L267" s="26">
        <f t="shared" ca="1" si="266"/>
        <v>1256.0899999999999</v>
      </c>
      <c r="M267" s="26">
        <f t="shared" ref="M267:N267" si="277">M$3</f>
        <v>500</v>
      </c>
      <c r="N267" s="26">
        <f t="shared" si="277"/>
        <v>500</v>
      </c>
      <c r="O267" s="26">
        <f ca="1">IFERROR(__xludf.DUMMYFUNCTION("ROUND(GOOGLEFINANCE(""Currency:EURKZT"")*K267)"),3157213)</f>
        <v>3157213</v>
      </c>
      <c r="P267" s="26">
        <f ca="1">IFERROR(__xludf.DUMMYFUNCTION("ROUND(GOOGLEFINANCE(""Currency:EURKZT"")*M267)"),238785)</f>
        <v>238785</v>
      </c>
      <c r="Q267" s="26">
        <f ca="1">IFERROR(__xludf.DUMMYFUNCTION("ROUND(GOOGLEFINANCE(""Currency:EURKZT"")*N267)"),238785)</f>
        <v>238785</v>
      </c>
      <c r="R267" s="26">
        <f t="shared" ca="1" si="268"/>
        <v>378866</v>
      </c>
      <c r="S267" s="26">
        <f t="shared" ca="1" si="269"/>
        <v>4013649</v>
      </c>
      <c r="T267" s="26">
        <f ca="1">IFERROR(__xludf.DUMMYFUNCTION("ROUND(GOOGLEFINANCE(""Currency:EURKZT"")*L267+S267)"),4613519)</f>
        <v>4613519</v>
      </c>
      <c r="U267" s="26">
        <f ca="1">IFERROR(__xludf.DUMMYFUNCTION("D267*GOOGLEFINANCE(""RUBKZT"")*1000/F267"),5737514.16519015)</f>
        <v>5737514.16519015</v>
      </c>
      <c r="V267" s="27">
        <f t="shared" ca="1" si="270"/>
        <v>0.24363076540708947</v>
      </c>
    </row>
    <row r="268" spans="1:22" ht="12.75" customHeight="1" x14ac:dyDescent="0.2">
      <c r="A268" s="6" t="s">
        <v>305</v>
      </c>
      <c r="B268" s="6" t="s">
        <v>306</v>
      </c>
      <c r="C268" s="7">
        <v>186780</v>
      </c>
      <c r="D268" s="8">
        <v>188569.19999999998</v>
      </c>
      <c r="E268" s="9" t="s">
        <v>16</v>
      </c>
      <c r="F268" s="23">
        <v>180</v>
      </c>
      <c r="G268" s="25"/>
      <c r="H268" s="14">
        <f t="shared" si="264"/>
        <v>0.55000000000000004</v>
      </c>
      <c r="I268" s="25">
        <f ca="1">IFERROR(__xludf.DUMMYFUNCTION("ROUND(D268*GOOGLEFINANCE(""RUBKZT"")*H268)"),809327)</f>
        <v>809327</v>
      </c>
      <c r="J268" s="26">
        <f ca="1">IFERROR(__xludf.DUMMYFUNCTION("ROUND(I268*GOOGLEFINANCE(""KZTEUR""))"),1695)</f>
        <v>1695</v>
      </c>
      <c r="K268" s="26">
        <f t="shared" ca="1" si="265"/>
        <v>9417</v>
      </c>
      <c r="L268" s="26">
        <f t="shared" ca="1" si="266"/>
        <v>1789.23</v>
      </c>
      <c r="M268" s="26">
        <f t="shared" ref="M268:N268" si="278">M$3</f>
        <v>500</v>
      </c>
      <c r="N268" s="26">
        <f t="shared" si="278"/>
        <v>500</v>
      </c>
      <c r="O268" s="26">
        <f ca="1">IFERROR(__xludf.DUMMYFUNCTION("ROUND(GOOGLEFINANCE(""Currency:EURKZT"")*K268)"),4497273)</f>
        <v>4497273</v>
      </c>
      <c r="P268" s="26">
        <f ca="1">IFERROR(__xludf.DUMMYFUNCTION("ROUND(GOOGLEFINANCE(""Currency:EURKZT"")*M268)"),238785)</f>
        <v>238785</v>
      </c>
      <c r="Q268" s="26">
        <f ca="1">IFERROR(__xludf.DUMMYFUNCTION("ROUND(GOOGLEFINANCE(""Currency:EURKZT"")*N268)"),238785)</f>
        <v>238785</v>
      </c>
      <c r="R268" s="26">
        <f t="shared" ca="1" si="268"/>
        <v>539673</v>
      </c>
      <c r="S268" s="26">
        <f t="shared" ca="1" si="269"/>
        <v>5514516</v>
      </c>
      <c r="T268" s="26">
        <f ca="1">IFERROR(__xludf.DUMMYFUNCTION("ROUND(GOOGLEFINANCE(""Currency:EURKZT"")*L268+S268)"),6368998)</f>
        <v>6368998</v>
      </c>
      <c r="U268" s="26">
        <f ca="1">IFERROR(__xludf.DUMMYFUNCTION("D268*GOOGLEFINANCE(""RUBKZT"")*1000/F268"),8175022.56324088)</f>
        <v>8175022.5632408801</v>
      </c>
      <c r="V268" s="27">
        <f t="shared" ca="1" si="270"/>
        <v>0.28356494431948009</v>
      </c>
    </row>
    <row r="269" spans="1:22" ht="12.75" customHeight="1" x14ac:dyDescent="0.2">
      <c r="A269" s="6" t="s">
        <v>310</v>
      </c>
      <c r="B269" s="6" t="s">
        <v>306</v>
      </c>
      <c r="C269" s="7">
        <v>187965</v>
      </c>
      <c r="D269" s="8">
        <v>177157.19999999998</v>
      </c>
      <c r="E269" s="9" t="s">
        <v>16</v>
      </c>
      <c r="F269" s="23">
        <v>180</v>
      </c>
      <c r="G269" s="25"/>
      <c r="H269" s="14">
        <f t="shared" si="264"/>
        <v>0.55000000000000004</v>
      </c>
      <c r="I269" s="25">
        <f ca="1">IFERROR(__xludf.DUMMYFUNCTION("ROUND(D269*GOOGLEFINANCE(""RUBKZT"")*H269)"),760348)</f>
        <v>760348</v>
      </c>
      <c r="J269" s="26">
        <f ca="1">IFERROR(__xludf.DUMMYFUNCTION("ROUND(I269*GOOGLEFINANCE(""KZTEUR""))"),1592)</f>
        <v>1592</v>
      </c>
      <c r="K269" s="26">
        <f t="shared" ca="1" si="265"/>
        <v>8844</v>
      </c>
      <c r="L269" s="26">
        <f t="shared" ca="1" si="266"/>
        <v>1680.3600000000001</v>
      </c>
      <c r="M269" s="26">
        <f t="shared" ref="M269:N269" si="279">M$3</f>
        <v>500</v>
      </c>
      <c r="N269" s="26">
        <f t="shared" si="279"/>
        <v>500</v>
      </c>
      <c r="O269" s="26">
        <f ca="1">IFERROR(__xludf.DUMMYFUNCTION("ROUND(GOOGLEFINANCE(""Currency:EURKZT"")*K269)"),4223626)</f>
        <v>4223626</v>
      </c>
      <c r="P269" s="26">
        <f ca="1">IFERROR(__xludf.DUMMYFUNCTION("ROUND(GOOGLEFINANCE(""Currency:EURKZT"")*M269)"),238785)</f>
        <v>238785</v>
      </c>
      <c r="Q269" s="26">
        <f ca="1">IFERROR(__xludf.DUMMYFUNCTION("ROUND(GOOGLEFINANCE(""Currency:EURKZT"")*N269)"),238785)</f>
        <v>238785</v>
      </c>
      <c r="R269" s="26">
        <f t="shared" ca="1" si="268"/>
        <v>506835</v>
      </c>
      <c r="S269" s="26">
        <f t="shared" ca="1" si="269"/>
        <v>5208031</v>
      </c>
      <c r="T269" s="26">
        <f ca="1">IFERROR(__xludf.DUMMYFUNCTION("ROUND(GOOGLEFINANCE(""Currency:EURKZT"")*L269+S269)"),6010520)</f>
        <v>6010520</v>
      </c>
      <c r="U269" s="26">
        <f ca="1">IFERROR(__xludf.DUMMYFUNCTION("D269*GOOGLEFINANCE(""RUBKZT"")*1000/F269"),7680279.21442408)</f>
        <v>7680279.2144240802</v>
      </c>
      <c r="V269" s="27">
        <f t="shared" ca="1" si="270"/>
        <v>0.27780611568118568</v>
      </c>
    </row>
    <row r="270" spans="1:22" ht="12.75" customHeight="1" x14ac:dyDescent="0.2">
      <c r="A270" s="6" t="s">
        <v>314</v>
      </c>
      <c r="B270" s="6" t="s">
        <v>306</v>
      </c>
      <c r="C270" s="7">
        <v>188226</v>
      </c>
      <c r="D270" s="8">
        <v>169658.4</v>
      </c>
      <c r="E270" s="9" t="s">
        <v>16</v>
      </c>
      <c r="F270" s="23">
        <v>180</v>
      </c>
      <c r="G270" s="25"/>
      <c r="H270" s="14">
        <f t="shared" si="264"/>
        <v>0.55000000000000004</v>
      </c>
      <c r="I270" s="25">
        <f ca="1">IFERROR(__xludf.DUMMYFUNCTION("ROUND(D270*GOOGLEFINANCE(""RUBKZT"")*H270)"),728163)</f>
        <v>728163</v>
      </c>
      <c r="J270" s="26">
        <f ca="1">IFERROR(__xludf.DUMMYFUNCTION("ROUND(I270*GOOGLEFINANCE(""KZTEUR""))"),1525)</f>
        <v>1525</v>
      </c>
      <c r="K270" s="26">
        <f t="shared" ca="1" si="265"/>
        <v>8472</v>
      </c>
      <c r="L270" s="26">
        <f t="shared" ca="1" si="266"/>
        <v>1609.68</v>
      </c>
      <c r="M270" s="26">
        <f t="shared" ref="M270:N270" si="280">M$3</f>
        <v>500</v>
      </c>
      <c r="N270" s="26">
        <f t="shared" si="280"/>
        <v>500</v>
      </c>
      <c r="O270" s="26">
        <f ca="1">IFERROR(__xludf.DUMMYFUNCTION("ROUND(GOOGLEFINANCE(""Currency:EURKZT"")*K270)"),4045970)</f>
        <v>4045970</v>
      </c>
      <c r="P270" s="26">
        <f ca="1">IFERROR(__xludf.DUMMYFUNCTION("ROUND(GOOGLEFINANCE(""Currency:EURKZT"")*M270)"),238785)</f>
        <v>238785</v>
      </c>
      <c r="Q270" s="26">
        <f ca="1">IFERROR(__xludf.DUMMYFUNCTION("ROUND(GOOGLEFINANCE(""Currency:EURKZT"")*N270)"),238785)</f>
        <v>238785</v>
      </c>
      <c r="R270" s="26">
        <f t="shared" ca="1" si="268"/>
        <v>485516</v>
      </c>
      <c r="S270" s="26">
        <f t="shared" ca="1" si="269"/>
        <v>5009056</v>
      </c>
      <c r="T270" s="26">
        <f ca="1">IFERROR(__xludf.DUMMYFUNCTION("ROUND(GOOGLEFINANCE(""Currency:EURKZT"")*L270+S270)"),5777790)</f>
        <v>5777790</v>
      </c>
      <c r="U270" s="26">
        <f ca="1">IFERROR(__xludf.DUMMYFUNCTION("D270*GOOGLEFINANCE(""RUBKZT"")*1000/F270"),7355184.45240976)</f>
        <v>7355184.4524097601</v>
      </c>
      <c r="V270" s="27">
        <f t="shared" ca="1" si="270"/>
        <v>0.27301000078053372</v>
      </c>
    </row>
    <row r="271" spans="1:22" ht="12.75" customHeight="1" x14ac:dyDescent="0.2">
      <c r="A271" s="6" t="s">
        <v>282</v>
      </c>
      <c r="B271" s="6" t="s">
        <v>306</v>
      </c>
      <c r="C271" s="7">
        <v>188809</v>
      </c>
      <c r="D271" s="8">
        <v>176276.4</v>
      </c>
      <c r="E271" s="9" t="s">
        <v>16</v>
      </c>
      <c r="F271" s="23">
        <v>180</v>
      </c>
      <c r="G271" s="25"/>
      <c r="H271" s="14">
        <f t="shared" si="264"/>
        <v>0.55000000000000004</v>
      </c>
      <c r="I271" s="25">
        <f ca="1">IFERROR(__xludf.DUMMYFUNCTION("ROUND(D271*GOOGLEFINANCE(""RUBKZT"")*H271)"),756567)</f>
        <v>756567</v>
      </c>
      <c r="J271" s="26">
        <f ca="1">IFERROR(__xludf.DUMMYFUNCTION("ROUND(I271*GOOGLEFINANCE(""KZTEUR""))"),1584)</f>
        <v>1584</v>
      </c>
      <c r="K271" s="26">
        <f t="shared" ca="1" si="265"/>
        <v>8800</v>
      </c>
      <c r="L271" s="26">
        <f t="shared" ca="1" si="266"/>
        <v>1672</v>
      </c>
      <c r="M271" s="26">
        <f t="shared" ref="M271:N271" si="281">M$3</f>
        <v>500</v>
      </c>
      <c r="N271" s="26">
        <f t="shared" si="281"/>
        <v>500</v>
      </c>
      <c r="O271" s="26">
        <f ca="1">IFERROR(__xludf.DUMMYFUNCTION("ROUND(GOOGLEFINANCE(""Currency:EURKZT"")*K271)"),4202613)</f>
        <v>4202613</v>
      </c>
      <c r="P271" s="26">
        <f ca="1">IFERROR(__xludf.DUMMYFUNCTION("ROUND(GOOGLEFINANCE(""Currency:EURKZT"")*M271)"),238785)</f>
        <v>238785</v>
      </c>
      <c r="Q271" s="26">
        <f ca="1">IFERROR(__xludf.DUMMYFUNCTION("ROUND(GOOGLEFINANCE(""Currency:EURKZT"")*N271)"),238785)</f>
        <v>238785</v>
      </c>
      <c r="R271" s="26">
        <f t="shared" ca="1" si="268"/>
        <v>504314</v>
      </c>
      <c r="S271" s="26">
        <f t="shared" ca="1" si="269"/>
        <v>5184497</v>
      </c>
      <c r="T271" s="26">
        <f ca="1">IFERROR(__xludf.DUMMYFUNCTION("ROUND(GOOGLEFINANCE(""Currency:EURKZT"")*L271+S271)"),5982993)</f>
        <v>5982993</v>
      </c>
      <c r="U271" s="26">
        <f ca="1">IFERROR(__xludf.DUMMYFUNCTION("D271*GOOGLEFINANCE(""RUBKZT"")*1000/F271"),7642093.97593496)</f>
        <v>7642093.9759349599</v>
      </c>
      <c r="V271" s="27">
        <f t="shared" ca="1" si="270"/>
        <v>0.27730284423447593</v>
      </c>
    </row>
    <row r="272" spans="1:22" ht="12.75" customHeight="1" x14ac:dyDescent="0.2">
      <c r="A272" s="6" t="s">
        <v>329</v>
      </c>
      <c r="B272" s="6" t="s">
        <v>306</v>
      </c>
      <c r="C272" s="7">
        <v>190490</v>
      </c>
      <c r="D272" s="8">
        <v>281623.2</v>
      </c>
      <c r="E272" s="9" t="s">
        <v>16</v>
      </c>
      <c r="F272" s="23">
        <v>180</v>
      </c>
      <c r="G272" s="25"/>
      <c r="H272" s="14">
        <f t="shared" si="264"/>
        <v>0.55000000000000004</v>
      </c>
      <c r="I272" s="25">
        <f ca="1">IFERROR(__xludf.DUMMYFUNCTION("ROUND(D272*GOOGLEFINANCE(""RUBKZT"")*H272)"),1208709)</f>
        <v>1208709</v>
      </c>
      <c r="J272" s="26">
        <f ca="1">IFERROR(__xludf.DUMMYFUNCTION("ROUND(I272*GOOGLEFINANCE(""KZTEUR""))"),2531)</f>
        <v>2531</v>
      </c>
      <c r="K272" s="26">
        <f t="shared" ca="1" si="265"/>
        <v>14061</v>
      </c>
      <c r="L272" s="26">
        <f t="shared" ca="1" si="266"/>
        <v>2671.59</v>
      </c>
      <c r="M272" s="26">
        <f t="shared" ref="M272:N272" si="282">M$3</f>
        <v>500</v>
      </c>
      <c r="N272" s="26">
        <f t="shared" si="282"/>
        <v>500</v>
      </c>
      <c r="O272" s="26">
        <f ca="1">IFERROR(__xludf.DUMMYFUNCTION("ROUND(GOOGLEFINANCE(""Currency:EURKZT"")*K272)"),6715106)</f>
        <v>6715106</v>
      </c>
      <c r="P272" s="26">
        <f ca="1">IFERROR(__xludf.DUMMYFUNCTION("ROUND(GOOGLEFINANCE(""Currency:EURKZT"")*M272)"),238785)</f>
        <v>238785</v>
      </c>
      <c r="Q272" s="26">
        <f ca="1">IFERROR(__xludf.DUMMYFUNCTION("ROUND(GOOGLEFINANCE(""Currency:EURKZT"")*N272)"),238785)</f>
        <v>238785</v>
      </c>
      <c r="R272" s="26">
        <f t="shared" ca="1" si="268"/>
        <v>805813</v>
      </c>
      <c r="S272" s="26">
        <f t="shared" ca="1" si="269"/>
        <v>7998489</v>
      </c>
      <c r="T272" s="26">
        <f ca="1">IFERROR(__xludf.DUMMYFUNCTION("ROUND(GOOGLEFINANCE(""Currency:EURKZT"")*L272+S272)"),9274359)</f>
        <v>9274359</v>
      </c>
      <c r="U272" s="26">
        <f ca="1">IFERROR(__xludf.DUMMYFUNCTION("D272*GOOGLEFINANCE(""RUBKZT"")*1000/F272"),12209183.7602964)</f>
        <v>12209183.760296401</v>
      </c>
      <c r="V272" s="27">
        <f t="shared" ca="1" si="270"/>
        <v>0.31644502442663697</v>
      </c>
    </row>
    <row r="273" spans="1:22" ht="12.75" customHeight="1" x14ac:dyDescent="0.2">
      <c r="A273" s="6" t="s">
        <v>330</v>
      </c>
      <c r="B273" s="6" t="s">
        <v>306</v>
      </c>
      <c r="C273" s="7">
        <v>190494</v>
      </c>
      <c r="D273" s="8">
        <v>274046.39999999997</v>
      </c>
      <c r="E273" s="9" t="s">
        <v>16</v>
      </c>
      <c r="F273" s="23">
        <v>180</v>
      </c>
      <c r="G273" s="25"/>
      <c r="H273" s="14">
        <f t="shared" si="264"/>
        <v>0.55000000000000004</v>
      </c>
      <c r="I273" s="25">
        <f ca="1">IFERROR(__xludf.DUMMYFUNCTION("ROUND(D273*GOOGLEFINANCE(""RUBKZT"")*H273)"),1176190)</f>
        <v>1176190</v>
      </c>
      <c r="J273" s="26">
        <f ca="1">IFERROR(__xludf.DUMMYFUNCTION("ROUND(I273*GOOGLEFINANCE(""KZTEUR""))"),2463)</f>
        <v>2463</v>
      </c>
      <c r="K273" s="26">
        <f t="shared" ca="1" si="265"/>
        <v>13683</v>
      </c>
      <c r="L273" s="26">
        <f t="shared" ca="1" si="266"/>
        <v>2599.77</v>
      </c>
      <c r="M273" s="26">
        <f t="shared" ref="M273:N273" si="283">M$3</f>
        <v>500</v>
      </c>
      <c r="N273" s="26">
        <f t="shared" si="283"/>
        <v>500</v>
      </c>
      <c r="O273" s="26">
        <f ca="1">IFERROR(__xludf.DUMMYFUNCTION("ROUND(GOOGLEFINANCE(""Currency:EURKZT"")*K273)"),6534585)</f>
        <v>6534585</v>
      </c>
      <c r="P273" s="26">
        <f ca="1">IFERROR(__xludf.DUMMYFUNCTION("ROUND(GOOGLEFINANCE(""Currency:EURKZT"")*M273)"),238785)</f>
        <v>238785</v>
      </c>
      <c r="Q273" s="26">
        <f ca="1">IFERROR(__xludf.DUMMYFUNCTION("ROUND(GOOGLEFINANCE(""Currency:EURKZT"")*N273)"),238785)</f>
        <v>238785</v>
      </c>
      <c r="R273" s="26">
        <f t="shared" ca="1" si="268"/>
        <v>784150</v>
      </c>
      <c r="S273" s="26">
        <f t="shared" ca="1" si="269"/>
        <v>7796305</v>
      </c>
      <c r="T273" s="26">
        <f ca="1">IFERROR(__xludf.DUMMYFUNCTION("ROUND(GOOGLEFINANCE(""Currency:EURKZT"")*L273+S273)"),9037876)</f>
        <v>9037876</v>
      </c>
      <c r="U273" s="26">
        <f ca="1">IFERROR(__xludf.DUMMYFUNCTION("D273*GOOGLEFINANCE(""RUBKZT"")*1000/F273"),11880707.4717129)</f>
        <v>11880707.4717129</v>
      </c>
      <c r="V273" s="27">
        <f t="shared" ca="1" si="270"/>
        <v>0.31454641242177922</v>
      </c>
    </row>
    <row r="274" spans="1:22" ht="12.75" customHeight="1" x14ac:dyDescent="0.2">
      <c r="A274" s="6" t="s">
        <v>421</v>
      </c>
      <c r="B274" s="6" t="s">
        <v>306</v>
      </c>
      <c r="C274" s="7">
        <v>203230</v>
      </c>
      <c r="D274" s="8">
        <v>264660</v>
      </c>
      <c r="E274" s="9" t="s">
        <v>16</v>
      </c>
      <c r="F274" s="23">
        <v>180</v>
      </c>
      <c r="G274" s="25"/>
      <c r="H274" s="14">
        <f t="shared" si="264"/>
        <v>0.55000000000000004</v>
      </c>
      <c r="I274" s="25">
        <f ca="1">IFERROR(__xludf.DUMMYFUNCTION("ROUND(D274*GOOGLEFINANCE(""RUBKZT"")*H274)"),1135904)</f>
        <v>1135904</v>
      </c>
      <c r="J274" s="26">
        <f ca="1">IFERROR(__xludf.DUMMYFUNCTION("ROUND(I274*GOOGLEFINANCE(""KZTEUR""))"),2379)</f>
        <v>2379</v>
      </c>
      <c r="K274" s="26">
        <f t="shared" ca="1" si="265"/>
        <v>13217</v>
      </c>
      <c r="L274" s="26">
        <f t="shared" ca="1" si="266"/>
        <v>2511.23</v>
      </c>
      <c r="M274" s="26">
        <f t="shared" ref="M274:N274" si="284">M$3</f>
        <v>500</v>
      </c>
      <c r="N274" s="26">
        <f t="shared" si="284"/>
        <v>500</v>
      </c>
      <c r="O274" s="26">
        <f ca="1">IFERROR(__xludf.DUMMYFUNCTION("ROUND(GOOGLEFINANCE(""Currency:EURKZT"")*K274)"),6312038)</f>
        <v>6312038</v>
      </c>
      <c r="P274" s="26">
        <f ca="1">IFERROR(__xludf.DUMMYFUNCTION("ROUND(GOOGLEFINANCE(""Currency:EURKZT"")*M274)"),238785)</f>
        <v>238785</v>
      </c>
      <c r="Q274" s="26">
        <f ca="1">IFERROR(__xludf.DUMMYFUNCTION("ROUND(GOOGLEFINANCE(""Currency:EURKZT"")*N274)"),238785)</f>
        <v>238785</v>
      </c>
      <c r="R274" s="26">
        <f t="shared" ca="1" si="268"/>
        <v>757445</v>
      </c>
      <c r="S274" s="26">
        <f t="shared" ca="1" si="269"/>
        <v>7547053</v>
      </c>
      <c r="T274" s="26">
        <f ca="1">IFERROR(__xludf.DUMMYFUNCTION("ROUND(GOOGLEFINANCE(""Currency:EURKZT"")*L274+S274)"),8746340)</f>
        <v>8746340</v>
      </c>
      <c r="U274" s="26">
        <f ca="1">IFERROR(__xludf.DUMMYFUNCTION("D274*GOOGLEFINANCE(""RUBKZT"")*1000/F274"),11473779.766724)</f>
        <v>11473779.766724</v>
      </c>
      <c r="V274" s="27">
        <f t="shared" ca="1" si="270"/>
        <v>0.31183783922463565</v>
      </c>
    </row>
    <row r="275" spans="1:22" ht="12.75" customHeight="1" x14ac:dyDescent="0.2">
      <c r="A275" s="6" t="s">
        <v>17</v>
      </c>
      <c r="B275" s="6" t="s">
        <v>306</v>
      </c>
      <c r="C275" s="7">
        <v>207553</v>
      </c>
      <c r="D275" s="8">
        <v>142249.19999999998</v>
      </c>
      <c r="E275" s="9" t="s">
        <v>16</v>
      </c>
      <c r="F275" s="23">
        <v>180</v>
      </c>
      <c r="G275" s="25"/>
      <c r="H275" s="14">
        <f t="shared" si="264"/>
        <v>0.55000000000000004</v>
      </c>
      <c r="I275" s="25">
        <f ca="1">IFERROR(__xludf.DUMMYFUNCTION("ROUND(D275*GOOGLEFINANCE(""RUBKZT"")*H275)"),610525)</f>
        <v>610525</v>
      </c>
      <c r="J275" s="26">
        <f ca="1">IFERROR(__xludf.DUMMYFUNCTION("ROUND(I275*GOOGLEFINANCE(""KZTEUR""))"),1279)</f>
        <v>1279</v>
      </c>
      <c r="K275" s="26">
        <f t="shared" ca="1" si="265"/>
        <v>7106</v>
      </c>
      <c r="L275" s="26">
        <f t="shared" ca="1" si="266"/>
        <v>1350.14</v>
      </c>
      <c r="M275" s="26">
        <f t="shared" ref="M275:N275" si="285">M$3</f>
        <v>500</v>
      </c>
      <c r="N275" s="26">
        <f t="shared" si="285"/>
        <v>500</v>
      </c>
      <c r="O275" s="26">
        <f ca="1">IFERROR(__xludf.DUMMYFUNCTION("ROUND(GOOGLEFINANCE(""Currency:EURKZT"")*K275)"),3393610)</f>
        <v>3393610</v>
      </c>
      <c r="P275" s="26">
        <f ca="1">IFERROR(__xludf.DUMMYFUNCTION("ROUND(GOOGLEFINANCE(""Currency:EURKZT"")*M275)"),238785)</f>
        <v>238785</v>
      </c>
      <c r="Q275" s="26">
        <f ca="1">IFERROR(__xludf.DUMMYFUNCTION("ROUND(GOOGLEFINANCE(""Currency:EURKZT"")*N275)"),238785)</f>
        <v>238785</v>
      </c>
      <c r="R275" s="26">
        <f t="shared" ca="1" si="268"/>
        <v>407233</v>
      </c>
      <c r="S275" s="26">
        <f t="shared" ca="1" si="269"/>
        <v>4278413</v>
      </c>
      <c r="T275" s="26">
        <f ca="1">IFERROR(__xludf.DUMMYFUNCTION("ROUND(GOOGLEFINANCE(""Currency:EURKZT"")*L275+S275)"),4923199)</f>
        <v>4923199</v>
      </c>
      <c r="U275" s="26">
        <f ca="1">IFERROR(__xludf.DUMMYFUNCTION("D275*GOOGLEFINANCE(""RUBKZT"")*1000/F275"),6166916.01599288)</f>
        <v>6166916.0159928799</v>
      </c>
      <c r="V275" s="27">
        <f t="shared" ca="1" si="270"/>
        <v>0.25262375459388903</v>
      </c>
    </row>
    <row r="276" spans="1:22" ht="12.75" customHeight="1" x14ac:dyDescent="0.2">
      <c r="A276" s="6" t="s">
        <v>281</v>
      </c>
      <c r="B276" s="6" t="s">
        <v>306</v>
      </c>
      <c r="C276" s="7">
        <v>207567</v>
      </c>
      <c r="D276" s="8">
        <v>138136.79999999999</v>
      </c>
      <c r="E276" s="9" t="s">
        <v>16</v>
      </c>
      <c r="F276" s="23">
        <v>180</v>
      </c>
      <c r="G276" s="25"/>
      <c r="H276" s="14">
        <f t="shared" si="264"/>
        <v>0.55000000000000004</v>
      </c>
      <c r="I276" s="25">
        <f ca="1">IFERROR(__xludf.DUMMYFUNCTION("ROUND(D276*GOOGLEFINANCE(""RUBKZT"")*H276)"),592875)</f>
        <v>592875</v>
      </c>
      <c r="J276" s="26">
        <f ca="1">IFERROR(__xludf.DUMMYFUNCTION("ROUND(I276*GOOGLEFINANCE(""KZTEUR""))"),1242)</f>
        <v>1242</v>
      </c>
      <c r="K276" s="26">
        <f t="shared" ca="1" si="265"/>
        <v>6900</v>
      </c>
      <c r="L276" s="26">
        <f t="shared" ca="1" si="266"/>
        <v>1311</v>
      </c>
      <c r="M276" s="26">
        <f t="shared" ref="M276:N276" si="286">M$3</f>
        <v>500</v>
      </c>
      <c r="N276" s="26">
        <f t="shared" si="286"/>
        <v>500</v>
      </c>
      <c r="O276" s="26">
        <f ca="1">IFERROR(__xludf.DUMMYFUNCTION("ROUND(GOOGLEFINANCE(""Currency:EURKZT"")*K276)"),3295230)</f>
        <v>3295230</v>
      </c>
      <c r="P276" s="26">
        <f ca="1">IFERROR(__xludf.DUMMYFUNCTION("ROUND(GOOGLEFINANCE(""Currency:EURKZT"")*M276)"),238785)</f>
        <v>238785</v>
      </c>
      <c r="Q276" s="26">
        <f ca="1">IFERROR(__xludf.DUMMYFUNCTION("ROUND(GOOGLEFINANCE(""Currency:EURKZT"")*N276)"),238785)</f>
        <v>238785</v>
      </c>
      <c r="R276" s="26">
        <f t="shared" ca="1" si="268"/>
        <v>395428</v>
      </c>
      <c r="S276" s="26">
        <f t="shared" ca="1" si="269"/>
        <v>4168228</v>
      </c>
      <c r="T276" s="26">
        <f ca="1">IFERROR(__xludf.DUMMYFUNCTION("ROUND(GOOGLEFINANCE(""Currency:EURKZT"")*L276+S276)"),4794322)</f>
        <v>4794322</v>
      </c>
      <c r="U276" s="26">
        <f ca="1">IFERROR(__xludf.DUMMYFUNCTION("D276*GOOGLEFINANCE(""RUBKZT"")*1000/F276"),5988631.53056752)</f>
        <v>5988631.5305675203</v>
      </c>
      <c r="V276" s="27">
        <f t="shared" ca="1" si="270"/>
        <v>0.2491091609131636</v>
      </c>
    </row>
    <row r="277" spans="1:22" ht="12.75" customHeight="1" x14ac:dyDescent="0.2">
      <c r="A277" s="6" t="s">
        <v>289</v>
      </c>
      <c r="B277" s="6" t="s">
        <v>306</v>
      </c>
      <c r="C277" s="7">
        <v>207568</v>
      </c>
      <c r="D277" s="8">
        <v>138694.79999999999</v>
      </c>
      <c r="E277" s="9" t="s">
        <v>16</v>
      </c>
      <c r="F277" s="23">
        <v>180</v>
      </c>
      <c r="G277" s="25"/>
      <c r="H277" s="14">
        <f t="shared" si="264"/>
        <v>0.55000000000000004</v>
      </c>
      <c r="I277" s="25">
        <f ca="1">IFERROR(__xludf.DUMMYFUNCTION("ROUND(D277*GOOGLEFINANCE(""RUBKZT"")*H277)"),595269)</f>
        <v>595269</v>
      </c>
      <c r="J277" s="26">
        <f ca="1">IFERROR(__xludf.DUMMYFUNCTION("ROUND(I277*GOOGLEFINANCE(""KZTEUR""))"),1247)</f>
        <v>1247</v>
      </c>
      <c r="K277" s="26">
        <f t="shared" ca="1" si="265"/>
        <v>6928</v>
      </c>
      <c r="L277" s="26">
        <f t="shared" ca="1" si="266"/>
        <v>1316.32</v>
      </c>
      <c r="M277" s="26">
        <f t="shared" ref="M277:N277" si="287">M$3</f>
        <v>500</v>
      </c>
      <c r="N277" s="26">
        <f t="shared" si="287"/>
        <v>500</v>
      </c>
      <c r="O277" s="26">
        <f ca="1">IFERROR(__xludf.DUMMYFUNCTION("ROUND(GOOGLEFINANCE(""Currency:EURKZT"")*K277)"),3308602)</f>
        <v>3308602</v>
      </c>
      <c r="P277" s="26">
        <f ca="1">IFERROR(__xludf.DUMMYFUNCTION("ROUND(GOOGLEFINANCE(""Currency:EURKZT"")*M277)"),238785)</f>
        <v>238785</v>
      </c>
      <c r="Q277" s="26">
        <f ca="1">IFERROR(__xludf.DUMMYFUNCTION("ROUND(GOOGLEFINANCE(""Currency:EURKZT"")*N277)"),238785)</f>
        <v>238785</v>
      </c>
      <c r="R277" s="26">
        <f t="shared" ca="1" si="268"/>
        <v>397032</v>
      </c>
      <c r="S277" s="26">
        <f t="shared" ca="1" si="269"/>
        <v>4183204</v>
      </c>
      <c r="T277" s="26">
        <f ca="1">IFERROR(__xludf.DUMMYFUNCTION("ROUND(GOOGLEFINANCE(""Currency:EURKZT"")*L277+S277)"),4811838)</f>
        <v>4811838</v>
      </c>
      <c r="U277" s="26">
        <f ca="1">IFERROR(__xludf.DUMMYFUNCTION("D277*GOOGLEFINANCE(""RUBKZT"")*1000/F277"),6012822.45140872)</f>
        <v>6012822.4514087196</v>
      </c>
      <c r="V277" s="27">
        <f t="shared" ca="1" si="270"/>
        <v>0.24958954383101004</v>
      </c>
    </row>
    <row r="278" spans="1:22" ht="12.75" customHeight="1" x14ac:dyDescent="0.2">
      <c r="A278" s="6" t="s">
        <v>272</v>
      </c>
      <c r="B278" s="6" t="s">
        <v>273</v>
      </c>
      <c r="C278" s="7">
        <v>172772</v>
      </c>
      <c r="D278" s="8">
        <v>11350.8</v>
      </c>
      <c r="E278" s="9" t="s">
        <v>16</v>
      </c>
      <c r="F278" s="23">
        <v>18</v>
      </c>
      <c r="G278" s="25"/>
      <c r="H278" s="14">
        <f t="shared" si="264"/>
        <v>0.55000000000000004</v>
      </c>
      <c r="I278" s="25">
        <f ca="1">IFERROR(__xludf.DUMMYFUNCTION("ROUND(D278*GOOGLEFINANCE(""RUBKZT"")*H278)"),48717)</f>
        <v>48717</v>
      </c>
      <c r="J278" s="26">
        <f ca="1">IFERROR(__xludf.DUMMYFUNCTION("ROUND(I278*GOOGLEFINANCE(""KZTEUR""))"),102)</f>
        <v>102</v>
      </c>
      <c r="K278" s="26">
        <f t="shared" ca="1" si="265"/>
        <v>5667</v>
      </c>
      <c r="L278" s="26">
        <f t="shared" ca="1" si="266"/>
        <v>1076.73</v>
      </c>
      <c r="M278" s="26">
        <f t="shared" ref="M278:N278" si="288">M$3</f>
        <v>500</v>
      </c>
      <c r="N278" s="26">
        <f t="shared" si="288"/>
        <v>500</v>
      </c>
      <c r="O278" s="26">
        <f ca="1">IFERROR(__xludf.DUMMYFUNCTION("ROUND(GOOGLEFINANCE(""Currency:EURKZT"")*K278)"),2706387)</f>
        <v>2706387</v>
      </c>
      <c r="P278" s="26">
        <f ca="1">IFERROR(__xludf.DUMMYFUNCTION("ROUND(GOOGLEFINANCE(""Currency:EURKZT"")*M278)"),238785)</f>
        <v>238785</v>
      </c>
      <c r="Q278" s="26">
        <f ca="1">IFERROR(__xludf.DUMMYFUNCTION("ROUND(GOOGLEFINANCE(""Currency:EURKZT"")*N278)"),238785)</f>
        <v>238785</v>
      </c>
      <c r="R278" s="26">
        <f t="shared" ca="1" si="268"/>
        <v>324766</v>
      </c>
      <c r="S278" s="26">
        <f t="shared" ca="1" si="269"/>
        <v>3508723</v>
      </c>
      <c r="T278" s="26">
        <f ca="1">IFERROR(__xludf.DUMMYFUNCTION("ROUND(GOOGLEFINANCE(""Currency:EURKZT"")*L278+S278)"),4022937)</f>
        <v>4022937</v>
      </c>
      <c r="U278" s="26">
        <f ca="1">IFERROR(__xludf.DUMMYFUNCTION("D278*GOOGLEFINANCE(""RUBKZT"")*1000/F278"),4920901.5104712)</f>
        <v>4920901.5104711996</v>
      </c>
      <c r="V278" s="27">
        <f t="shared" ca="1" si="270"/>
        <v>0.22321117891510597</v>
      </c>
    </row>
    <row r="279" spans="1:22" ht="12.75" customHeight="1" x14ac:dyDescent="0.2">
      <c r="A279" s="6" t="s">
        <v>404</v>
      </c>
      <c r="B279" s="6" t="s">
        <v>273</v>
      </c>
      <c r="C279" s="7">
        <v>200519</v>
      </c>
      <c r="D279" s="8">
        <v>40730.400000000001</v>
      </c>
      <c r="E279" s="9" t="s">
        <v>7</v>
      </c>
      <c r="F279" s="23">
        <v>18</v>
      </c>
      <c r="G279" s="25"/>
      <c r="H279" s="14">
        <f t="shared" si="264"/>
        <v>0.55000000000000004</v>
      </c>
      <c r="I279" s="25">
        <f ca="1">IFERROR(__xludf.DUMMYFUNCTION("ROUND(D279*GOOGLEFINANCE(""RUBKZT"")*H279)"),174812)</f>
        <v>174812</v>
      </c>
      <c r="J279" s="26">
        <f ca="1">IFERROR(__xludf.DUMMYFUNCTION("ROUND(I279*GOOGLEFINANCE(""KZTEUR""))"),366)</f>
        <v>366</v>
      </c>
      <c r="K279" s="26">
        <f t="shared" ca="1" si="265"/>
        <v>20333</v>
      </c>
      <c r="L279" s="26">
        <f t="shared" ca="1" si="266"/>
        <v>3863.27</v>
      </c>
      <c r="M279" s="26">
        <f t="shared" ref="M279:N279" si="289">M$3</f>
        <v>500</v>
      </c>
      <c r="N279" s="26">
        <f t="shared" si="289"/>
        <v>500</v>
      </c>
      <c r="O279" s="26">
        <f ca="1">IFERROR(__xludf.DUMMYFUNCTION("ROUND(GOOGLEFINANCE(""Currency:EURKZT"")*K279)"),9710423)</f>
        <v>9710423</v>
      </c>
      <c r="P279" s="26">
        <f ca="1">IFERROR(__xludf.DUMMYFUNCTION("ROUND(GOOGLEFINANCE(""Currency:EURKZT"")*M279)"),238785)</f>
        <v>238785</v>
      </c>
      <c r="Q279" s="26">
        <f ca="1">IFERROR(__xludf.DUMMYFUNCTION("ROUND(GOOGLEFINANCE(""Currency:EURKZT"")*N279)"),238785)</f>
        <v>238785</v>
      </c>
      <c r="R279" s="26">
        <f t="shared" ca="1" si="268"/>
        <v>1165251</v>
      </c>
      <c r="S279" s="26">
        <f t="shared" ca="1" si="269"/>
        <v>11353244</v>
      </c>
      <c r="T279" s="26">
        <f ca="1">IFERROR(__xludf.DUMMYFUNCTION("ROUND(GOOGLEFINANCE(""Currency:EURKZT"")*L279+S279)"),13198224)</f>
        <v>13198224</v>
      </c>
      <c r="U279" s="26">
        <f ca="1">IFERROR(__xludf.DUMMYFUNCTION("D279*GOOGLEFINANCE(""RUBKZT"")*1000/F279"),17657811.5095056)</f>
        <v>17657811.5095056</v>
      </c>
      <c r="V279" s="27">
        <f t="shared" ca="1" si="270"/>
        <v>0.33789300056625798</v>
      </c>
    </row>
    <row r="280" spans="1:22" ht="12.75" customHeight="1" x14ac:dyDescent="0.2">
      <c r="A280" s="6" t="s">
        <v>406</v>
      </c>
      <c r="B280" s="6" t="s">
        <v>273</v>
      </c>
      <c r="C280" s="7">
        <v>200537</v>
      </c>
      <c r="D280" s="8">
        <v>40616.400000000001</v>
      </c>
      <c r="E280" s="9" t="s">
        <v>7</v>
      </c>
      <c r="F280" s="23">
        <v>18</v>
      </c>
      <c r="G280" s="25"/>
      <c r="H280" s="14">
        <f t="shared" si="264"/>
        <v>0.55000000000000004</v>
      </c>
      <c r="I280" s="25">
        <f ca="1">IFERROR(__xludf.DUMMYFUNCTION("ROUND(D280*GOOGLEFINANCE(""RUBKZT"")*H280)"),174323)</f>
        <v>174323</v>
      </c>
      <c r="J280" s="26">
        <f ca="1">IFERROR(__xludf.DUMMYFUNCTION("ROUND(I280*GOOGLEFINANCE(""KZTEUR""))"),365)</f>
        <v>365</v>
      </c>
      <c r="K280" s="26">
        <f t="shared" ca="1" si="265"/>
        <v>20278</v>
      </c>
      <c r="L280" s="26">
        <f t="shared" ca="1" si="266"/>
        <v>3852.82</v>
      </c>
      <c r="M280" s="26">
        <f t="shared" ref="M280:N280" si="290">M$3</f>
        <v>500</v>
      </c>
      <c r="N280" s="26">
        <f t="shared" si="290"/>
        <v>500</v>
      </c>
      <c r="O280" s="26">
        <f ca="1">IFERROR(__xludf.DUMMYFUNCTION("ROUND(GOOGLEFINANCE(""Currency:EURKZT"")*K280)"),9684157)</f>
        <v>9684157</v>
      </c>
      <c r="P280" s="26">
        <f ca="1">IFERROR(__xludf.DUMMYFUNCTION("ROUND(GOOGLEFINANCE(""Currency:EURKZT"")*M280)"),238785)</f>
        <v>238785</v>
      </c>
      <c r="Q280" s="26">
        <f ca="1">IFERROR(__xludf.DUMMYFUNCTION("ROUND(GOOGLEFINANCE(""Currency:EURKZT"")*N280)"),238785)</f>
        <v>238785</v>
      </c>
      <c r="R280" s="26">
        <f t="shared" ca="1" si="268"/>
        <v>1162099</v>
      </c>
      <c r="S280" s="26">
        <f t="shared" ca="1" si="269"/>
        <v>11323826</v>
      </c>
      <c r="T280" s="26">
        <f ca="1">IFERROR(__xludf.DUMMYFUNCTION("ROUND(GOOGLEFINANCE(""Currency:EURKZT"")*L280+S280)"),13163816)</f>
        <v>13163816</v>
      </c>
      <c r="U280" s="26">
        <f ca="1">IFERROR(__xludf.DUMMYFUNCTION("D280*GOOGLEFINANCE(""RUBKZT"")*1000/F280"),17608389.1981096)</f>
        <v>17608389.198109601</v>
      </c>
      <c r="V280" s="27">
        <f t="shared" ca="1" si="270"/>
        <v>0.33763562162442873</v>
      </c>
    </row>
    <row r="281" spans="1:22" ht="12.75" customHeight="1" x14ac:dyDescent="0.2">
      <c r="A281" s="6" t="s">
        <v>460</v>
      </c>
      <c r="B281" s="6" t="s">
        <v>273</v>
      </c>
      <c r="C281" s="7">
        <v>166048</v>
      </c>
      <c r="D281" s="8">
        <v>9069.6</v>
      </c>
      <c r="E281" s="9" t="s">
        <v>16</v>
      </c>
      <c r="F281" s="23">
        <v>18</v>
      </c>
      <c r="G281" s="25"/>
      <c r="H281" s="14">
        <f t="shared" si="264"/>
        <v>0.55000000000000004</v>
      </c>
      <c r="I281" s="25">
        <f ca="1">IFERROR(__xludf.DUMMYFUNCTION("ROUND(D281*GOOGLEFINANCE(""RUBKZT"")*H281)"),38926)</f>
        <v>38926</v>
      </c>
      <c r="J281" s="26">
        <f ca="1">IFERROR(__xludf.DUMMYFUNCTION("ROUND(I281*GOOGLEFINANCE(""KZTEUR""))"),82)</f>
        <v>82</v>
      </c>
      <c r="K281" s="26">
        <f t="shared" ca="1" si="265"/>
        <v>4556</v>
      </c>
      <c r="L281" s="26">
        <f t="shared" ca="1" si="266"/>
        <v>865.64</v>
      </c>
      <c r="M281" s="26">
        <f t="shared" ref="M281:N281" si="291">M$3</f>
        <v>500</v>
      </c>
      <c r="N281" s="26">
        <f t="shared" si="291"/>
        <v>500</v>
      </c>
      <c r="O281" s="26">
        <f ca="1">IFERROR(__xludf.DUMMYFUNCTION("ROUND(GOOGLEFINANCE(""Currency:EURKZT"")*K281)"),2175807)</f>
        <v>2175807</v>
      </c>
      <c r="P281" s="26">
        <f ca="1">IFERROR(__xludf.DUMMYFUNCTION("ROUND(GOOGLEFINANCE(""Currency:EURKZT"")*M281)"),238785)</f>
        <v>238785</v>
      </c>
      <c r="Q281" s="26">
        <f ca="1">IFERROR(__xludf.DUMMYFUNCTION("ROUND(GOOGLEFINANCE(""Currency:EURKZT"")*N281)"),238785)</f>
        <v>238785</v>
      </c>
      <c r="R281" s="26">
        <f t="shared" ca="1" si="268"/>
        <v>261097</v>
      </c>
      <c r="S281" s="26">
        <f t="shared" ca="1" si="269"/>
        <v>2914474</v>
      </c>
      <c r="T281" s="26">
        <f ca="1">IFERROR(__xludf.DUMMYFUNCTION("ROUND(GOOGLEFINANCE(""Currency:EURKZT"")*L281+S281)"),3327877)</f>
        <v>3327877</v>
      </c>
      <c r="U281" s="26">
        <f ca="1">IFERROR(__xludf.DUMMYFUNCTION("D281*GOOGLEFINANCE(""RUBKZT"")*1000/F281"),3931935.0476944)</f>
        <v>3931935.0476944</v>
      </c>
      <c r="V281" s="27">
        <f t="shared" ca="1" si="270"/>
        <v>0.18151453545140039</v>
      </c>
    </row>
    <row r="282" spans="1:22" ht="12.75" customHeight="1" x14ac:dyDescent="0.2">
      <c r="A282" s="6" t="s">
        <v>495</v>
      </c>
      <c r="B282" s="6" t="s">
        <v>273</v>
      </c>
      <c r="C282" s="7">
        <v>172764</v>
      </c>
      <c r="D282" s="8">
        <v>11314.8</v>
      </c>
      <c r="E282" s="9" t="s">
        <v>16</v>
      </c>
      <c r="F282" s="23">
        <v>18</v>
      </c>
      <c r="G282" s="25"/>
      <c r="H282" s="14">
        <f t="shared" si="264"/>
        <v>0.55000000000000004</v>
      </c>
      <c r="I282" s="25">
        <f ca="1">IFERROR(__xludf.DUMMYFUNCTION("ROUND(D282*GOOGLEFINANCE(""RUBKZT"")*H282)"),48562)</f>
        <v>48562</v>
      </c>
      <c r="J282" s="26">
        <f ca="1">IFERROR(__xludf.DUMMYFUNCTION("ROUND(I282*GOOGLEFINANCE(""KZTEUR""))"),102)</f>
        <v>102</v>
      </c>
      <c r="K282" s="26">
        <f t="shared" ca="1" si="265"/>
        <v>5667</v>
      </c>
      <c r="L282" s="26">
        <f t="shared" ca="1" si="266"/>
        <v>1076.73</v>
      </c>
      <c r="M282" s="26">
        <f t="shared" ref="M282:N282" si="292">M$3</f>
        <v>500</v>
      </c>
      <c r="N282" s="26">
        <f t="shared" si="292"/>
        <v>500</v>
      </c>
      <c r="O282" s="26">
        <f ca="1">IFERROR(__xludf.DUMMYFUNCTION("ROUND(GOOGLEFINANCE(""Currency:EURKZT"")*K282)"),2706387)</f>
        <v>2706387</v>
      </c>
      <c r="P282" s="26">
        <f ca="1">IFERROR(__xludf.DUMMYFUNCTION("ROUND(GOOGLEFINANCE(""Currency:EURKZT"")*M282)"),238785)</f>
        <v>238785</v>
      </c>
      <c r="Q282" s="26">
        <f ca="1">IFERROR(__xludf.DUMMYFUNCTION("ROUND(GOOGLEFINANCE(""Currency:EURKZT"")*N282)"),238785)</f>
        <v>238785</v>
      </c>
      <c r="R282" s="26">
        <f t="shared" ca="1" si="268"/>
        <v>324766</v>
      </c>
      <c r="S282" s="26">
        <f t="shared" ca="1" si="269"/>
        <v>3508723</v>
      </c>
      <c r="T282" s="26">
        <f ca="1">IFERROR(__xludf.DUMMYFUNCTION("ROUND(GOOGLEFINANCE(""Currency:EURKZT"")*L282+S282)"),4022937)</f>
        <v>4022937</v>
      </c>
      <c r="U282" s="26">
        <f ca="1">IFERROR(__xludf.DUMMYFUNCTION("D282*GOOGLEFINANCE(""RUBKZT"")*1000/F282"),4905294.4647672)</f>
        <v>4905294.4647671999</v>
      </c>
      <c r="V282" s="27">
        <f t="shared" ca="1" si="270"/>
        <v>0.21933166359980283</v>
      </c>
    </row>
    <row r="283" spans="1:22" ht="12.75" customHeight="1" x14ac:dyDescent="0.2">
      <c r="A283" s="6" t="s">
        <v>527</v>
      </c>
      <c r="B283" s="6" t="s">
        <v>273</v>
      </c>
      <c r="C283" s="7">
        <v>194747</v>
      </c>
      <c r="D283" s="8">
        <v>10041.6</v>
      </c>
      <c r="E283" s="9" t="s">
        <v>7</v>
      </c>
      <c r="F283" s="23">
        <v>18</v>
      </c>
      <c r="G283" s="25"/>
      <c r="H283" s="14">
        <f t="shared" si="264"/>
        <v>0.55000000000000004</v>
      </c>
      <c r="I283" s="25">
        <f ca="1">IFERROR(__xludf.DUMMYFUNCTION("ROUND(D283*GOOGLEFINANCE(""RUBKZT"")*H283)"),43098)</f>
        <v>43098</v>
      </c>
      <c r="J283" s="26">
        <f ca="1">IFERROR(__xludf.DUMMYFUNCTION("ROUND(I283*GOOGLEFINANCE(""KZTEUR""))"),90)</f>
        <v>90</v>
      </c>
      <c r="K283" s="26">
        <f t="shared" ca="1" si="265"/>
        <v>5000</v>
      </c>
      <c r="L283" s="26">
        <f t="shared" ca="1" si="266"/>
        <v>950</v>
      </c>
      <c r="M283" s="26">
        <f t="shared" ref="M283:N283" si="293">M$3</f>
        <v>500</v>
      </c>
      <c r="N283" s="26">
        <f t="shared" si="293"/>
        <v>500</v>
      </c>
      <c r="O283" s="26">
        <f ca="1">IFERROR(__xludf.DUMMYFUNCTION("ROUND(GOOGLEFINANCE(""Currency:EURKZT"")*K283)"),2387848)</f>
        <v>2387848</v>
      </c>
      <c r="P283" s="26">
        <f ca="1">IFERROR(__xludf.DUMMYFUNCTION("ROUND(GOOGLEFINANCE(""Currency:EURKZT"")*M283)"),238785)</f>
        <v>238785</v>
      </c>
      <c r="Q283" s="26">
        <f ca="1">IFERROR(__xludf.DUMMYFUNCTION("ROUND(GOOGLEFINANCE(""Currency:EURKZT"")*N283)"),238785)</f>
        <v>238785</v>
      </c>
      <c r="R283" s="26">
        <f t="shared" ca="1" si="268"/>
        <v>286542</v>
      </c>
      <c r="S283" s="26">
        <f t="shared" ca="1" si="269"/>
        <v>3151960</v>
      </c>
      <c r="T283" s="26">
        <f ca="1">IFERROR(__xludf.DUMMYFUNCTION("ROUND(GOOGLEFINANCE(""Currency:EURKZT"")*L283+S283)"),3605651)</f>
        <v>3605651</v>
      </c>
      <c r="U283" s="26">
        <f ca="1">IFERROR(__xludf.DUMMYFUNCTION("D283*GOOGLEFINANCE(""RUBKZT"")*1000/F283"),4353325.2817024)</f>
        <v>4353325.2817024002</v>
      </c>
      <c r="V283" s="27">
        <f t="shared" ca="1" si="270"/>
        <v>0.20736180004731466</v>
      </c>
    </row>
    <row r="284" spans="1:22" ht="12.75" customHeight="1" x14ac:dyDescent="0.2">
      <c r="A284" s="6" t="s">
        <v>571</v>
      </c>
      <c r="B284" s="6" t="s">
        <v>273</v>
      </c>
      <c r="C284" s="7">
        <v>195003</v>
      </c>
      <c r="D284" s="8">
        <v>13023.6</v>
      </c>
      <c r="E284" s="9" t="s">
        <v>7</v>
      </c>
      <c r="F284" s="23">
        <v>18</v>
      </c>
      <c r="G284" s="25"/>
      <c r="H284" s="14">
        <f t="shared" si="264"/>
        <v>0.55000000000000004</v>
      </c>
      <c r="I284" s="25">
        <f ca="1">IFERROR(__xludf.DUMMYFUNCTION("ROUND(D284*GOOGLEFINANCE(""RUBKZT"")*H284)"),55896)</f>
        <v>55896</v>
      </c>
      <c r="J284" s="26">
        <f ca="1">IFERROR(__xludf.DUMMYFUNCTION("ROUND(I284*GOOGLEFINANCE(""KZTEUR""))"),117)</f>
        <v>117</v>
      </c>
      <c r="K284" s="26">
        <f t="shared" ca="1" si="265"/>
        <v>6500</v>
      </c>
      <c r="L284" s="26">
        <f t="shared" ca="1" si="266"/>
        <v>1235</v>
      </c>
      <c r="M284" s="26">
        <f t="shared" ref="M284:N284" si="294">M$3</f>
        <v>500</v>
      </c>
      <c r="N284" s="26">
        <f t="shared" si="294"/>
        <v>500</v>
      </c>
      <c r="O284" s="26">
        <f ca="1">IFERROR(__xludf.DUMMYFUNCTION("ROUND(GOOGLEFINANCE(""Currency:EURKZT"")*K284)"),3104202)</f>
        <v>3104202</v>
      </c>
      <c r="P284" s="26">
        <f ca="1">IFERROR(__xludf.DUMMYFUNCTION("ROUND(GOOGLEFINANCE(""Currency:EURKZT"")*M284)"),238785)</f>
        <v>238785</v>
      </c>
      <c r="Q284" s="26">
        <f ca="1">IFERROR(__xludf.DUMMYFUNCTION("ROUND(GOOGLEFINANCE(""Currency:EURKZT"")*N284)"),238785)</f>
        <v>238785</v>
      </c>
      <c r="R284" s="26">
        <f t="shared" ca="1" si="268"/>
        <v>372504</v>
      </c>
      <c r="S284" s="26">
        <f t="shared" ca="1" si="269"/>
        <v>3954276</v>
      </c>
      <c r="T284" s="26">
        <f ca="1">IFERROR(__xludf.DUMMYFUNCTION("ROUND(GOOGLEFINANCE(""Currency:EURKZT"")*L284+S284)"),4544074)</f>
        <v>4544074</v>
      </c>
      <c r="U284" s="26">
        <f ca="1">IFERROR(__xludf.DUMMYFUNCTION("D284*GOOGLEFINANCE(""RUBKZT"")*1000/F284"),5646108.9008504)</f>
        <v>5646108.9008504003</v>
      </c>
      <c r="V284" s="27">
        <f t="shared" ca="1" si="270"/>
        <v>0.2425213367674911</v>
      </c>
    </row>
    <row r="285" spans="1:22" ht="12.75" customHeight="1" x14ac:dyDescent="0.2">
      <c r="A285" s="6" t="s">
        <v>577</v>
      </c>
      <c r="B285" s="6" t="s">
        <v>273</v>
      </c>
      <c r="C285" s="7">
        <v>195414</v>
      </c>
      <c r="D285" s="8">
        <v>14347.199999999999</v>
      </c>
      <c r="E285" s="9" t="s">
        <v>7</v>
      </c>
      <c r="F285" s="23">
        <v>18</v>
      </c>
      <c r="G285" s="25"/>
      <c r="H285" s="14">
        <f t="shared" si="264"/>
        <v>0.55000000000000004</v>
      </c>
      <c r="I285" s="25">
        <f ca="1">IFERROR(__xludf.DUMMYFUNCTION("ROUND(D285*GOOGLEFINANCE(""RUBKZT"")*H285)"),61577)</f>
        <v>61577</v>
      </c>
      <c r="J285" s="26">
        <f ca="1">IFERROR(__xludf.DUMMYFUNCTION("ROUND(I285*GOOGLEFINANCE(""KZTEUR""))"),129)</f>
        <v>129</v>
      </c>
      <c r="K285" s="26">
        <f t="shared" ca="1" si="265"/>
        <v>7167</v>
      </c>
      <c r="L285" s="26">
        <f t="shared" ca="1" si="266"/>
        <v>1361.73</v>
      </c>
      <c r="M285" s="26">
        <f t="shared" ref="M285:N285" si="295">M$3</f>
        <v>500</v>
      </c>
      <c r="N285" s="26">
        <f t="shared" si="295"/>
        <v>500</v>
      </c>
      <c r="O285" s="26">
        <f ca="1">IFERROR(__xludf.DUMMYFUNCTION("ROUND(GOOGLEFINANCE(""Currency:EURKZT"")*K285)"),3422741)</f>
        <v>3422741</v>
      </c>
      <c r="P285" s="26">
        <f ca="1">IFERROR(__xludf.DUMMYFUNCTION("ROUND(GOOGLEFINANCE(""Currency:EURKZT"")*M285)"),238785)</f>
        <v>238785</v>
      </c>
      <c r="Q285" s="26">
        <f ca="1">IFERROR(__xludf.DUMMYFUNCTION("ROUND(GOOGLEFINANCE(""Currency:EURKZT"")*N285)"),238785)</f>
        <v>238785</v>
      </c>
      <c r="R285" s="26">
        <f t="shared" ca="1" si="268"/>
        <v>410729</v>
      </c>
      <c r="S285" s="26">
        <f t="shared" ca="1" si="269"/>
        <v>4311040</v>
      </c>
      <c r="T285" s="26">
        <f ca="1">IFERROR(__xludf.DUMMYFUNCTION("ROUND(GOOGLEFINANCE(""Currency:EURKZT"")*L285+S285)"),4961361)</f>
        <v>4961361</v>
      </c>
      <c r="U285" s="26">
        <f ca="1">IFERROR(__xludf.DUMMYFUNCTION("D285*GOOGLEFINANCE(""RUBKZT"")*1000/F285"),6219927.94790079)</f>
        <v>6219927.9479007898</v>
      </c>
      <c r="V285" s="27">
        <f t="shared" ca="1" si="270"/>
        <v>0.25367372942641947</v>
      </c>
    </row>
    <row r="286" spans="1:22" ht="12.75" customHeight="1" x14ac:dyDescent="0.2">
      <c r="A286" s="6" t="s">
        <v>596</v>
      </c>
      <c r="B286" s="6" t="s">
        <v>273</v>
      </c>
      <c r="C286" s="7">
        <v>201278</v>
      </c>
      <c r="D286" s="8">
        <v>13956</v>
      </c>
      <c r="E286" s="9" t="s">
        <v>16</v>
      </c>
      <c r="F286" s="23">
        <v>18</v>
      </c>
      <c r="G286" s="25"/>
      <c r="H286" s="14">
        <f t="shared" si="264"/>
        <v>0.55000000000000004</v>
      </c>
      <c r="I286" s="25">
        <f ca="1">IFERROR(__xludf.DUMMYFUNCTION("ROUND(D286*GOOGLEFINANCE(""RUBKZT"")*H286)"),59898)</f>
        <v>59898</v>
      </c>
      <c r="J286" s="26">
        <f ca="1">IFERROR(__xludf.DUMMYFUNCTION("ROUND(I286*GOOGLEFINANCE(""KZTEUR""))"),125)</f>
        <v>125</v>
      </c>
      <c r="K286" s="26">
        <f t="shared" ca="1" si="265"/>
        <v>6944</v>
      </c>
      <c r="L286" s="26">
        <f t="shared" ca="1" si="266"/>
        <v>1319.3600000000001</v>
      </c>
      <c r="M286" s="26">
        <f t="shared" ref="M286:N286" si="296">M$3</f>
        <v>500</v>
      </c>
      <c r="N286" s="26">
        <f t="shared" si="296"/>
        <v>500</v>
      </c>
      <c r="O286" s="26">
        <f ca="1">IFERROR(__xludf.DUMMYFUNCTION("ROUND(GOOGLEFINANCE(""Currency:EURKZT"")*K286)"),3316243)</f>
        <v>3316243</v>
      </c>
      <c r="P286" s="26">
        <f ca="1">IFERROR(__xludf.DUMMYFUNCTION("ROUND(GOOGLEFINANCE(""Currency:EURKZT"")*M286)"),238785)</f>
        <v>238785</v>
      </c>
      <c r="Q286" s="26">
        <f ca="1">IFERROR(__xludf.DUMMYFUNCTION("ROUND(GOOGLEFINANCE(""Currency:EURKZT"")*N286)"),238785)</f>
        <v>238785</v>
      </c>
      <c r="R286" s="26">
        <f t="shared" ca="1" si="268"/>
        <v>397949</v>
      </c>
      <c r="S286" s="26">
        <f t="shared" ca="1" si="269"/>
        <v>4191762</v>
      </c>
      <c r="T286" s="26">
        <f ca="1">IFERROR(__xludf.DUMMYFUNCTION("ROUND(GOOGLEFINANCE(""Currency:EURKZT"")*L286+S286)"),4821848)</f>
        <v>4821848</v>
      </c>
      <c r="U286" s="26">
        <f ca="1">IFERROR(__xludf.DUMMYFUNCTION("D286*GOOGLEFINANCE(""RUBKZT"")*1000/F286"),6050331.384584)</f>
        <v>6050331.3845840003</v>
      </c>
      <c r="V286" s="27">
        <f t="shared" ca="1" si="270"/>
        <v>0.25477439035490135</v>
      </c>
    </row>
    <row r="287" spans="1:22" ht="12.75" customHeight="1" x14ac:dyDescent="0.2">
      <c r="A287" s="6" t="s">
        <v>598</v>
      </c>
      <c r="B287" s="6" t="s">
        <v>273</v>
      </c>
      <c r="C287" s="7">
        <v>201282</v>
      </c>
      <c r="D287" s="8">
        <v>10278</v>
      </c>
      <c r="E287" s="9" t="s">
        <v>16</v>
      </c>
      <c r="F287" s="23">
        <v>18</v>
      </c>
      <c r="G287" s="25"/>
      <c r="H287" s="14">
        <f t="shared" si="264"/>
        <v>0.55000000000000004</v>
      </c>
      <c r="I287" s="25">
        <f ca="1">IFERROR(__xludf.DUMMYFUNCTION("ROUND(D287*GOOGLEFINANCE(""RUBKZT"")*H287)"),44113)</f>
        <v>44113</v>
      </c>
      <c r="J287" s="26">
        <f ca="1">IFERROR(__xludf.DUMMYFUNCTION("ROUND(I287*GOOGLEFINANCE(""KZTEUR""))"),92)</f>
        <v>92</v>
      </c>
      <c r="K287" s="26">
        <f t="shared" ca="1" si="265"/>
        <v>5111</v>
      </c>
      <c r="L287" s="26">
        <f t="shared" ca="1" si="266"/>
        <v>971.09</v>
      </c>
      <c r="M287" s="26">
        <f t="shared" ref="M287:N287" si="297">M$3</f>
        <v>500</v>
      </c>
      <c r="N287" s="26">
        <f t="shared" si="297"/>
        <v>500</v>
      </c>
      <c r="O287" s="26">
        <f ca="1">IFERROR(__xludf.DUMMYFUNCTION("ROUND(GOOGLEFINANCE(""Currency:EURKZT"")*K287)"),2440858)</f>
        <v>2440858</v>
      </c>
      <c r="P287" s="26">
        <f ca="1">IFERROR(__xludf.DUMMYFUNCTION("ROUND(GOOGLEFINANCE(""Currency:EURKZT"")*M287)"),238785)</f>
        <v>238785</v>
      </c>
      <c r="Q287" s="26">
        <f ca="1">IFERROR(__xludf.DUMMYFUNCTION("ROUND(GOOGLEFINANCE(""Currency:EURKZT"")*N287)"),238785)</f>
        <v>238785</v>
      </c>
      <c r="R287" s="26">
        <f t="shared" ca="1" si="268"/>
        <v>292903</v>
      </c>
      <c r="S287" s="26">
        <f t="shared" ca="1" si="269"/>
        <v>3211331</v>
      </c>
      <c r="T287" s="26">
        <f ca="1">IFERROR(__xludf.DUMMYFUNCTION("ROUND(GOOGLEFINANCE(""Currency:EURKZT"")*L287+S287)"),3675094)</f>
        <v>3675094</v>
      </c>
      <c r="U287" s="26">
        <f ca="1">IFERROR(__xludf.DUMMYFUNCTION("D287*GOOGLEFINANCE(""RUBKZT"")*1000/F287"),4455811.548492)</f>
        <v>4455811.5484920004</v>
      </c>
      <c r="V287" s="27">
        <f t="shared" ca="1" si="270"/>
        <v>0.21243471554523516</v>
      </c>
    </row>
    <row r="288" spans="1:22" ht="12.75" customHeight="1" x14ac:dyDescent="0.2">
      <c r="A288" s="6" t="s">
        <v>603</v>
      </c>
      <c r="B288" s="6" t="s">
        <v>273</v>
      </c>
      <c r="C288" s="7">
        <v>201534</v>
      </c>
      <c r="D288" s="8">
        <v>8870.4</v>
      </c>
      <c r="E288" s="9" t="s">
        <v>16</v>
      </c>
      <c r="F288" s="23">
        <v>18</v>
      </c>
      <c r="G288" s="25"/>
      <c r="H288" s="14">
        <f t="shared" si="264"/>
        <v>0.55000000000000004</v>
      </c>
      <c r="I288" s="25">
        <f ca="1">IFERROR(__xludf.DUMMYFUNCTION("ROUND(D288*GOOGLEFINANCE(""RUBKZT"")*H288)"),38071)</f>
        <v>38071</v>
      </c>
      <c r="J288" s="26">
        <f ca="1">IFERROR(__xludf.DUMMYFUNCTION("ROUND(I288*GOOGLEFINANCE(""KZTEUR""))"),80)</f>
        <v>80</v>
      </c>
      <c r="K288" s="26">
        <f t="shared" ca="1" si="265"/>
        <v>4444</v>
      </c>
      <c r="L288" s="26">
        <f t="shared" ca="1" si="266"/>
        <v>844.36</v>
      </c>
      <c r="M288" s="26">
        <f t="shared" ref="M288:N288" si="298">M$3</f>
        <v>500</v>
      </c>
      <c r="N288" s="26">
        <f t="shared" si="298"/>
        <v>500</v>
      </c>
      <c r="O288" s="26">
        <f ca="1">IFERROR(__xludf.DUMMYFUNCTION("ROUND(GOOGLEFINANCE(""Currency:EURKZT"")*K288)"),2122319)</f>
        <v>2122319</v>
      </c>
      <c r="P288" s="26">
        <f ca="1">IFERROR(__xludf.DUMMYFUNCTION("ROUND(GOOGLEFINANCE(""Currency:EURKZT"")*M288)"),238785)</f>
        <v>238785</v>
      </c>
      <c r="Q288" s="26">
        <f ca="1">IFERROR(__xludf.DUMMYFUNCTION("ROUND(GOOGLEFINANCE(""Currency:EURKZT"")*N288)"),238785)</f>
        <v>238785</v>
      </c>
      <c r="R288" s="26">
        <f t="shared" ca="1" si="268"/>
        <v>254678</v>
      </c>
      <c r="S288" s="26">
        <f t="shared" ca="1" si="269"/>
        <v>2854567</v>
      </c>
      <c r="T288" s="26">
        <f ca="1">IFERROR(__xludf.DUMMYFUNCTION("ROUND(GOOGLEFINANCE(""Currency:EURKZT"")*L288+S288)"),3257808)</f>
        <v>3257808</v>
      </c>
      <c r="U288" s="26">
        <f ca="1">IFERROR(__xludf.DUMMYFUNCTION("D288*GOOGLEFINANCE(""RUBKZT"")*1000/F288"),3845576.0614656)</f>
        <v>3845576.0614656</v>
      </c>
      <c r="V288" s="27">
        <f t="shared" ca="1" si="270"/>
        <v>0.18041826328181404</v>
      </c>
    </row>
    <row r="289" spans="1:22" ht="12.75" customHeight="1" x14ac:dyDescent="0.2">
      <c r="A289" s="6" t="s">
        <v>636</v>
      </c>
      <c r="B289" s="6" t="s">
        <v>273</v>
      </c>
      <c r="C289" s="7">
        <v>193627</v>
      </c>
      <c r="D289" s="8">
        <v>10209.6</v>
      </c>
      <c r="E289" s="9" t="s">
        <v>16</v>
      </c>
      <c r="F289" s="23">
        <v>18</v>
      </c>
      <c r="G289" s="25"/>
      <c r="H289" s="14">
        <f t="shared" si="264"/>
        <v>0.55000000000000004</v>
      </c>
      <c r="I289" s="25">
        <f ca="1">IFERROR(__xludf.DUMMYFUNCTION("ROUND(D289*GOOGLEFINANCE(""RUBKZT"")*H289)"),43819)</f>
        <v>43819</v>
      </c>
      <c r="J289" s="26">
        <f ca="1">IFERROR(__xludf.DUMMYFUNCTION("ROUND(I289*GOOGLEFINANCE(""KZTEUR""))"),92)</f>
        <v>92</v>
      </c>
      <c r="K289" s="26">
        <f t="shared" ca="1" si="265"/>
        <v>5111</v>
      </c>
      <c r="L289" s="26">
        <f t="shared" ca="1" si="266"/>
        <v>971.09</v>
      </c>
      <c r="M289" s="26">
        <f t="shared" ref="M289:N289" si="299">M$3</f>
        <v>500</v>
      </c>
      <c r="N289" s="26">
        <f t="shared" si="299"/>
        <v>500</v>
      </c>
      <c r="O289" s="26">
        <f ca="1">IFERROR(__xludf.DUMMYFUNCTION("ROUND(GOOGLEFINANCE(""Currency:EURKZT"")*K289)"),2440858)</f>
        <v>2440858</v>
      </c>
      <c r="P289" s="26">
        <f ca="1">IFERROR(__xludf.DUMMYFUNCTION("ROUND(GOOGLEFINANCE(""Currency:EURKZT"")*M289)"),238785)</f>
        <v>238785</v>
      </c>
      <c r="Q289" s="26">
        <f ca="1">IFERROR(__xludf.DUMMYFUNCTION("ROUND(GOOGLEFINANCE(""Currency:EURKZT"")*N289)"),238785)</f>
        <v>238785</v>
      </c>
      <c r="R289" s="26">
        <f t="shared" ca="1" si="268"/>
        <v>292903</v>
      </c>
      <c r="S289" s="26">
        <f t="shared" ca="1" si="269"/>
        <v>3211331</v>
      </c>
      <c r="T289" s="26">
        <f ca="1">IFERROR(__xludf.DUMMYFUNCTION("ROUND(GOOGLEFINANCE(""Currency:EURKZT"")*L289+S289)"),3675094)</f>
        <v>3675094</v>
      </c>
      <c r="U289" s="26">
        <f ca="1">IFERROR(__xludf.DUMMYFUNCTION("D289*GOOGLEFINANCE(""RUBKZT"")*1000/F289"),4426158.1616544)</f>
        <v>4426158.1616543997</v>
      </c>
      <c r="V289" s="27">
        <f t="shared" ca="1" si="270"/>
        <v>0.20436597313004776</v>
      </c>
    </row>
    <row r="290" spans="1:22" ht="12.75" customHeight="1" x14ac:dyDescent="0.2">
      <c r="A290" s="6" t="s">
        <v>166</v>
      </c>
      <c r="B290" s="6" t="s">
        <v>167</v>
      </c>
      <c r="C290" s="7">
        <v>140064</v>
      </c>
      <c r="D290" s="8">
        <v>19068</v>
      </c>
      <c r="E290" s="9" t="s">
        <v>16</v>
      </c>
      <c r="F290" s="23">
        <v>18</v>
      </c>
      <c r="G290" s="25"/>
      <c r="H290" s="14">
        <f t="shared" si="264"/>
        <v>0.55000000000000004</v>
      </c>
      <c r="I290" s="25">
        <f ca="1">IFERROR(__xludf.DUMMYFUNCTION("ROUND(D290*GOOGLEFINANCE(""RUBKZT"")*H290)"),81839)</f>
        <v>81839</v>
      </c>
      <c r="J290" s="26">
        <f ca="1">IFERROR(__xludf.DUMMYFUNCTION("ROUND(I290*GOOGLEFINANCE(""KZTEUR""))"),171)</f>
        <v>171</v>
      </c>
      <c r="K290" s="26">
        <f t="shared" ca="1" si="265"/>
        <v>9500</v>
      </c>
      <c r="L290" s="26">
        <f t="shared" ca="1" si="266"/>
        <v>1805</v>
      </c>
      <c r="M290" s="26">
        <f t="shared" ref="M290:N290" si="300">M$3</f>
        <v>500</v>
      </c>
      <c r="N290" s="26">
        <f t="shared" si="300"/>
        <v>500</v>
      </c>
      <c r="O290" s="26">
        <f ca="1">IFERROR(__xludf.DUMMYFUNCTION("ROUND(GOOGLEFINANCE(""Currency:EURKZT"")*K290)"),4536911)</f>
        <v>4536911</v>
      </c>
      <c r="P290" s="26">
        <f ca="1">IFERROR(__xludf.DUMMYFUNCTION("ROUND(GOOGLEFINANCE(""Currency:EURKZT"")*M290)"),238785)</f>
        <v>238785</v>
      </c>
      <c r="Q290" s="26">
        <f ca="1">IFERROR(__xludf.DUMMYFUNCTION("ROUND(GOOGLEFINANCE(""Currency:EURKZT"")*N290)"),238785)</f>
        <v>238785</v>
      </c>
      <c r="R290" s="26">
        <f t="shared" ca="1" si="268"/>
        <v>544429</v>
      </c>
      <c r="S290" s="26">
        <f t="shared" ca="1" si="269"/>
        <v>5558910</v>
      </c>
      <c r="T290" s="26">
        <f ca="1">IFERROR(__xludf.DUMMYFUNCTION("ROUND(GOOGLEFINANCE(""Currency:EURKZT"")*L290+S290)"),6420923)</f>
        <v>6420923</v>
      </c>
      <c r="U290" s="26">
        <f ca="1">IFERROR(__xludf.DUMMYFUNCTION("D290*GOOGLEFINANCE(""RUBKZT"")*1000/F290"),8266531.874552)</f>
        <v>8266531.8745520003</v>
      </c>
      <c r="V290" s="27">
        <f t="shared" ca="1" si="270"/>
        <v>0.28743669322183124</v>
      </c>
    </row>
    <row r="291" spans="1:22" ht="12.75" customHeight="1" x14ac:dyDescent="0.2">
      <c r="A291" s="6" t="s">
        <v>21</v>
      </c>
      <c r="B291" s="6" t="s">
        <v>167</v>
      </c>
      <c r="C291" s="7">
        <v>140069</v>
      </c>
      <c r="D291" s="8">
        <v>10432.799999999999</v>
      </c>
      <c r="E291" s="9" t="s">
        <v>16</v>
      </c>
      <c r="F291" s="23">
        <v>18</v>
      </c>
      <c r="G291" s="25"/>
      <c r="H291" s="14">
        <f t="shared" si="264"/>
        <v>0.55000000000000004</v>
      </c>
      <c r="I291" s="25">
        <f ca="1">IFERROR(__xludf.DUMMYFUNCTION("ROUND(D291*GOOGLEFINANCE(""RUBKZT"")*H291)"),44777)</f>
        <v>44777</v>
      </c>
      <c r="J291" s="26">
        <f ca="1">IFERROR(__xludf.DUMMYFUNCTION("ROUND(I291*GOOGLEFINANCE(""KZTEUR""))"),94)</f>
        <v>94</v>
      </c>
      <c r="K291" s="26">
        <f t="shared" ca="1" si="265"/>
        <v>5222</v>
      </c>
      <c r="L291" s="26">
        <f t="shared" ca="1" si="266"/>
        <v>992.18000000000006</v>
      </c>
      <c r="M291" s="26">
        <f t="shared" ref="M291:N291" si="301">M$3</f>
        <v>500</v>
      </c>
      <c r="N291" s="26">
        <f t="shared" si="301"/>
        <v>500</v>
      </c>
      <c r="O291" s="26">
        <f ca="1">IFERROR(__xludf.DUMMYFUNCTION("ROUND(GOOGLEFINANCE(""Currency:EURKZT"")*K291)"),2493869)</f>
        <v>2493869</v>
      </c>
      <c r="P291" s="26">
        <f ca="1">IFERROR(__xludf.DUMMYFUNCTION("ROUND(GOOGLEFINANCE(""Currency:EURKZT"")*M291)"),238785)</f>
        <v>238785</v>
      </c>
      <c r="Q291" s="26">
        <f ca="1">IFERROR(__xludf.DUMMYFUNCTION("ROUND(GOOGLEFINANCE(""Currency:EURKZT"")*N291)"),238785)</f>
        <v>238785</v>
      </c>
      <c r="R291" s="26">
        <f t="shared" ca="1" si="268"/>
        <v>299264</v>
      </c>
      <c r="S291" s="26">
        <f t="shared" ca="1" si="269"/>
        <v>3270703</v>
      </c>
      <c r="T291" s="26">
        <f ca="1">IFERROR(__xludf.DUMMYFUNCTION("ROUND(GOOGLEFINANCE(""Currency:EURKZT"")*L291+S291)"),3744538)</f>
        <v>3744538</v>
      </c>
      <c r="U291" s="26">
        <f ca="1">IFERROR(__xludf.DUMMYFUNCTION("D291*GOOGLEFINANCE(""RUBKZT"")*1000/F291"),4522921.8450192)</f>
        <v>4522921.8450191999</v>
      </c>
      <c r="V291" s="27">
        <f t="shared" ca="1" si="270"/>
        <v>0.20787179754063115</v>
      </c>
    </row>
    <row r="292" spans="1:22" ht="12.75" customHeight="1" x14ac:dyDescent="0.2">
      <c r="A292" s="6" t="s">
        <v>25</v>
      </c>
      <c r="B292" s="6" t="s">
        <v>167</v>
      </c>
      <c r="C292" s="7">
        <v>140070</v>
      </c>
      <c r="D292" s="8">
        <v>18334.8</v>
      </c>
      <c r="E292" s="9" t="s">
        <v>16</v>
      </c>
      <c r="F292" s="23">
        <v>18</v>
      </c>
      <c r="G292" s="25"/>
      <c r="H292" s="14">
        <f t="shared" si="264"/>
        <v>0.55000000000000004</v>
      </c>
      <c r="I292" s="25">
        <f ca="1">IFERROR(__xludf.DUMMYFUNCTION("ROUND(D292*GOOGLEFINANCE(""RUBKZT"")*H292)"),78692)</f>
        <v>78692</v>
      </c>
      <c r="J292" s="26">
        <f ca="1">IFERROR(__xludf.DUMMYFUNCTION("ROUND(I292*GOOGLEFINANCE(""KZTEUR""))"),165)</f>
        <v>165</v>
      </c>
      <c r="K292" s="26">
        <f t="shared" ca="1" si="265"/>
        <v>9167</v>
      </c>
      <c r="L292" s="26">
        <f t="shared" ca="1" si="266"/>
        <v>1741.73</v>
      </c>
      <c r="M292" s="26">
        <f t="shared" ref="M292:N292" si="302">M$3</f>
        <v>500</v>
      </c>
      <c r="N292" s="26">
        <f t="shared" si="302"/>
        <v>500</v>
      </c>
      <c r="O292" s="26">
        <f ca="1">IFERROR(__xludf.DUMMYFUNCTION("ROUND(GOOGLEFINANCE(""Currency:EURKZT"")*K292)"),4377881)</f>
        <v>4377881</v>
      </c>
      <c r="P292" s="26">
        <f ca="1">IFERROR(__xludf.DUMMYFUNCTION("ROUND(GOOGLEFINANCE(""Currency:EURKZT"")*M292)"),238785)</f>
        <v>238785</v>
      </c>
      <c r="Q292" s="26">
        <f ca="1">IFERROR(__xludf.DUMMYFUNCTION("ROUND(GOOGLEFINANCE(""Currency:EURKZT"")*N292)"),238785)</f>
        <v>238785</v>
      </c>
      <c r="R292" s="26">
        <f t="shared" ca="1" si="268"/>
        <v>525346</v>
      </c>
      <c r="S292" s="26">
        <f t="shared" ca="1" si="269"/>
        <v>5380797</v>
      </c>
      <c r="T292" s="26">
        <f ca="1">IFERROR(__xludf.DUMMYFUNCTION("ROUND(GOOGLEFINANCE(""Currency:EURKZT"")*L292+S292)"),6212594)</f>
        <v>6212594</v>
      </c>
      <c r="U292" s="26">
        <f ca="1">IFERROR(__xludf.DUMMYFUNCTION("D292*GOOGLEFINANCE(""RUBKZT"")*1000/F292"),7948668.3770472)</f>
        <v>7948668.3770471998</v>
      </c>
      <c r="V292" s="27">
        <f t="shared" ca="1" si="270"/>
        <v>0.27944436366632036</v>
      </c>
    </row>
    <row r="293" spans="1:22" ht="12.75" customHeight="1" x14ac:dyDescent="0.2">
      <c r="A293" s="6" t="s">
        <v>17</v>
      </c>
      <c r="B293" s="6" t="s">
        <v>167</v>
      </c>
      <c r="C293" s="7">
        <v>140071</v>
      </c>
      <c r="D293" s="8">
        <v>15374.4</v>
      </c>
      <c r="E293" s="9" t="s">
        <v>16</v>
      </c>
      <c r="F293" s="23">
        <v>18</v>
      </c>
      <c r="G293" s="25"/>
      <c r="H293" s="14">
        <f t="shared" si="264"/>
        <v>0.55000000000000004</v>
      </c>
      <c r="I293" s="25">
        <f ca="1">IFERROR(__xludf.DUMMYFUNCTION("ROUND(D293*GOOGLEFINANCE(""RUBKZT"")*H293)"),65986)</f>
        <v>65986</v>
      </c>
      <c r="J293" s="26">
        <f ca="1">IFERROR(__xludf.DUMMYFUNCTION("ROUND(I293*GOOGLEFINANCE(""KZTEUR""))"),138)</f>
        <v>138</v>
      </c>
      <c r="K293" s="26">
        <f t="shared" ca="1" si="265"/>
        <v>7667</v>
      </c>
      <c r="L293" s="26">
        <f t="shared" ca="1" si="266"/>
        <v>1456.73</v>
      </c>
      <c r="M293" s="26">
        <f t="shared" ref="M293:N293" si="303">M$3</f>
        <v>500</v>
      </c>
      <c r="N293" s="26">
        <f t="shared" si="303"/>
        <v>500</v>
      </c>
      <c r="O293" s="26">
        <f ca="1">IFERROR(__xludf.DUMMYFUNCTION("ROUND(GOOGLEFINANCE(""Currency:EURKZT"")*K293)"),3661526)</f>
        <v>3661526</v>
      </c>
      <c r="P293" s="26">
        <f ca="1">IFERROR(__xludf.DUMMYFUNCTION("ROUND(GOOGLEFINANCE(""Currency:EURKZT"")*M293)"),238785)</f>
        <v>238785</v>
      </c>
      <c r="Q293" s="26">
        <f ca="1">IFERROR(__xludf.DUMMYFUNCTION("ROUND(GOOGLEFINANCE(""Currency:EURKZT"")*N293)"),238785)</f>
        <v>238785</v>
      </c>
      <c r="R293" s="26">
        <f t="shared" ca="1" si="268"/>
        <v>439383</v>
      </c>
      <c r="S293" s="26">
        <f t="shared" ca="1" si="269"/>
        <v>4578479</v>
      </c>
      <c r="T293" s="26">
        <f ca="1">IFERROR(__xludf.DUMMYFUNCTION("ROUND(GOOGLEFINANCE(""Currency:EURKZT"")*L293+S293)"),5274169)</f>
        <v>5274169</v>
      </c>
      <c r="U293" s="26">
        <f ca="1">IFERROR(__xludf.DUMMYFUNCTION("D293*GOOGLEFINANCE(""RUBKZT"")*1000/F293"),6665248.9853216)</f>
        <v>6665248.9853216</v>
      </c>
      <c r="V293" s="27">
        <f t="shared" ca="1" si="270"/>
        <v>0.2637533960936026</v>
      </c>
    </row>
    <row r="294" spans="1:22" ht="12.75" customHeight="1" x14ac:dyDescent="0.2">
      <c r="A294" s="6" t="s">
        <v>165</v>
      </c>
      <c r="B294" s="6" t="s">
        <v>167</v>
      </c>
      <c r="C294" s="7">
        <v>140072</v>
      </c>
      <c r="D294" s="8">
        <v>12254.4</v>
      </c>
      <c r="E294" s="9" t="s">
        <v>16</v>
      </c>
      <c r="F294" s="23">
        <v>18</v>
      </c>
      <c r="G294" s="25"/>
      <c r="H294" s="14">
        <f t="shared" si="264"/>
        <v>0.55000000000000004</v>
      </c>
      <c r="I294" s="25">
        <f ca="1">IFERROR(__xludf.DUMMYFUNCTION("ROUND(D294*GOOGLEFINANCE(""RUBKZT"")*H294)"),52595)</f>
        <v>52595</v>
      </c>
      <c r="J294" s="26">
        <f ca="1">IFERROR(__xludf.DUMMYFUNCTION("ROUND(I294*GOOGLEFINANCE(""KZTEUR""))"),110)</f>
        <v>110</v>
      </c>
      <c r="K294" s="26">
        <f t="shared" ca="1" si="265"/>
        <v>6111</v>
      </c>
      <c r="L294" s="26">
        <f t="shared" ca="1" si="266"/>
        <v>1161.0899999999999</v>
      </c>
      <c r="M294" s="26">
        <f t="shared" ref="M294:N294" si="304">M$3</f>
        <v>500</v>
      </c>
      <c r="N294" s="26">
        <f t="shared" si="304"/>
        <v>500</v>
      </c>
      <c r="O294" s="26">
        <f ca="1">IFERROR(__xludf.DUMMYFUNCTION("ROUND(GOOGLEFINANCE(""Currency:EURKZT"")*K294)"),2918428)</f>
        <v>2918428</v>
      </c>
      <c r="P294" s="26">
        <f ca="1">IFERROR(__xludf.DUMMYFUNCTION("ROUND(GOOGLEFINANCE(""Currency:EURKZT"")*M294)"),238785)</f>
        <v>238785</v>
      </c>
      <c r="Q294" s="26">
        <f ca="1">IFERROR(__xludf.DUMMYFUNCTION("ROUND(GOOGLEFINANCE(""Currency:EURKZT"")*N294)"),238785)</f>
        <v>238785</v>
      </c>
      <c r="R294" s="26">
        <f t="shared" ca="1" si="268"/>
        <v>350211</v>
      </c>
      <c r="S294" s="26">
        <f t="shared" ca="1" si="269"/>
        <v>3746209</v>
      </c>
      <c r="T294" s="26">
        <f ca="1">IFERROR(__xludf.DUMMYFUNCTION("ROUND(GOOGLEFINANCE(""Currency:EURKZT"")*L294+S294)"),4300710)</f>
        <v>4300710</v>
      </c>
      <c r="U294" s="26">
        <f ca="1">IFERROR(__xludf.DUMMYFUNCTION("D294*GOOGLEFINANCE(""RUBKZT"")*1000/F294"),5312638.3576416)</f>
        <v>5312638.3576416001</v>
      </c>
      <c r="V294" s="27">
        <f t="shared" ca="1" si="270"/>
        <v>0.23529332543733478</v>
      </c>
    </row>
    <row r="295" spans="1:22" ht="12.75" customHeight="1" x14ac:dyDescent="0.2">
      <c r="A295" s="6" t="s">
        <v>78</v>
      </c>
      <c r="B295" s="6" t="s">
        <v>167</v>
      </c>
      <c r="C295" s="7">
        <v>140073</v>
      </c>
      <c r="D295" s="8">
        <v>12031.199999999999</v>
      </c>
      <c r="E295" s="9" t="s">
        <v>16</v>
      </c>
      <c r="F295" s="23">
        <v>18</v>
      </c>
      <c r="G295" s="25"/>
      <c r="H295" s="14">
        <f t="shared" si="264"/>
        <v>0.55000000000000004</v>
      </c>
      <c r="I295" s="25">
        <f ca="1">IFERROR(__xludf.DUMMYFUNCTION("ROUND(D295*GOOGLEFINANCE(""RUBKZT"")*H295)"),51637)</f>
        <v>51637</v>
      </c>
      <c r="J295" s="26">
        <f ca="1">IFERROR(__xludf.DUMMYFUNCTION("ROUND(I295*GOOGLEFINANCE(""KZTEUR""))"),108)</f>
        <v>108</v>
      </c>
      <c r="K295" s="26">
        <f t="shared" ca="1" si="265"/>
        <v>6000</v>
      </c>
      <c r="L295" s="26">
        <f t="shared" ca="1" si="266"/>
        <v>1140</v>
      </c>
      <c r="M295" s="26">
        <f t="shared" ref="M295:N295" si="305">M$3</f>
        <v>500</v>
      </c>
      <c r="N295" s="26">
        <f t="shared" si="305"/>
        <v>500</v>
      </c>
      <c r="O295" s="26">
        <f ca="1">IFERROR(__xludf.DUMMYFUNCTION("ROUND(GOOGLEFINANCE(""Currency:EURKZT"")*K295)"),2865418)</f>
        <v>2865418</v>
      </c>
      <c r="P295" s="26">
        <f ca="1">IFERROR(__xludf.DUMMYFUNCTION("ROUND(GOOGLEFINANCE(""Currency:EURKZT"")*M295)"),238785)</f>
        <v>238785</v>
      </c>
      <c r="Q295" s="26">
        <f ca="1">IFERROR(__xludf.DUMMYFUNCTION("ROUND(GOOGLEFINANCE(""Currency:EURKZT"")*N295)"),238785)</f>
        <v>238785</v>
      </c>
      <c r="R295" s="26">
        <f t="shared" ca="1" si="268"/>
        <v>343850</v>
      </c>
      <c r="S295" s="26">
        <f t="shared" ca="1" si="269"/>
        <v>3686838</v>
      </c>
      <c r="T295" s="26">
        <f ca="1">IFERROR(__xludf.DUMMYFUNCTION("ROUND(GOOGLEFINANCE(""Currency:EURKZT"")*L295+S295)"),4231267)</f>
        <v>4231267</v>
      </c>
      <c r="U295" s="26">
        <f ca="1">IFERROR(__xludf.DUMMYFUNCTION("D295*GOOGLEFINANCE(""RUBKZT"")*1000/F295"),5215874.6742768)</f>
        <v>5215874.6742767999</v>
      </c>
      <c r="V295" s="27">
        <f t="shared" ca="1" si="270"/>
        <v>0.23269807229768291</v>
      </c>
    </row>
    <row r="296" spans="1:22" ht="12.75" customHeight="1" x14ac:dyDescent="0.2">
      <c r="A296" s="6" t="s">
        <v>20</v>
      </c>
      <c r="B296" s="6" t="s">
        <v>167</v>
      </c>
      <c r="C296" s="7">
        <v>140074</v>
      </c>
      <c r="D296" s="8">
        <v>10828.8</v>
      </c>
      <c r="E296" s="9" t="s">
        <v>16</v>
      </c>
      <c r="F296" s="23">
        <v>18</v>
      </c>
      <c r="G296" s="25"/>
      <c r="H296" s="14">
        <f t="shared" si="264"/>
        <v>0.55000000000000004</v>
      </c>
      <c r="I296" s="25">
        <f ca="1">IFERROR(__xludf.DUMMYFUNCTION("ROUND(D296*GOOGLEFINANCE(""RUBKZT"")*H296)"),46477)</f>
        <v>46477</v>
      </c>
      <c r="J296" s="26">
        <f ca="1">IFERROR(__xludf.DUMMYFUNCTION("ROUND(I296*GOOGLEFINANCE(""KZTEUR""))"),97)</f>
        <v>97</v>
      </c>
      <c r="K296" s="26">
        <f t="shared" ca="1" si="265"/>
        <v>5389</v>
      </c>
      <c r="L296" s="26">
        <f t="shared" ca="1" si="266"/>
        <v>1023.91</v>
      </c>
      <c r="M296" s="26">
        <f t="shared" ref="M296:N296" si="306">M$3</f>
        <v>500</v>
      </c>
      <c r="N296" s="26">
        <f t="shared" si="306"/>
        <v>500</v>
      </c>
      <c r="O296" s="26">
        <f ca="1">IFERROR(__xludf.DUMMYFUNCTION("ROUND(GOOGLEFINANCE(""Currency:EURKZT"")*K296)"),2573623)</f>
        <v>2573623</v>
      </c>
      <c r="P296" s="26">
        <f ca="1">IFERROR(__xludf.DUMMYFUNCTION("ROUND(GOOGLEFINANCE(""Currency:EURKZT"")*M296)"),238785)</f>
        <v>238785</v>
      </c>
      <c r="Q296" s="26">
        <f ca="1">IFERROR(__xludf.DUMMYFUNCTION("ROUND(GOOGLEFINANCE(""Currency:EURKZT"")*N296)"),238785)</f>
        <v>238785</v>
      </c>
      <c r="R296" s="26">
        <f t="shared" ca="1" si="268"/>
        <v>308835</v>
      </c>
      <c r="S296" s="26">
        <f t="shared" ca="1" si="269"/>
        <v>3360028</v>
      </c>
      <c r="T296" s="26">
        <f ca="1">IFERROR(__xludf.DUMMYFUNCTION("ROUND(GOOGLEFINANCE(""Currency:EURKZT"")*L296+S296)"),3849016)</f>
        <v>3849016</v>
      </c>
      <c r="U296" s="26">
        <f ca="1">IFERROR(__xludf.DUMMYFUNCTION("D296*GOOGLEFINANCE(""RUBKZT"")*1000/F296"),4694599.34776319)</f>
        <v>4694599.34776319</v>
      </c>
      <c r="V296" s="27">
        <f t="shared" ca="1" si="270"/>
        <v>0.21968818725700023</v>
      </c>
    </row>
    <row r="297" spans="1:22" ht="12.75" customHeight="1" x14ac:dyDescent="0.2">
      <c r="A297" s="6" t="s">
        <v>23</v>
      </c>
      <c r="B297" s="6" t="s">
        <v>167</v>
      </c>
      <c r="C297" s="7">
        <v>140075</v>
      </c>
      <c r="D297" s="8">
        <v>13960.8</v>
      </c>
      <c r="E297" s="9" t="s">
        <v>16</v>
      </c>
      <c r="F297" s="23">
        <v>18</v>
      </c>
      <c r="G297" s="25"/>
      <c r="H297" s="14">
        <f t="shared" si="264"/>
        <v>0.55000000000000004</v>
      </c>
      <c r="I297" s="25">
        <f ca="1">IFERROR(__xludf.DUMMYFUNCTION("ROUND(D297*GOOGLEFINANCE(""RUBKZT"")*H297)"),59919)</f>
        <v>59919</v>
      </c>
      <c r="J297" s="26">
        <f ca="1">IFERROR(__xludf.DUMMYFUNCTION("ROUND(I297*GOOGLEFINANCE(""KZTEUR""))"),125)</f>
        <v>125</v>
      </c>
      <c r="K297" s="26">
        <f t="shared" ca="1" si="265"/>
        <v>6944</v>
      </c>
      <c r="L297" s="26">
        <f t="shared" ca="1" si="266"/>
        <v>1319.3600000000001</v>
      </c>
      <c r="M297" s="26">
        <f t="shared" ref="M297:N297" si="307">M$3</f>
        <v>500</v>
      </c>
      <c r="N297" s="26">
        <f t="shared" si="307"/>
        <v>500</v>
      </c>
      <c r="O297" s="26">
        <f ca="1">IFERROR(__xludf.DUMMYFUNCTION("ROUND(GOOGLEFINANCE(""Currency:EURKZT"")*K297)"),3316243)</f>
        <v>3316243</v>
      </c>
      <c r="P297" s="26">
        <f ca="1">IFERROR(__xludf.DUMMYFUNCTION("ROUND(GOOGLEFINANCE(""Currency:EURKZT"")*M297)"),238785)</f>
        <v>238785</v>
      </c>
      <c r="Q297" s="26">
        <f ca="1">IFERROR(__xludf.DUMMYFUNCTION("ROUND(GOOGLEFINANCE(""Currency:EURKZT"")*N297)"),238785)</f>
        <v>238785</v>
      </c>
      <c r="R297" s="26">
        <f t="shared" ca="1" si="268"/>
        <v>397949</v>
      </c>
      <c r="S297" s="26">
        <f t="shared" ca="1" si="269"/>
        <v>4191762</v>
      </c>
      <c r="T297" s="26">
        <f ca="1">IFERROR(__xludf.DUMMYFUNCTION("ROUND(GOOGLEFINANCE(""Currency:EURKZT"")*L297+S297)"),4821848)</f>
        <v>4821848</v>
      </c>
      <c r="U297" s="26">
        <f ca="1">IFERROR(__xludf.DUMMYFUNCTION("D297*GOOGLEFINANCE(""RUBKZT"")*1000/F297"),6052412.3240112)</f>
        <v>6052412.3240112001</v>
      </c>
      <c r="V297" s="27">
        <f t="shared" ca="1" si="270"/>
        <v>0.25520595506353583</v>
      </c>
    </row>
    <row r="298" spans="1:22" ht="12.75" customHeight="1" x14ac:dyDescent="0.2">
      <c r="A298" s="6" t="s">
        <v>24</v>
      </c>
      <c r="B298" s="6" t="s">
        <v>167</v>
      </c>
      <c r="C298" s="7">
        <v>140076</v>
      </c>
      <c r="D298" s="8">
        <v>13814.4</v>
      </c>
      <c r="E298" s="9" t="s">
        <v>16</v>
      </c>
      <c r="F298" s="23">
        <v>18</v>
      </c>
      <c r="G298" s="25"/>
      <c r="H298" s="14">
        <f t="shared" si="264"/>
        <v>0.55000000000000004</v>
      </c>
      <c r="I298" s="25">
        <f ca="1">IFERROR(__xludf.DUMMYFUNCTION("ROUND(D298*GOOGLEFINANCE(""RUBKZT"")*H298)"),59291)</f>
        <v>59291</v>
      </c>
      <c r="J298" s="26">
        <f ca="1">IFERROR(__xludf.DUMMYFUNCTION("ROUND(I298*GOOGLEFINANCE(""KZTEUR""))"),124)</f>
        <v>124</v>
      </c>
      <c r="K298" s="26">
        <f t="shared" ca="1" si="265"/>
        <v>6889</v>
      </c>
      <c r="L298" s="26">
        <f t="shared" ca="1" si="266"/>
        <v>1308.9100000000001</v>
      </c>
      <c r="M298" s="26">
        <f t="shared" ref="M298:N298" si="308">M$3</f>
        <v>500</v>
      </c>
      <c r="N298" s="26">
        <f t="shared" si="308"/>
        <v>500</v>
      </c>
      <c r="O298" s="26">
        <f ca="1">IFERROR(__xludf.DUMMYFUNCTION("ROUND(GOOGLEFINANCE(""Currency:EURKZT"")*K298)"),3289977)</f>
        <v>3289977</v>
      </c>
      <c r="P298" s="26">
        <f ca="1">IFERROR(__xludf.DUMMYFUNCTION("ROUND(GOOGLEFINANCE(""Currency:EURKZT"")*M298)"),238785)</f>
        <v>238785</v>
      </c>
      <c r="Q298" s="26">
        <f ca="1">IFERROR(__xludf.DUMMYFUNCTION("ROUND(GOOGLEFINANCE(""Currency:EURKZT"")*N298)"),238785)</f>
        <v>238785</v>
      </c>
      <c r="R298" s="26">
        <f t="shared" ca="1" si="268"/>
        <v>394797</v>
      </c>
      <c r="S298" s="26">
        <f t="shared" ca="1" si="269"/>
        <v>4162344</v>
      </c>
      <c r="T298" s="26">
        <f ca="1">IFERROR(__xludf.DUMMYFUNCTION("ROUND(GOOGLEFINANCE(""Currency:EURKZT"")*L298+S298)"),4787440)</f>
        <v>4787440</v>
      </c>
      <c r="U298" s="26">
        <f ca="1">IFERROR(__xludf.DUMMYFUNCTION("D298*GOOGLEFINANCE(""RUBKZT"")*1000/F298"),5988943.67148159)</f>
        <v>5988943.6714815898</v>
      </c>
      <c r="V298" s="27">
        <f t="shared" ca="1" si="270"/>
        <v>0.25096996964590468</v>
      </c>
    </row>
    <row r="299" spans="1:22" ht="12.75" customHeight="1" x14ac:dyDescent="0.2">
      <c r="A299" s="6" t="s">
        <v>171</v>
      </c>
      <c r="B299" s="6" t="s">
        <v>167</v>
      </c>
      <c r="C299" s="7">
        <v>140190</v>
      </c>
      <c r="D299" s="8">
        <v>14202</v>
      </c>
      <c r="E299" s="9" t="s">
        <v>16</v>
      </c>
      <c r="F299" s="23">
        <v>18</v>
      </c>
      <c r="G299" s="25"/>
      <c r="H299" s="14">
        <f t="shared" si="264"/>
        <v>0.55000000000000004</v>
      </c>
      <c r="I299" s="25">
        <f ca="1">IFERROR(__xludf.DUMMYFUNCTION("ROUND(D299*GOOGLEFINANCE(""RUBKZT"")*H299)"),60954)</f>
        <v>60954</v>
      </c>
      <c r="J299" s="26">
        <f ca="1">IFERROR(__xludf.DUMMYFUNCTION("ROUND(I299*GOOGLEFINANCE(""KZTEUR""))"),128)</f>
        <v>128</v>
      </c>
      <c r="K299" s="26">
        <f t="shared" ca="1" si="265"/>
        <v>7111</v>
      </c>
      <c r="L299" s="26">
        <f t="shared" ca="1" si="266"/>
        <v>1351.09</v>
      </c>
      <c r="M299" s="26">
        <f t="shared" ref="M299:N299" si="309">M$3</f>
        <v>500</v>
      </c>
      <c r="N299" s="26">
        <f t="shared" si="309"/>
        <v>500</v>
      </c>
      <c r="O299" s="26">
        <f ca="1">IFERROR(__xludf.DUMMYFUNCTION("ROUND(GOOGLEFINANCE(""Currency:EURKZT"")*K299)"),3395998)</f>
        <v>3395998</v>
      </c>
      <c r="P299" s="26">
        <f ca="1">IFERROR(__xludf.DUMMYFUNCTION("ROUND(GOOGLEFINANCE(""Currency:EURKZT"")*M299)"),238785)</f>
        <v>238785</v>
      </c>
      <c r="Q299" s="26">
        <f ca="1">IFERROR(__xludf.DUMMYFUNCTION("ROUND(GOOGLEFINANCE(""Currency:EURKZT"")*N299)"),238785)</f>
        <v>238785</v>
      </c>
      <c r="R299" s="26">
        <f t="shared" ca="1" si="268"/>
        <v>407520</v>
      </c>
      <c r="S299" s="26">
        <f t="shared" ca="1" si="269"/>
        <v>4281088</v>
      </c>
      <c r="T299" s="26">
        <f ca="1">IFERROR(__xludf.DUMMYFUNCTION("ROUND(GOOGLEFINANCE(""Currency:EURKZT"")*L299+S299)"),4926328)</f>
        <v>4926328</v>
      </c>
      <c r="U299" s="26">
        <f ca="1">IFERROR(__xludf.DUMMYFUNCTION("D299*GOOGLEFINANCE(""RUBKZT"")*1000/F299"),6156979.530228)</f>
        <v>6156979.5302280001</v>
      </c>
      <c r="V299" s="27">
        <f t="shared" ca="1" si="270"/>
        <v>0.24981112305717365</v>
      </c>
    </row>
    <row r="300" spans="1:22" ht="12.75" customHeight="1" x14ac:dyDescent="0.2">
      <c r="A300" s="6" t="s">
        <v>173</v>
      </c>
      <c r="B300" s="6" t="s">
        <v>167</v>
      </c>
      <c r="C300" s="7">
        <v>140193</v>
      </c>
      <c r="D300" s="8">
        <v>19065.599999999999</v>
      </c>
      <c r="E300" s="9" t="s">
        <v>16</v>
      </c>
      <c r="F300" s="23">
        <v>18</v>
      </c>
      <c r="G300" s="25"/>
      <c r="H300" s="14">
        <f t="shared" si="264"/>
        <v>0.55000000000000004</v>
      </c>
      <c r="I300" s="25">
        <f ca="1">IFERROR(__xludf.DUMMYFUNCTION("ROUND(D300*GOOGLEFINANCE(""RUBKZT"")*H300)"),81828)</f>
        <v>81828</v>
      </c>
      <c r="J300" s="26">
        <f ca="1">IFERROR(__xludf.DUMMYFUNCTION("ROUND(I300*GOOGLEFINANCE(""KZTEUR""))"),171)</f>
        <v>171</v>
      </c>
      <c r="K300" s="26">
        <f t="shared" ca="1" si="265"/>
        <v>9500</v>
      </c>
      <c r="L300" s="26">
        <f t="shared" ca="1" si="266"/>
        <v>1805</v>
      </c>
      <c r="M300" s="26">
        <f t="shared" ref="M300:N300" si="310">M$3</f>
        <v>500</v>
      </c>
      <c r="N300" s="26">
        <f t="shared" si="310"/>
        <v>500</v>
      </c>
      <c r="O300" s="26">
        <f ca="1">IFERROR(__xludf.DUMMYFUNCTION("ROUND(GOOGLEFINANCE(""Currency:EURKZT"")*K300)"),4536911)</f>
        <v>4536911</v>
      </c>
      <c r="P300" s="26">
        <f ca="1">IFERROR(__xludf.DUMMYFUNCTION("ROUND(GOOGLEFINANCE(""Currency:EURKZT"")*M300)"),238785)</f>
        <v>238785</v>
      </c>
      <c r="Q300" s="26">
        <f ca="1">IFERROR(__xludf.DUMMYFUNCTION("ROUND(GOOGLEFINANCE(""Currency:EURKZT"")*N300)"),238785)</f>
        <v>238785</v>
      </c>
      <c r="R300" s="26">
        <f t="shared" ca="1" si="268"/>
        <v>544429</v>
      </c>
      <c r="S300" s="26">
        <f t="shared" ca="1" si="269"/>
        <v>5558910</v>
      </c>
      <c r="T300" s="26">
        <f ca="1">IFERROR(__xludf.DUMMYFUNCTION("ROUND(GOOGLEFINANCE(""Currency:EURKZT"")*L300+S300)"),6420923)</f>
        <v>6420923</v>
      </c>
      <c r="U300" s="26">
        <f ca="1">IFERROR(__xludf.DUMMYFUNCTION("D300*GOOGLEFINANCE(""RUBKZT"")*1000/F300"),8265491.4048384)</f>
        <v>8265491.4048384</v>
      </c>
      <c r="V300" s="27">
        <f t="shared" ca="1" si="270"/>
        <v>0.28727464958517646</v>
      </c>
    </row>
    <row r="301" spans="1:22" ht="12.75" customHeight="1" x14ac:dyDescent="0.2">
      <c r="A301" s="6" t="s">
        <v>174</v>
      </c>
      <c r="B301" s="6" t="s">
        <v>167</v>
      </c>
      <c r="C301" s="7">
        <v>140203</v>
      </c>
      <c r="D301" s="8">
        <v>26156.399999999998</v>
      </c>
      <c r="E301" s="9" t="s">
        <v>16</v>
      </c>
      <c r="F301" s="23">
        <v>18</v>
      </c>
      <c r="G301" s="25"/>
      <c r="H301" s="14">
        <f t="shared" si="264"/>
        <v>0.55000000000000004</v>
      </c>
      <c r="I301" s="25">
        <f ca="1">IFERROR(__xludf.DUMMYFUNCTION("ROUND(D301*GOOGLEFINANCE(""RUBKZT"")*H301)"),112262)</f>
        <v>112262</v>
      </c>
      <c r="J301" s="26">
        <f ca="1">IFERROR(__xludf.DUMMYFUNCTION("ROUND(I301*GOOGLEFINANCE(""KZTEUR""))"),235)</f>
        <v>235</v>
      </c>
      <c r="K301" s="26">
        <f t="shared" ca="1" si="265"/>
        <v>13056</v>
      </c>
      <c r="L301" s="26">
        <f t="shared" ca="1" si="266"/>
        <v>2480.64</v>
      </c>
      <c r="M301" s="26">
        <f t="shared" ref="M301:N301" si="311">M$3</f>
        <v>500</v>
      </c>
      <c r="N301" s="26">
        <f t="shared" si="311"/>
        <v>500</v>
      </c>
      <c r="O301" s="26">
        <f ca="1">IFERROR(__xludf.DUMMYFUNCTION("ROUND(GOOGLEFINANCE(""Currency:EURKZT"")*K301)"),6235149)</f>
        <v>6235149</v>
      </c>
      <c r="P301" s="26">
        <f ca="1">IFERROR(__xludf.DUMMYFUNCTION("ROUND(GOOGLEFINANCE(""Currency:EURKZT"")*M301)"),238785)</f>
        <v>238785</v>
      </c>
      <c r="Q301" s="26">
        <f ca="1">IFERROR(__xludf.DUMMYFUNCTION("ROUND(GOOGLEFINANCE(""Currency:EURKZT"")*N301)"),238785)</f>
        <v>238785</v>
      </c>
      <c r="R301" s="26">
        <f t="shared" ca="1" si="268"/>
        <v>748218</v>
      </c>
      <c r="S301" s="26">
        <f t="shared" ca="1" si="269"/>
        <v>7460937</v>
      </c>
      <c r="T301" s="26">
        <f ca="1">IFERROR(__xludf.DUMMYFUNCTION("ROUND(GOOGLEFINANCE(""Currency:EURKZT"")*L301+S301)"),8645615)</f>
        <v>8645615</v>
      </c>
      <c r="U301" s="26">
        <f ca="1">IFERROR(__xludf.DUMMYFUNCTION("D301*GOOGLEFINANCE(""RUBKZT"")*1000/F301"),11339559.1736695)</f>
        <v>11339559.1736695</v>
      </c>
      <c r="V301" s="27">
        <f t="shared" ca="1" si="270"/>
        <v>0.31159659245403598</v>
      </c>
    </row>
    <row r="302" spans="1:22" ht="12.75" customHeight="1" x14ac:dyDescent="0.2">
      <c r="A302" s="6" t="s">
        <v>182</v>
      </c>
      <c r="B302" s="6" t="s">
        <v>167</v>
      </c>
      <c r="C302" s="7">
        <v>147894</v>
      </c>
      <c r="D302" s="8">
        <v>14259.6</v>
      </c>
      <c r="E302" s="9" t="s">
        <v>16</v>
      </c>
      <c r="F302" s="23">
        <v>18</v>
      </c>
      <c r="G302" s="25"/>
      <c r="H302" s="14">
        <f t="shared" si="264"/>
        <v>0.55000000000000004</v>
      </c>
      <c r="I302" s="25">
        <f ca="1">IFERROR(__xludf.DUMMYFUNCTION("ROUND(D302*GOOGLEFINANCE(""RUBKZT"")*H302)"),61201)</f>
        <v>61201</v>
      </c>
      <c r="J302" s="26">
        <f ca="1">IFERROR(__xludf.DUMMYFUNCTION("ROUND(I302*GOOGLEFINANCE(""KZTEUR""))"),128)</f>
        <v>128</v>
      </c>
      <c r="K302" s="26">
        <f t="shared" ca="1" si="265"/>
        <v>7111</v>
      </c>
      <c r="L302" s="26">
        <f t="shared" ca="1" si="266"/>
        <v>1351.09</v>
      </c>
      <c r="M302" s="26">
        <f t="shared" ref="M302:N302" si="312">M$3</f>
        <v>500</v>
      </c>
      <c r="N302" s="26">
        <f t="shared" si="312"/>
        <v>500</v>
      </c>
      <c r="O302" s="26">
        <f ca="1">IFERROR(__xludf.DUMMYFUNCTION("ROUND(GOOGLEFINANCE(""Currency:EURKZT"")*K302)"),3395998)</f>
        <v>3395998</v>
      </c>
      <c r="P302" s="26">
        <f ca="1">IFERROR(__xludf.DUMMYFUNCTION("ROUND(GOOGLEFINANCE(""Currency:EURKZT"")*M302)"),238785)</f>
        <v>238785</v>
      </c>
      <c r="Q302" s="26">
        <f ca="1">IFERROR(__xludf.DUMMYFUNCTION("ROUND(GOOGLEFINANCE(""Currency:EURKZT"")*N302)"),238785)</f>
        <v>238785</v>
      </c>
      <c r="R302" s="26">
        <f t="shared" ca="1" si="268"/>
        <v>407520</v>
      </c>
      <c r="S302" s="26">
        <f t="shared" ca="1" si="269"/>
        <v>4281088</v>
      </c>
      <c r="T302" s="26">
        <f ca="1">IFERROR(__xludf.DUMMYFUNCTION("ROUND(GOOGLEFINANCE(""Currency:EURKZT"")*L302+S302)"),4926328)</f>
        <v>4926328</v>
      </c>
      <c r="U302" s="26">
        <f ca="1">IFERROR(__xludf.DUMMYFUNCTION("D302*GOOGLEFINANCE(""RUBKZT"")*1000/F302"),6181950.8033544)</f>
        <v>6181950.8033544002</v>
      </c>
      <c r="V302" s="27">
        <f t="shared" ca="1" si="270"/>
        <v>0.2548800655081026</v>
      </c>
    </row>
    <row r="303" spans="1:22" ht="12.75" customHeight="1" x14ac:dyDescent="0.2">
      <c r="A303" s="6" t="s">
        <v>183</v>
      </c>
      <c r="B303" s="6" t="s">
        <v>167</v>
      </c>
      <c r="C303" s="7">
        <v>147900</v>
      </c>
      <c r="D303" s="8">
        <v>17546.399999999998</v>
      </c>
      <c r="E303" s="9" t="s">
        <v>16</v>
      </c>
      <c r="F303" s="23">
        <v>18</v>
      </c>
      <c r="G303" s="25"/>
      <c r="H303" s="14">
        <f t="shared" si="264"/>
        <v>0.55000000000000004</v>
      </c>
      <c r="I303" s="25">
        <f ca="1">IFERROR(__xludf.DUMMYFUNCTION("ROUND(D303*GOOGLEFINANCE(""RUBKZT"")*H303)"),75308)</f>
        <v>75308</v>
      </c>
      <c r="J303" s="26">
        <f ca="1">IFERROR(__xludf.DUMMYFUNCTION("ROUND(I303*GOOGLEFINANCE(""KZTEUR""))"),158)</f>
        <v>158</v>
      </c>
      <c r="K303" s="26">
        <f t="shared" ca="1" si="265"/>
        <v>8778</v>
      </c>
      <c r="L303" s="26">
        <f t="shared" ca="1" si="266"/>
        <v>1667.82</v>
      </c>
      <c r="M303" s="26">
        <f t="shared" ref="M303:N303" si="313">M$3</f>
        <v>500</v>
      </c>
      <c r="N303" s="26">
        <f t="shared" si="313"/>
        <v>500</v>
      </c>
      <c r="O303" s="26">
        <f ca="1">IFERROR(__xludf.DUMMYFUNCTION("ROUND(GOOGLEFINANCE(""Currency:EURKZT"")*K303)"),4192106)</f>
        <v>4192106</v>
      </c>
      <c r="P303" s="26">
        <f ca="1">IFERROR(__xludf.DUMMYFUNCTION("ROUND(GOOGLEFINANCE(""Currency:EURKZT"")*M303)"),238785)</f>
        <v>238785</v>
      </c>
      <c r="Q303" s="26">
        <f ca="1">IFERROR(__xludf.DUMMYFUNCTION("ROUND(GOOGLEFINANCE(""Currency:EURKZT"")*N303)"),238785)</f>
        <v>238785</v>
      </c>
      <c r="R303" s="26">
        <f t="shared" ca="1" si="268"/>
        <v>503053</v>
      </c>
      <c r="S303" s="26">
        <f t="shared" ca="1" si="269"/>
        <v>5172729</v>
      </c>
      <c r="T303" s="26">
        <f ca="1">IFERROR(__xludf.DUMMYFUNCTION("ROUND(GOOGLEFINANCE(""Currency:EURKZT"")*L303+S303)"),5969229)</f>
        <v>5969229</v>
      </c>
      <c r="U303" s="26">
        <f ca="1">IFERROR(__xludf.DUMMYFUNCTION("D303*GOOGLEFINANCE(""RUBKZT"")*1000/F303"),7606874.0761296)</f>
        <v>7606874.0761296004</v>
      </c>
      <c r="V303" s="27">
        <f t="shared" ca="1" si="270"/>
        <v>0.27434783891346781</v>
      </c>
    </row>
    <row r="304" spans="1:22" ht="12.75" customHeight="1" x14ac:dyDescent="0.2">
      <c r="A304" s="6" t="s">
        <v>186</v>
      </c>
      <c r="B304" s="6" t="s">
        <v>167</v>
      </c>
      <c r="C304" s="7">
        <v>147953</v>
      </c>
      <c r="D304" s="8">
        <v>12732</v>
      </c>
      <c r="E304" s="9" t="s">
        <v>16</v>
      </c>
      <c r="F304" s="23">
        <v>18</v>
      </c>
      <c r="G304" s="25"/>
      <c r="H304" s="14">
        <f t="shared" si="264"/>
        <v>0.55000000000000004</v>
      </c>
      <c r="I304" s="25">
        <f ca="1">IFERROR(__xludf.DUMMYFUNCTION("ROUND(D304*GOOGLEFINANCE(""RUBKZT"")*H304)"),54645)</f>
        <v>54645</v>
      </c>
      <c r="J304" s="26">
        <f ca="1">IFERROR(__xludf.DUMMYFUNCTION("ROUND(I304*GOOGLEFINANCE(""KZTEUR""))"),114)</f>
        <v>114</v>
      </c>
      <c r="K304" s="26">
        <f t="shared" ca="1" si="265"/>
        <v>6333</v>
      </c>
      <c r="L304" s="26">
        <f t="shared" ca="1" si="266"/>
        <v>1203.27</v>
      </c>
      <c r="M304" s="26">
        <f t="shared" ref="M304:N304" si="314">M$3</f>
        <v>500</v>
      </c>
      <c r="N304" s="26">
        <f t="shared" si="314"/>
        <v>500</v>
      </c>
      <c r="O304" s="26">
        <f ca="1">IFERROR(__xludf.DUMMYFUNCTION("ROUND(GOOGLEFINANCE(""Currency:EURKZT"")*K304)"),3024448)</f>
        <v>3024448</v>
      </c>
      <c r="P304" s="26">
        <f ca="1">IFERROR(__xludf.DUMMYFUNCTION("ROUND(GOOGLEFINANCE(""Currency:EURKZT"")*M304)"),238785)</f>
        <v>238785</v>
      </c>
      <c r="Q304" s="26">
        <f ca="1">IFERROR(__xludf.DUMMYFUNCTION("ROUND(GOOGLEFINANCE(""Currency:EURKZT"")*N304)"),238785)</f>
        <v>238785</v>
      </c>
      <c r="R304" s="26">
        <f t="shared" ca="1" si="268"/>
        <v>362934</v>
      </c>
      <c r="S304" s="26">
        <f t="shared" ca="1" si="269"/>
        <v>3864952</v>
      </c>
      <c r="T304" s="26">
        <f ca="1">IFERROR(__xludf.DUMMYFUNCTION("ROUND(GOOGLEFINANCE(""Currency:EURKZT"")*L304+S304)"),4439597)</f>
        <v>4439597</v>
      </c>
      <c r="U304" s="26">
        <f ca="1">IFERROR(__xludf.DUMMYFUNCTION("D304*GOOGLEFINANCE(""RUBKZT"")*1000/F304"),5519691.830648)</f>
        <v>5519691.8306480004</v>
      </c>
      <c r="V304" s="27">
        <f t="shared" ca="1" si="270"/>
        <v>0.24328668359943489</v>
      </c>
    </row>
    <row r="305" spans="1:22" ht="12.75" customHeight="1" x14ac:dyDescent="0.2">
      <c r="A305" s="6" t="s">
        <v>206</v>
      </c>
      <c r="B305" s="6" t="s">
        <v>167</v>
      </c>
      <c r="C305" s="7">
        <v>152102</v>
      </c>
      <c r="D305" s="8">
        <v>17374.8</v>
      </c>
      <c r="E305" s="9" t="s">
        <v>16</v>
      </c>
      <c r="F305" s="23">
        <v>18</v>
      </c>
      <c r="G305" s="25"/>
      <c r="H305" s="14">
        <f t="shared" si="264"/>
        <v>0.55000000000000004</v>
      </c>
      <c r="I305" s="25">
        <f ca="1">IFERROR(__xludf.DUMMYFUNCTION("ROUND(D305*GOOGLEFINANCE(""RUBKZT"")*H305)"),74572)</f>
        <v>74572</v>
      </c>
      <c r="J305" s="26">
        <f ca="1">IFERROR(__xludf.DUMMYFUNCTION("ROUND(I305*GOOGLEFINANCE(""KZTEUR""))"),156)</f>
        <v>156</v>
      </c>
      <c r="K305" s="26">
        <f t="shared" ca="1" si="265"/>
        <v>8667</v>
      </c>
      <c r="L305" s="26">
        <f t="shared" ca="1" si="266"/>
        <v>1646.73</v>
      </c>
      <c r="M305" s="26">
        <f t="shared" ref="M305:N305" si="315">M$3</f>
        <v>500</v>
      </c>
      <c r="N305" s="26">
        <f t="shared" si="315"/>
        <v>500</v>
      </c>
      <c r="O305" s="26">
        <f ca="1">IFERROR(__xludf.DUMMYFUNCTION("ROUND(GOOGLEFINANCE(""Currency:EURKZT"")*K305)"),4139096)</f>
        <v>4139096</v>
      </c>
      <c r="P305" s="26">
        <f ca="1">IFERROR(__xludf.DUMMYFUNCTION("ROUND(GOOGLEFINANCE(""Currency:EURKZT"")*M305)"),238785)</f>
        <v>238785</v>
      </c>
      <c r="Q305" s="26">
        <f ca="1">IFERROR(__xludf.DUMMYFUNCTION("ROUND(GOOGLEFINANCE(""Currency:EURKZT"")*N305)"),238785)</f>
        <v>238785</v>
      </c>
      <c r="R305" s="26">
        <f t="shared" ca="1" si="268"/>
        <v>496692</v>
      </c>
      <c r="S305" s="26">
        <f t="shared" ca="1" si="269"/>
        <v>5113358</v>
      </c>
      <c r="T305" s="26">
        <f ca="1">IFERROR(__xludf.DUMMYFUNCTION("ROUND(GOOGLEFINANCE(""Currency:EURKZT"")*L305+S305)"),5899786)</f>
        <v>5899786</v>
      </c>
      <c r="U305" s="26">
        <f ca="1">IFERROR(__xludf.DUMMYFUNCTION("D305*GOOGLEFINANCE(""RUBKZT"")*1000/F305"),7532480.49160719)</f>
        <v>7532480.4916071901</v>
      </c>
      <c r="V305" s="27">
        <f t="shared" ca="1" si="270"/>
        <v>0.27673791754602456</v>
      </c>
    </row>
    <row r="306" spans="1:22" ht="12.75" customHeight="1" x14ac:dyDescent="0.2">
      <c r="A306" s="6" t="s">
        <v>224</v>
      </c>
      <c r="B306" s="6" t="s">
        <v>167</v>
      </c>
      <c r="C306" s="7">
        <v>157603</v>
      </c>
      <c r="D306" s="8">
        <v>33480</v>
      </c>
      <c r="E306" s="9" t="s">
        <v>16</v>
      </c>
      <c r="F306" s="23">
        <v>18</v>
      </c>
      <c r="G306" s="25"/>
      <c r="H306" s="14">
        <f t="shared" si="264"/>
        <v>0.55000000000000004</v>
      </c>
      <c r="I306" s="25">
        <f ca="1">IFERROR(__xludf.DUMMYFUNCTION("ROUND(D306*GOOGLEFINANCE(""RUBKZT"")*H306)"),143694)</f>
        <v>143694</v>
      </c>
      <c r="J306" s="26">
        <f ca="1">IFERROR(__xludf.DUMMYFUNCTION("ROUND(I306*GOOGLEFINANCE(""KZTEUR""))"),301)</f>
        <v>301</v>
      </c>
      <c r="K306" s="26">
        <f t="shared" ca="1" si="265"/>
        <v>16722</v>
      </c>
      <c r="L306" s="26">
        <f t="shared" ca="1" si="266"/>
        <v>3177.18</v>
      </c>
      <c r="M306" s="26">
        <f t="shared" ref="M306:N306" si="316">M$3</f>
        <v>500</v>
      </c>
      <c r="N306" s="26">
        <f t="shared" si="316"/>
        <v>500</v>
      </c>
      <c r="O306" s="26">
        <f ca="1">IFERROR(__xludf.DUMMYFUNCTION("ROUND(GOOGLEFINANCE(""Currency:EURKZT"")*K306)"),7985919)</f>
        <v>7985919</v>
      </c>
      <c r="P306" s="26">
        <f ca="1">IFERROR(__xludf.DUMMYFUNCTION("ROUND(GOOGLEFINANCE(""Currency:EURKZT"")*M306)"),238785)</f>
        <v>238785</v>
      </c>
      <c r="Q306" s="26">
        <f ca="1">IFERROR(__xludf.DUMMYFUNCTION("ROUND(GOOGLEFINANCE(""Currency:EURKZT"")*N306)"),238785)</f>
        <v>238785</v>
      </c>
      <c r="R306" s="26">
        <f t="shared" ca="1" si="268"/>
        <v>958310</v>
      </c>
      <c r="S306" s="26">
        <f t="shared" ca="1" si="269"/>
        <v>9421799</v>
      </c>
      <c r="T306" s="26">
        <f ca="1">IFERROR(__xludf.DUMMYFUNCTION("ROUND(GOOGLEFINANCE(""Currency:EURKZT"")*L306+S306)"),10939124)</f>
        <v>10939124</v>
      </c>
      <c r="U306" s="26">
        <f ca="1">IFERROR(__xludf.DUMMYFUNCTION("D306*GOOGLEFINANCE(""RUBKZT"")*1000/F306"),14514552.50472)</f>
        <v>14514552.504720001</v>
      </c>
      <c r="V306" s="27">
        <f t="shared" ca="1" si="270"/>
        <v>0.32684779007167308</v>
      </c>
    </row>
    <row r="307" spans="1:22" ht="12.75" customHeight="1" x14ac:dyDescent="0.2">
      <c r="A307" s="6" t="s">
        <v>258</v>
      </c>
      <c r="B307" s="6" t="s">
        <v>167</v>
      </c>
      <c r="C307" s="7">
        <v>167268</v>
      </c>
      <c r="D307" s="8">
        <v>16041.599999999999</v>
      </c>
      <c r="E307" s="9" t="s">
        <v>16</v>
      </c>
      <c r="F307" s="23">
        <v>18</v>
      </c>
      <c r="G307" s="25"/>
      <c r="H307" s="14">
        <f t="shared" si="264"/>
        <v>0.55000000000000004</v>
      </c>
      <c r="I307" s="25">
        <f ca="1">IFERROR(__xludf.DUMMYFUNCTION("ROUND(D307*GOOGLEFINANCE(""RUBKZT"")*H307)"),68850)</f>
        <v>68850</v>
      </c>
      <c r="J307" s="26">
        <f ca="1">IFERROR(__xludf.DUMMYFUNCTION("ROUND(I307*GOOGLEFINANCE(""KZTEUR""))"),144)</f>
        <v>144</v>
      </c>
      <c r="K307" s="26">
        <f t="shared" ca="1" si="265"/>
        <v>8000</v>
      </c>
      <c r="L307" s="26">
        <f t="shared" ca="1" si="266"/>
        <v>1520</v>
      </c>
      <c r="M307" s="26">
        <f t="shared" ref="M307:N307" si="317">M$3</f>
        <v>500</v>
      </c>
      <c r="N307" s="26">
        <f t="shared" si="317"/>
        <v>500</v>
      </c>
      <c r="O307" s="26">
        <f ca="1">IFERROR(__xludf.DUMMYFUNCTION("ROUND(GOOGLEFINANCE(""Currency:EURKZT"")*K307)"),3820557)</f>
        <v>3820557</v>
      </c>
      <c r="P307" s="26">
        <f ca="1">IFERROR(__xludf.DUMMYFUNCTION("ROUND(GOOGLEFINANCE(""Currency:EURKZT"")*M307)"),238785)</f>
        <v>238785</v>
      </c>
      <c r="Q307" s="26">
        <f ca="1">IFERROR(__xludf.DUMMYFUNCTION("ROUND(GOOGLEFINANCE(""Currency:EURKZT"")*N307)"),238785)</f>
        <v>238785</v>
      </c>
      <c r="R307" s="26">
        <f t="shared" ca="1" si="268"/>
        <v>458467</v>
      </c>
      <c r="S307" s="26">
        <f t="shared" ca="1" si="269"/>
        <v>4756594</v>
      </c>
      <c r="T307" s="26">
        <f ca="1">IFERROR(__xludf.DUMMYFUNCTION("ROUND(GOOGLEFINANCE(""Currency:EURKZT"")*L307+S307)"),5482500)</f>
        <v>5482500</v>
      </c>
      <c r="U307" s="26">
        <f ca="1">IFERROR(__xludf.DUMMYFUNCTION("D307*GOOGLEFINANCE(""RUBKZT"")*1000/F307"),6954499.56570239)</f>
        <v>6954499.5657023899</v>
      </c>
      <c r="V307" s="27">
        <f t="shared" ca="1" si="270"/>
        <v>0.26849057285953304</v>
      </c>
    </row>
    <row r="308" spans="1:22" ht="12.75" customHeight="1" x14ac:dyDescent="0.2">
      <c r="A308" s="6" t="s">
        <v>211</v>
      </c>
      <c r="B308" s="6" t="s">
        <v>167</v>
      </c>
      <c r="C308" s="7">
        <v>174028</v>
      </c>
      <c r="D308" s="8">
        <v>15151.199999999999</v>
      </c>
      <c r="E308" s="9" t="s">
        <v>16</v>
      </c>
      <c r="F308" s="23">
        <v>18</v>
      </c>
      <c r="G308" s="25"/>
      <c r="H308" s="14">
        <f t="shared" si="264"/>
        <v>0.55000000000000004</v>
      </c>
      <c r="I308" s="25">
        <f ca="1">IFERROR(__xludf.DUMMYFUNCTION("ROUND(D308*GOOGLEFINANCE(""RUBKZT"")*H308)"),65028)</f>
        <v>65028</v>
      </c>
      <c r="J308" s="26">
        <f ca="1">IFERROR(__xludf.DUMMYFUNCTION("ROUND(I308*GOOGLEFINANCE(""KZTEUR""))"),136)</f>
        <v>136</v>
      </c>
      <c r="K308" s="26">
        <f t="shared" ca="1" si="265"/>
        <v>7556</v>
      </c>
      <c r="L308" s="26">
        <f t="shared" ca="1" si="266"/>
        <v>1435.64</v>
      </c>
      <c r="M308" s="26">
        <f t="shared" ref="M308:N308" si="318">M$3</f>
        <v>500</v>
      </c>
      <c r="N308" s="26">
        <f t="shared" si="318"/>
        <v>500</v>
      </c>
      <c r="O308" s="26">
        <f ca="1">IFERROR(__xludf.DUMMYFUNCTION("ROUND(GOOGLEFINANCE(""Currency:EURKZT"")*K308)"),3608516)</f>
        <v>3608516</v>
      </c>
      <c r="P308" s="26">
        <f ca="1">IFERROR(__xludf.DUMMYFUNCTION("ROUND(GOOGLEFINANCE(""Currency:EURKZT"")*M308)"),238785)</f>
        <v>238785</v>
      </c>
      <c r="Q308" s="26">
        <f ca="1">IFERROR(__xludf.DUMMYFUNCTION("ROUND(GOOGLEFINANCE(""Currency:EURKZT"")*N308)"),238785)</f>
        <v>238785</v>
      </c>
      <c r="R308" s="26">
        <f t="shared" ca="1" si="268"/>
        <v>433022</v>
      </c>
      <c r="S308" s="26">
        <f t="shared" ca="1" si="269"/>
        <v>4519108</v>
      </c>
      <c r="T308" s="26">
        <f ca="1">IFERROR(__xludf.DUMMYFUNCTION("ROUND(GOOGLEFINANCE(""Currency:EURKZT"")*L308+S308)"),5204726)</f>
        <v>5204726</v>
      </c>
      <c r="U308" s="26">
        <f ca="1">IFERROR(__xludf.DUMMYFUNCTION("D308*GOOGLEFINANCE(""RUBKZT"")*1000/F308"),6568485.30195679)</f>
        <v>6568485.3019567896</v>
      </c>
      <c r="V308" s="27">
        <f t="shared" ca="1" si="270"/>
        <v>0.2620232653854957</v>
      </c>
    </row>
    <row r="309" spans="1:22" ht="12.75" customHeight="1" x14ac:dyDescent="0.2">
      <c r="A309" s="6" t="s">
        <v>281</v>
      </c>
      <c r="B309" s="6" t="s">
        <v>167</v>
      </c>
      <c r="C309" s="7">
        <v>177040</v>
      </c>
      <c r="D309" s="8">
        <v>16568.399999999998</v>
      </c>
      <c r="E309" s="9" t="s">
        <v>16</v>
      </c>
      <c r="F309" s="23">
        <v>18</v>
      </c>
      <c r="G309" s="25"/>
      <c r="H309" s="14">
        <f t="shared" si="264"/>
        <v>0.55000000000000004</v>
      </c>
      <c r="I309" s="25">
        <f ca="1">IFERROR(__xludf.DUMMYFUNCTION("ROUND(D309*GOOGLEFINANCE(""RUBKZT"")*H309)"),71111)</f>
        <v>71111</v>
      </c>
      <c r="J309" s="26">
        <f ca="1">IFERROR(__xludf.DUMMYFUNCTION("ROUND(I309*GOOGLEFINANCE(""KZTEUR""))"),149)</f>
        <v>149</v>
      </c>
      <c r="K309" s="26">
        <f t="shared" ca="1" si="265"/>
        <v>8278</v>
      </c>
      <c r="L309" s="26">
        <f t="shared" ca="1" si="266"/>
        <v>1572.82</v>
      </c>
      <c r="M309" s="26">
        <f t="shared" ref="M309:N309" si="319">M$3</f>
        <v>500</v>
      </c>
      <c r="N309" s="26">
        <f t="shared" si="319"/>
        <v>500</v>
      </c>
      <c r="O309" s="26">
        <f ca="1">IFERROR(__xludf.DUMMYFUNCTION("ROUND(GOOGLEFINANCE(""Currency:EURKZT"")*K309)"),3953321)</f>
        <v>3953321</v>
      </c>
      <c r="P309" s="26">
        <f ca="1">IFERROR(__xludf.DUMMYFUNCTION("ROUND(GOOGLEFINANCE(""Currency:EURKZT"")*M309)"),238785)</f>
        <v>238785</v>
      </c>
      <c r="Q309" s="26">
        <f ca="1">IFERROR(__xludf.DUMMYFUNCTION("ROUND(GOOGLEFINANCE(""Currency:EURKZT"")*N309)"),238785)</f>
        <v>238785</v>
      </c>
      <c r="R309" s="26">
        <f t="shared" ca="1" si="268"/>
        <v>474399</v>
      </c>
      <c r="S309" s="26">
        <f t="shared" ca="1" si="269"/>
        <v>4905290</v>
      </c>
      <c r="T309" s="26">
        <f ca="1">IFERROR(__xludf.DUMMYFUNCTION("ROUND(GOOGLEFINANCE(""Currency:EURKZT"")*L309+S309)"),5656421)</f>
        <v>5656421</v>
      </c>
      <c r="U309" s="26">
        <f ca="1">IFERROR(__xludf.DUMMYFUNCTION("D309*GOOGLEFINANCE(""RUBKZT"")*1000/F309"),7182882.6678376)</f>
        <v>7182882.6678376002</v>
      </c>
      <c r="V309" s="27">
        <f t="shared" ca="1" si="270"/>
        <v>0.26986351755599525</v>
      </c>
    </row>
    <row r="310" spans="1:22" ht="12.75" customHeight="1" x14ac:dyDescent="0.2">
      <c r="A310" s="6" t="s">
        <v>289</v>
      </c>
      <c r="B310" s="6" t="s">
        <v>167</v>
      </c>
      <c r="C310" s="7">
        <v>182159</v>
      </c>
      <c r="D310" s="8">
        <v>16118.4</v>
      </c>
      <c r="E310" s="9" t="s">
        <v>16</v>
      </c>
      <c r="F310" s="23">
        <v>18</v>
      </c>
      <c r="G310" s="25"/>
      <c r="H310" s="14">
        <f t="shared" si="264"/>
        <v>0.55000000000000004</v>
      </c>
      <c r="I310" s="25">
        <f ca="1">IFERROR(__xludf.DUMMYFUNCTION("ROUND(D310*GOOGLEFINANCE(""RUBKZT"")*H310)"),69179)</f>
        <v>69179</v>
      </c>
      <c r="J310" s="26">
        <f ca="1">IFERROR(__xludf.DUMMYFUNCTION("ROUND(I310*GOOGLEFINANCE(""KZTEUR""))"),145)</f>
        <v>145</v>
      </c>
      <c r="K310" s="26">
        <f t="shared" ca="1" si="265"/>
        <v>8056</v>
      </c>
      <c r="L310" s="26">
        <f t="shared" ca="1" si="266"/>
        <v>1530.64</v>
      </c>
      <c r="M310" s="26">
        <f t="shared" ref="M310:N310" si="320">M$3</f>
        <v>500</v>
      </c>
      <c r="N310" s="26">
        <f t="shared" si="320"/>
        <v>500</v>
      </c>
      <c r="O310" s="26">
        <f ca="1">IFERROR(__xludf.DUMMYFUNCTION("ROUND(GOOGLEFINANCE(""Currency:EURKZT"")*K310)"),3847301)</f>
        <v>3847301</v>
      </c>
      <c r="P310" s="26">
        <f ca="1">IFERROR(__xludf.DUMMYFUNCTION("ROUND(GOOGLEFINANCE(""Currency:EURKZT"")*M310)"),238785)</f>
        <v>238785</v>
      </c>
      <c r="Q310" s="26">
        <f ca="1">IFERROR(__xludf.DUMMYFUNCTION("ROUND(GOOGLEFINANCE(""Currency:EURKZT"")*N310)"),238785)</f>
        <v>238785</v>
      </c>
      <c r="R310" s="26">
        <f t="shared" ca="1" si="268"/>
        <v>461676</v>
      </c>
      <c r="S310" s="26">
        <f t="shared" ca="1" si="269"/>
        <v>4786547</v>
      </c>
      <c r="T310" s="26">
        <f ca="1">IFERROR(__xludf.DUMMYFUNCTION("ROUND(GOOGLEFINANCE(""Currency:EURKZT"")*L310+S310)"),5517534)</f>
        <v>5517534</v>
      </c>
      <c r="U310" s="26">
        <f ca="1">IFERROR(__xludf.DUMMYFUNCTION("D310*GOOGLEFINANCE(""RUBKZT"")*1000/F310"),6987794.5965376)</f>
        <v>6987794.5965376003</v>
      </c>
      <c r="V310" s="27">
        <f t="shared" ca="1" si="270"/>
        <v>0.26647060018798258</v>
      </c>
    </row>
    <row r="311" spans="1:22" ht="12.75" customHeight="1" x14ac:dyDescent="0.2">
      <c r="A311" s="6" t="s">
        <v>316</v>
      </c>
      <c r="B311" s="6" t="s">
        <v>167</v>
      </c>
      <c r="C311" s="7">
        <v>188291</v>
      </c>
      <c r="D311" s="8">
        <v>28309.200000000001</v>
      </c>
      <c r="E311" s="9" t="s">
        <v>16</v>
      </c>
      <c r="F311" s="23">
        <v>18</v>
      </c>
      <c r="G311" s="25"/>
      <c r="H311" s="14">
        <f t="shared" si="264"/>
        <v>0.55000000000000004</v>
      </c>
      <c r="I311" s="25">
        <f ca="1">IFERROR(__xludf.DUMMYFUNCTION("ROUND(D311*GOOGLEFINANCE(""RUBKZT"")*H311)"),121501)</f>
        <v>121501</v>
      </c>
      <c r="J311" s="26">
        <f ca="1">IFERROR(__xludf.DUMMYFUNCTION("ROUND(I311*GOOGLEFINANCE(""KZTEUR""))"),254)</f>
        <v>254</v>
      </c>
      <c r="K311" s="26">
        <f t="shared" ca="1" si="265"/>
        <v>14111</v>
      </c>
      <c r="L311" s="26">
        <f t="shared" ca="1" si="266"/>
        <v>2681.09</v>
      </c>
      <c r="M311" s="26">
        <f t="shared" ref="M311:N311" si="321">M$3</f>
        <v>500</v>
      </c>
      <c r="N311" s="26">
        <f t="shared" si="321"/>
        <v>500</v>
      </c>
      <c r="O311" s="26">
        <f ca="1">IFERROR(__xludf.DUMMYFUNCTION("ROUND(GOOGLEFINANCE(""Currency:EURKZT"")*K311)"),6738985)</f>
        <v>6738985</v>
      </c>
      <c r="P311" s="26">
        <f ca="1">IFERROR(__xludf.DUMMYFUNCTION("ROUND(GOOGLEFINANCE(""Currency:EURKZT"")*M311)"),238785)</f>
        <v>238785</v>
      </c>
      <c r="Q311" s="26">
        <f ca="1">IFERROR(__xludf.DUMMYFUNCTION("ROUND(GOOGLEFINANCE(""Currency:EURKZT"")*N311)"),238785)</f>
        <v>238785</v>
      </c>
      <c r="R311" s="26">
        <f t="shared" ca="1" si="268"/>
        <v>808678</v>
      </c>
      <c r="S311" s="26">
        <f t="shared" ca="1" si="269"/>
        <v>8025233</v>
      </c>
      <c r="T311" s="26">
        <f ca="1">IFERROR(__xludf.DUMMYFUNCTION("ROUND(GOOGLEFINANCE(""Currency:EURKZT"")*L311+S311)"),9305640)</f>
        <v>9305640</v>
      </c>
      <c r="U311" s="26">
        <f ca="1">IFERROR(__xludf.DUMMYFUNCTION("D311*GOOGLEFINANCE(""RUBKZT"")*1000/F311"),12272860.5067688)</f>
        <v>12272860.5067688</v>
      </c>
      <c r="V311" s="27">
        <f t="shared" ca="1" si="270"/>
        <v>0.31886259373549808</v>
      </c>
    </row>
    <row r="312" spans="1:22" ht="12.75" customHeight="1" x14ac:dyDescent="0.2">
      <c r="A312" s="6" t="s">
        <v>322</v>
      </c>
      <c r="B312" s="6" t="s">
        <v>167</v>
      </c>
      <c r="C312" s="7">
        <v>188582</v>
      </c>
      <c r="D312" s="8">
        <v>24490.799999999999</v>
      </c>
      <c r="E312" s="9" t="s">
        <v>16</v>
      </c>
      <c r="F312" s="23">
        <v>18</v>
      </c>
      <c r="G312" s="25"/>
      <c r="H312" s="14">
        <f t="shared" si="264"/>
        <v>0.55000000000000004</v>
      </c>
      <c r="I312" s="25">
        <f ca="1">IFERROR(__xludf.DUMMYFUNCTION("ROUND(D312*GOOGLEFINANCE(""RUBKZT"")*H312)"),105113)</f>
        <v>105113</v>
      </c>
      <c r="J312" s="26">
        <f ca="1">IFERROR(__xludf.DUMMYFUNCTION("ROUND(I312*GOOGLEFINANCE(""KZTEUR""))"),220)</f>
        <v>220</v>
      </c>
      <c r="K312" s="26">
        <f t="shared" ca="1" si="265"/>
        <v>12222</v>
      </c>
      <c r="L312" s="26">
        <f t="shared" ca="1" si="266"/>
        <v>2322.1799999999998</v>
      </c>
      <c r="M312" s="26">
        <f t="shared" ref="M312:N312" si="322">M$3</f>
        <v>500</v>
      </c>
      <c r="N312" s="26">
        <f t="shared" si="322"/>
        <v>500</v>
      </c>
      <c r="O312" s="26">
        <f ca="1">IFERROR(__xludf.DUMMYFUNCTION("ROUND(GOOGLEFINANCE(""Currency:EURKZT"")*K312)"),5836856)</f>
        <v>5836856</v>
      </c>
      <c r="P312" s="26">
        <f ca="1">IFERROR(__xludf.DUMMYFUNCTION("ROUND(GOOGLEFINANCE(""Currency:EURKZT"")*M312)"),238785)</f>
        <v>238785</v>
      </c>
      <c r="Q312" s="26">
        <f ca="1">IFERROR(__xludf.DUMMYFUNCTION("ROUND(GOOGLEFINANCE(""Currency:EURKZT"")*N312)"),238785)</f>
        <v>238785</v>
      </c>
      <c r="R312" s="26">
        <f t="shared" ca="1" si="268"/>
        <v>700423</v>
      </c>
      <c r="S312" s="26">
        <f t="shared" ca="1" si="269"/>
        <v>7014849</v>
      </c>
      <c r="T312" s="26">
        <f ca="1">IFERROR(__xludf.DUMMYFUNCTION("ROUND(GOOGLEFINANCE(""Currency:EURKZT"")*L312+S312)"),8123852)</f>
        <v>8123852</v>
      </c>
      <c r="U312" s="26">
        <f ca="1">IFERROR(__xludf.DUMMYFUNCTION("D312*GOOGLEFINANCE(""RUBKZT"")*1000/F312"),10617473.1924312)</f>
        <v>10617473.1924312</v>
      </c>
      <c r="V312" s="27">
        <f t="shared" ca="1" si="270"/>
        <v>0.30695059344153491</v>
      </c>
    </row>
    <row r="313" spans="1:22" ht="12.75" customHeight="1" x14ac:dyDescent="0.2">
      <c r="A313" s="6" t="s">
        <v>321</v>
      </c>
      <c r="B313" s="6" t="s">
        <v>167</v>
      </c>
      <c r="C313" s="7">
        <v>188590</v>
      </c>
      <c r="D313" s="8">
        <v>27244.799999999999</v>
      </c>
      <c r="E313" s="9" t="s">
        <v>16</v>
      </c>
      <c r="F313" s="23">
        <v>18</v>
      </c>
      <c r="G313" s="25"/>
      <c r="H313" s="14">
        <f t="shared" si="264"/>
        <v>0.55000000000000004</v>
      </c>
      <c r="I313" s="25">
        <f ca="1">IFERROR(__xludf.DUMMYFUNCTION("ROUND(D313*GOOGLEFINANCE(""RUBKZT"")*H313)"),116933)</f>
        <v>116933</v>
      </c>
      <c r="J313" s="26">
        <f ca="1">IFERROR(__xludf.DUMMYFUNCTION("ROUND(I313*GOOGLEFINANCE(""KZTEUR""))"),245)</f>
        <v>245</v>
      </c>
      <c r="K313" s="26">
        <f t="shared" ca="1" si="265"/>
        <v>13611</v>
      </c>
      <c r="L313" s="26">
        <f t="shared" ca="1" si="266"/>
        <v>2586.09</v>
      </c>
      <c r="M313" s="26">
        <f t="shared" ref="M313:N313" si="323">M$3</f>
        <v>500</v>
      </c>
      <c r="N313" s="26">
        <f t="shared" si="323"/>
        <v>500</v>
      </c>
      <c r="O313" s="26">
        <f ca="1">IFERROR(__xludf.DUMMYFUNCTION("ROUND(GOOGLEFINANCE(""Currency:EURKZT"")*K313)"),6500200)</f>
        <v>6500200</v>
      </c>
      <c r="P313" s="26">
        <f ca="1">IFERROR(__xludf.DUMMYFUNCTION("ROUND(GOOGLEFINANCE(""Currency:EURKZT"")*M313)"),238785)</f>
        <v>238785</v>
      </c>
      <c r="Q313" s="26">
        <f ca="1">IFERROR(__xludf.DUMMYFUNCTION("ROUND(GOOGLEFINANCE(""Currency:EURKZT"")*N313)"),238785)</f>
        <v>238785</v>
      </c>
      <c r="R313" s="26">
        <f t="shared" ca="1" si="268"/>
        <v>780024</v>
      </c>
      <c r="S313" s="26">
        <f t="shared" ca="1" si="269"/>
        <v>7757794</v>
      </c>
      <c r="T313" s="26">
        <f ca="1">IFERROR(__xludf.DUMMYFUNCTION("ROUND(GOOGLEFINANCE(""Currency:EURKZT"")*L313+S313)"),8992832)</f>
        <v>8992832</v>
      </c>
      <c r="U313" s="26">
        <f ca="1">IFERROR(__xludf.DUMMYFUNCTION("D313*GOOGLEFINANCE(""RUBKZT"")*1000/F313"),11811412.1887872)</f>
        <v>11811412.1887872</v>
      </c>
      <c r="V313" s="27">
        <f t="shared" ca="1" si="270"/>
        <v>0.31342520229302623</v>
      </c>
    </row>
    <row r="314" spans="1:22" ht="12.75" customHeight="1" x14ac:dyDescent="0.2">
      <c r="A314" s="6" t="s">
        <v>376</v>
      </c>
      <c r="B314" s="6" t="s">
        <v>167</v>
      </c>
      <c r="C314" s="7">
        <v>197278</v>
      </c>
      <c r="D314" s="8">
        <v>17544</v>
      </c>
      <c r="E314" s="9" t="s">
        <v>16</v>
      </c>
      <c r="F314" s="23">
        <v>18</v>
      </c>
      <c r="G314" s="25"/>
      <c r="H314" s="14">
        <f t="shared" si="264"/>
        <v>0.55000000000000004</v>
      </c>
      <c r="I314" s="25">
        <f ca="1">IFERROR(__xludf.DUMMYFUNCTION("ROUND(D314*GOOGLEFINANCE(""RUBKZT"")*H314)"),75298)</f>
        <v>75298</v>
      </c>
      <c r="J314" s="26">
        <f ca="1">IFERROR(__xludf.DUMMYFUNCTION("ROUND(I314*GOOGLEFINANCE(""KZTEUR""))"),158)</f>
        <v>158</v>
      </c>
      <c r="K314" s="26">
        <f t="shared" ca="1" si="265"/>
        <v>8778</v>
      </c>
      <c r="L314" s="26">
        <f t="shared" ca="1" si="266"/>
        <v>1667.82</v>
      </c>
      <c r="M314" s="26">
        <f t="shared" ref="M314:N314" si="324">M$3</f>
        <v>500</v>
      </c>
      <c r="N314" s="26">
        <f t="shared" si="324"/>
        <v>500</v>
      </c>
      <c r="O314" s="26">
        <f ca="1">IFERROR(__xludf.DUMMYFUNCTION("ROUND(GOOGLEFINANCE(""Currency:EURKZT"")*K314)"),4192106)</f>
        <v>4192106</v>
      </c>
      <c r="P314" s="26">
        <f ca="1">IFERROR(__xludf.DUMMYFUNCTION("ROUND(GOOGLEFINANCE(""Currency:EURKZT"")*M314)"),238785)</f>
        <v>238785</v>
      </c>
      <c r="Q314" s="26">
        <f ca="1">IFERROR(__xludf.DUMMYFUNCTION("ROUND(GOOGLEFINANCE(""Currency:EURKZT"")*N314)"),238785)</f>
        <v>238785</v>
      </c>
      <c r="R314" s="26">
        <f t="shared" ca="1" si="268"/>
        <v>503053</v>
      </c>
      <c r="S314" s="26">
        <f t="shared" ca="1" si="269"/>
        <v>5172729</v>
      </c>
      <c r="T314" s="26">
        <f ca="1">IFERROR(__xludf.DUMMYFUNCTION("ROUND(GOOGLEFINANCE(""Currency:EURKZT"")*L314+S314)"),5969229)</f>
        <v>5969229</v>
      </c>
      <c r="U314" s="26">
        <f ca="1">IFERROR(__xludf.DUMMYFUNCTION("D314*GOOGLEFINANCE(""RUBKZT"")*1000/F314"),7605833.606416)</f>
        <v>7605833.6064160001</v>
      </c>
      <c r="V314" s="27">
        <f t="shared" ca="1" si="270"/>
        <v>0.27417353336854727</v>
      </c>
    </row>
    <row r="315" spans="1:22" ht="12.75" customHeight="1" x14ac:dyDescent="0.2">
      <c r="A315" s="6" t="s">
        <v>391</v>
      </c>
      <c r="B315" s="6" t="s">
        <v>167</v>
      </c>
      <c r="C315" s="7">
        <v>199421</v>
      </c>
      <c r="D315" s="8">
        <v>21487.200000000001</v>
      </c>
      <c r="E315" s="9" t="s">
        <v>16</v>
      </c>
      <c r="F315" s="23">
        <v>18</v>
      </c>
      <c r="G315" s="25"/>
      <c r="H315" s="14">
        <f t="shared" si="264"/>
        <v>0.55000000000000004</v>
      </c>
      <c r="I315" s="25">
        <f ca="1">IFERROR(__xludf.DUMMYFUNCTION("ROUND(D315*GOOGLEFINANCE(""RUBKZT"")*H315)"),92222)</f>
        <v>92222</v>
      </c>
      <c r="J315" s="26">
        <f ca="1">IFERROR(__xludf.DUMMYFUNCTION("ROUND(I315*GOOGLEFINANCE(""KZTEUR""))"),193)</f>
        <v>193</v>
      </c>
      <c r="K315" s="26">
        <f t="shared" ca="1" si="265"/>
        <v>10722</v>
      </c>
      <c r="L315" s="26">
        <f t="shared" ca="1" si="266"/>
        <v>2037.18</v>
      </c>
      <c r="M315" s="26">
        <f t="shared" ref="M315:N315" si="325">M$3</f>
        <v>500</v>
      </c>
      <c r="N315" s="26">
        <f t="shared" si="325"/>
        <v>500</v>
      </c>
      <c r="O315" s="26">
        <f ca="1">IFERROR(__xludf.DUMMYFUNCTION("ROUND(GOOGLEFINANCE(""Currency:EURKZT"")*K315)"),5120501)</f>
        <v>5120501</v>
      </c>
      <c r="P315" s="26">
        <f ca="1">IFERROR(__xludf.DUMMYFUNCTION("ROUND(GOOGLEFINANCE(""Currency:EURKZT"")*M315)"),238785)</f>
        <v>238785</v>
      </c>
      <c r="Q315" s="26">
        <f ca="1">IFERROR(__xludf.DUMMYFUNCTION("ROUND(GOOGLEFINANCE(""Currency:EURKZT"")*N315)"),238785)</f>
        <v>238785</v>
      </c>
      <c r="R315" s="26">
        <f t="shared" ca="1" si="268"/>
        <v>614460</v>
      </c>
      <c r="S315" s="26">
        <f t="shared" ca="1" si="269"/>
        <v>6212531</v>
      </c>
      <c r="T315" s="26">
        <f ca="1">IFERROR(__xludf.DUMMYFUNCTION("ROUND(GOOGLEFINANCE(""Currency:EURKZT"")*L315+S315)"),7185426)</f>
        <v>7185426</v>
      </c>
      <c r="U315" s="26">
        <f ca="1">IFERROR(__xludf.DUMMYFUNCTION("D315*GOOGLEFINANCE(""RUBKZT"")*1000/F315"),9315325.3458608)</f>
        <v>9315325.3458607998</v>
      </c>
      <c r="V315" s="27">
        <f t="shared" ca="1" si="270"/>
        <v>0.29641935577108436</v>
      </c>
    </row>
    <row r="316" spans="1:22" ht="12.75" customHeight="1" x14ac:dyDescent="0.2">
      <c r="A316" s="6" t="s">
        <v>446</v>
      </c>
      <c r="B316" s="6" t="s">
        <v>167</v>
      </c>
      <c r="C316" s="7">
        <v>210042</v>
      </c>
      <c r="D316" s="8">
        <v>16641.599999999999</v>
      </c>
      <c r="E316" s="9" t="s">
        <v>16</v>
      </c>
      <c r="F316" s="23">
        <v>18</v>
      </c>
      <c r="G316" s="25"/>
      <c r="H316" s="14">
        <f t="shared" si="264"/>
        <v>0.55000000000000004</v>
      </c>
      <c r="I316" s="25">
        <f ca="1">IFERROR(__xludf.DUMMYFUNCTION("ROUND(D316*GOOGLEFINANCE(""RUBKZT"")*H316)"),71425)</f>
        <v>71425</v>
      </c>
      <c r="J316" s="26">
        <f ca="1">IFERROR(__xludf.DUMMYFUNCTION("ROUND(I316*GOOGLEFINANCE(""KZTEUR""))"),150)</f>
        <v>150</v>
      </c>
      <c r="K316" s="26">
        <f t="shared" ca="1" si="265"/>
        <v>8333</v>
      </c>
      <c r="L316" s="26">
        <f t="shared" ca="1" si="266"/>
        <v>1583.27</v>
      </c>
      <c r="M316" s="26">
        <f t="shared" ref="M316:N316" si="326">M$3</f>
        <v>500</v>
      </c>
      <c r="N316" s="26">
        <f t="shared" si="326"/>
        <v>500</v>
      </c>
      <c r="O316" s="26">
        <f ca="1">IFERROR(__xludf.DUMMYFUNCTION("ROUND(GOOGLEFINANCE(""Currency:EURKZT"")*K316)"),3979588)</f>
        <v>3979588</v>
      </c>
      <c r="P316" s="26">
        <f ca="1">IFERROR(__xludf.DUMMYFUNCTION("ROUND(GOOGLEFINANCE(""Currency:EURKZT"")*M316)"),238785)</f>
        <v>238785</v>
      </c>
      <c r="Q316" s="26">
        <f ca="1">IFERROR(__xludf.DUMMYFUNCTION("ROUND(GOOGLEFINANCE(""Currency:EURKZT"")*N316)"),238785)</f>
        <v>238785</v>
      </c>
      <c r="R316" s="26">
        <f t="shared" ca="1" si="268"/>
        <v>477551</v>
      </c>
      <c r="S316" s="26">
        <f t="shared" ca="1" si="269"/>
        <v>4934709</v>
      </c>
      <c r="T316" s="26">
        <f ca="1">IFERROR(__xludf.DUMMYFUNCTION("ROUND(GOOGLEFINANCE(""Currency:EURKZT"")*L316+S316)"),5690831)</f>
        <v>5690831</v>
      </c>
      <c r="U316" s="26">
        <f ca="1">IFERROR(__xludf.DUMMYFUNCTION("D316*GOOGLEFINANCE(""RUBKZT"")*1000/F316"),7214616.9941024)</f>
        <v>7214616.9941023998</v>
      </c>
      <c r="V316" s="27">
        <f t="shared" ca="1" si="270"/>
        <v>0.26776159652296821</v>
      </c>
    </row>
    <row r="317" spans="1:22" ht="12.75" customHeight="1" x14ac:dyDescent="0.2">
      <c r="A317" s="6" t="s">
        <v>21</v>
      </c>
      <c r="B317" s="6" t="s">
        <v>167</v>
      </c>
      <c r="C317" s="7">
        <v>196520</v>
      </c>
      <c r="D317" s="8">
        <v>10432.799999999999</v>
      </c>
      <c r="E317" s="9" t="s">
        <v>16</v>
      </c>
      <c r="F317" s="23">
        <v>18</v>
      </c>
      <c r="G317" s="25"/>
      <c r="H317" s="14">
        <f t="shared" si="264"/>
        <v>0.55000000000000004</v>
      </c>
      <c r="I317" s="25">
        <f ca="1">IFERROR(__xludf.DUMMYFUNCTION("ROUND(D317*GOOGLEFINANCE(""RUBKZT"")*H317)"),44777)</f>
        <v>44777</v>
      </c>
      <c r="J317" s="26">
        <f ca="1">IFERROR(__xludf.DUMMYFUNCTION("ROUND(I317*GOOGLEFINANCE(""KZTEUR""))"),94)</f>
        <v>94</v>
      </c>
      <c r="K317" s="26">
        <f t="shared" ca="1" si="265"/>
        <v>5222</v>
      </c>
      <c r="L317" s="26">
        <f t="shared" ca="1" si="266"/>
        <v>992.18000000000006</v>
      </c>
      <c r="M317" s="26">
        <f t="shared" ref="M317:N317" si="327">M$3</f>
        <v>500</v>
      </c>
      <c r="N317" s="26">
        <f t="shared" si="327"/>
        <v>500</v>
      </c>
      <c r="O317" s="26">
        <f ca="1">IFERROR(__xludf.DUMMYFUNCTION("ROUND(GOOGLEFINANCE(""Currency:EURKZT"")*K317)"),2493869)</f>
        <v>2493869</v>
      </c>
      <c r="P317" s="26">
        <f ca="1">IFERROR(__xludf.DUMMYFUNCTION("ROUND(GOOGLEFINANCE(""Currency:EURKZT"")*M317)"),238785)</f>
        <v>238785</v>
      </c>
      <c r="Q317" s="26">
        <f ca="1">IFERROR(__xludf.DUMMYFUNCTION("ROUND(GOOGLEFINANCE(""Currency:EURKZT"")*N317)"),238785)</f>
        <v>238785</v>
      </c>
      <c r="R317" s="26">
        <f t="shared" ca="1" si="268"/>
        <v>299264</v>
      </c>
      <c r="S317" s="26">
        <f t="shared" ca="1" si="269"/>
        <v>3270703</v>
      </c>
      <c r="T317" s="26">
        <f ca="1">IFERROR(__xludf.DUMMYFUNCTION("ROUND(GOOGLEFINANCE(""Currency:EURKZT"")*L317+S317)"),3744538)</f>
        <v>3744538</v>
      </c>
      <c r="U317" s="26">
        <f ca="1">IFERROR(__xludf.DUMMYFUNCTION("D317*GOOGLEFINANCE(""RUBKZT"")*1000/F317"),4522921.8450192)</f>
        <v>4522921.8450191999</v>
      </c>
      <c r="V317" s="27">
        <f t="shared" ca="1" si="270"/>
        <v>0.20787179754063115</v>
      </c>
    </row>
    <row r="318" spans="1:22" ht="12.75" customHeight="1" x14ac:dyDescent="0.2">
      <c r="A318" s="6" t="s">
        <v>17</v>
      </c>
      <c r="B318" s="6" t="s">
        <v>167</v>
      </c>
      <c r="C318" s="7">
        <v>188857</v>
      </c>
      <c r="D318" s="8">
        <v>15374.4</v>
      </c>
      <c r="E318" s="9" t="s">
        <v>16</v>
      </c>
      <c r="F318" s="23">
        <v>18</v>
      </c>
      <c r="G318" s="25"/>
      <c r="H318" s="14">
        <f t="shared" si="264"/>
        <v>0.55000000000000004</v>
      </c>
      <c r="I318" s="25">
        <f ca="1">IFERROR(__xludf.DUMMYFUNCTION("ROUND(D318*GOOGLEFINANCE(""RUBKZT"")*H318)"),65986)</f>
        <v>65986</v>
      </c>
      <c r="J318" s="26">
        <f ca="1">IFERROR(__xludf.DUMMYFUNCTION("ROUND(I318*GOOGLEFINANCE(""KZTEUR""))"),138)</f>
        <v>138</v>
      </c>
      <c r="K318" s="26">
        <f t="shared" ca="1" si="265"/>
        <v>7667</v>
      </c>
      <c r="L318" s="26">
        <f t="shared" ca="1" si="266"/>
        <v>1456.73</v>
      </c>
      <c r="M318" s="26">
        <f t="shared" ref="M318:N318" si="328">M$3</f>
        <v>500</v>
      </c>
      <c r="N318" s="26">
        <f t="shared" si="328"/>
        <v>500</v>
      </c>
      <c r="O318" s="26">
        <f ca="1">IFERROR(__xludf.DUMMYFUNCTION("ROUND(GOOGLEFINANCE(""Currency:EURKZT"")*K318)"),3661526)</f>
        <v>3661526</v>
      </c>
      <c r="P318" s="26">
        <f ca="1">IFERROR(__xludf.DUMMYFUNCTION("ROUND(GOOGLEFINANCE(""Currency:EURKZT"")*M318)"),238785)</f>
        <v>238785</v>
      </c>
      <c r="Q318" s="26">
        <f ca="1">IFERROR(__xludf.DUMMYFUNCTION("ROUND(GOOGLEFINANCE(""Currency:EURKZT"")*N318)"),238785)</f>
        <v>238785</v>
      </c>
      <c r="R318" s="26">
        <f t="shared" ca="1" si="268"/>
        <v>439383</v>
      </c>
      <c r="S318" s="26">
        <f t="shared" ca="1" si="269"/>
        <v>4578479</v>
      </c>
      <c r="T318" s="26">
        <f ca="1">IFERROR(__xludf.DUMMYFUNCTION("ROUND(GOOGLEFINANCE(""Currency:EURKZT"")*L318+S318)"),5274169)</f>
        <v>5274169</v>
      </c>
      <c r="U318" s="26">
        <f ca="1">IFERROR(__xludf.DUMMYFUNCTION("D318*GOOGLEFINANCE(""RUBKZT"")*1000/F318"),6665248.9853216)</f>
        <v>6665248.9853216</v>
      </c>
      <c r="V318" s="27">
        <f t="shared" ca="1" si="270"/>
        <v>0.2637533960936026</v>
      </c>
    </row>
    <row r="319" spans="1:22" ht="12.75" customHeight="1" x14ac:dyDescent="0.2">
      <c r="A319" s="6" t="s">
        <v>165</v>
      </c>
      <c r="B319" s="6" t="s">
        <v>167</v>
      </c>
      <c r="C319" s="7">
        <v>195064</v>
      </c>
      <c r="D319" s="8">
        <v>12254.4</v>
      </c>
      <c r="E319" s="9" t="s">
        <v>16</v>
      </c>
      <c r="F319" s="23">
        <v>18</v>
      </c>
      <c r="G319" s="25"/>
      <c r="H319" s="14">
        <f t="shared" si="264"/>
        <v>0.55000000000000004</v>
      </c>
      <c r="I319" s="25">
        <f ca="1">IFERROR(__xludf.DUMMYFUNCTION("ROUND(D319*GOOGLEFINANCE(""RUBKZT"")*H319)"),52595)</f>
        <v>52595</v>
      </c>
      <c r="J319" s="26">
        <f ca="1">IFERROR(__xludf.DUMMYFUNCTION("ROUND(I319*GOOGLEFINANCE(""KZTEUR""))"),110)</f>
        <v>110</v>
      </c>
      <c r="K319" s="26">
        <f t="shared" ca="1" si="265"/>
        <v>6111</v>
      </c>
      <c r="L319" s="26">
        <f t="shared" ca="1" si="266"/>
        <v>1161.0899999999999</v>
      </c>
      <c r="M319" s="26">
        <f t="shared" ref="M319:N319" si="329">M$3</f>
        <v>500</v>
      </c>
      <c r="N319" s="26">
        <f t="shared" si="329"/>
        <v>500</v>
      </c>
      <c r="O319" s="26">
        <f ca="1">IFERROR(__xludf.DUMMYFUNCTION("ROUND(GOOGLEFINANCE(""Currency:EURKZT"")*K319)"),2918428)</f>
        <v>2918428</v>
      </c>
      <c r="P319" s="26">
        <f ca="1">IFERROR(__xludf.DUMMYFUNCTION("ROUND(GOOGLEFINANCE(""Currency:EURKZT"")*M319)"),238785)</f>
        <v>238785</v>
      </c>
      <c r="Q319" s="26">
        <f ca="1">IFERROR(__xludf.DUMMYFUNCTION("ROUND(GOOGLEFINANCE(""Currency:EURKZT"")*N319)"),238785)</f>
        <v>238785</v>
      </c>
      <c r="R319" s="26">
        <f t="shared" ca="1" si="268"/>
        <v>350211</v>
      </c>
      <c r="S319" s="26">
        <f t="shared" ca="1" si="269"/>
        <v>3746209</v>
      </c>
      <c r="T319" s="26">
        <f ca="1">IFERROR(__xludf.DUMMYFUNCTION("ROUND(GOOGLEFINANCE(""Currency:EURKZT"")*L319+S319)"),4300710)</f>
        <v>4300710</v>
      </c>
      <c r="U319" s="26">
        <f ca="1">IFERROR(__xludf.DUMMYFUNCTION("D319*GOOGLEFINANCE(""RUBKZT"")*1000/F319"),5312638.3576416)</f>
        <v>5312638.3576416001</v>
      </c>
      <c r="V319" s="27">
        <f t="shared" ca="1" si="270"/>
        <v>0.23529332543733478</v>
      </c>
    </row>
    <row r="320" spans="1:22" ht="12.75" customHeight="1" x14ac:dyDescent="0.2">
      <c r="A320" s="6" t="s">
        <v>20</v>
      </c>
      <c r="B320" s="6" t="s">
        <v>167</v>
      </c>
      <c r="C320" s="7">
        <v>196458</v>
      </c>
      <c r="D320" s="8">
        <v>10828.8</v>
      </c>
      <c r="E320" s="9" t="s">
        <v>16</v>
      </c>
      <c r="F320" s="23">
        <v>18</v>
      </c>
      <c r="G320" s="25"/>
      <c r="H320" s="14">
        <f t="shared" si="264"/>
        <v>0.55000000000000004</v>
      </c>
      <c r="I320" s="25">
        <f ca="1">IFERROR(__xludf.DUMMYFUNCTION("ROUND(D320*GOOGLEFINANCE(""RUBKZT"")*H320)"),46477)</f>
        <v>46477</v>
      </c>
      <c r="J320" s="26">
        <f ca="1">IFERROR(__xludf.DUMMYFUNCTION("ROUND(I320*GOOGLEFINANCE(""KZTEUR""))"),97)</f>
        <v>97</v>
      </c>
      <c r="K320" s="26">
        <f t="shared" ca="1" si="265"/>
        <v>5389</v>
      </c>
      <c r="L320" s="26">
        <f t="shared" ca="1" si="266"/>
        <v>1023.91</v>
      </c>
      <c r="M320" s="26">
        <f t="shared" ref="M320:N320" si="330">M$3</f>
        <v>500</v>
      </c>
      <c r="N320" s="26">
        <f t="shared" si="330"/>
        <v>500</v>
      </c>
      <c r="O320" s="26">
        <f ca="1">IFERROR(__xludf.DUMMYFUNCTION("ROUND(GOOGLEFINANCE(""Currency:EURKZT"")*K320)"),2573623)</f>
        <v>2573623</v>
      </c>
      <c r="P320" s="26">
        <f ca="1">IFERROR(__xludf.DUMMYFUNCTION("ROUND(GOOGLEFINANCE(""Currency:EURKZT"")*M320)"),238785)</f>
        <v>238785</v>
      </c>
      <c r="Q320" s="26">
        <f ca="1">IFERROR(__xludf.DUMMYFUNCTION("ROUND(GOOGLEFINANCE(""Currency:EURKZT"")*N320)"),238785)</f>
        <v>238785</v>
      </c>
      <c r="R320" s="26">
        <f t="shared" ca="1" si="268"/>
        <v>308835</v>
      </c>
      <c r="S320" s="26">
        <f t="shared" ca="1" si="269"/>
        <v>3360028</v>
      </c>
      <c r="T320" s="26">
        <f ca="1">IFERROR(__xludf.DUMMYFUNCTION("ROUND(GOOGLEFINANCE(""Currency:EURKZT"")*L320+S320)"),3849016)</f>
        <v>3849016</v>
      </c>
      <c r="U320" s="26">
        <f ca="1">IFERROR(__xludf.DUMMYFUNCTION("D320*GOOGLEFINANCE(""RUBKZT"")*1000/F320"),4694599.34776319)</f>
        <v>4694599.34776319</v>
      </c>
      <c r="V320" s="27">
        <f t="shared" ca="1" si="270"/>
        <v>0.21968818725700023</v>
      </c>
    </row>
    <row r="321" spans="1:22" ht="12.75" customHeight="1" x14ac:dyDescent="0.2">
      <c r="A321" s="6" t="s">
        <v>23</v>
      </c>
      <c r="B321" s="6" t="s">
        <v>167</v>
      </c>
      <c r="C321" s="7">
        <v>196523</v>
      </c>
      <c r="D321" s="8">
        <v>13960.8</v>
      </c>
      <c r="E321" s="9" t="s">
        <v>16</v>
      </c>
      <c r="F321" s="23">
        <v>18</v>
      </c>
      <c r="G321" s="25"/>
      <c r="H321" s="14">
        <f t="shared" si="264"/>
        <v>0.55000000000000004</v>
      </c>
      <c r="I321" s="25">
        <f ca="1">IFERROR(__xludf.DUMMYFUNCTION("ROUND(D321*GOOGLEFINANCE(""RUBKZT"")*H321)"),59919)</f>
        <v>59919</v>
      </c>
      <c r="J321" s="26">
        <f ca="1">IFERROR(__xludf.DUMMYFUNCTION("ROUND(I321*GOOGLEFINANCE(""KZTEUR""))"),125)</f>
        <v>125</v>
      </c>
      <c r="K321" s="26">
        <f t="shared" ca="1" si="265"/>
        <v>6944</v>
      </c>
      <c r="L321" s="26">
        <f t="shared" ca="1" si="266"/>
        <v>1319.3600000000001</v>
      </c>
      <c r="M321" s="26">
        <f t="shared" ref="M321:N321" si="331">M$3</f>
        <v>500</v>
      </c>
      <c r="N321" s="26">
        <f t="shared" si="331"/>
        <v>500</v>
      </c>
      <c r="O321" s="26">
        <f ca="1">IFERROR(__xludf.DUMMYFUNCTION("ROUND(GOOGLEFINANCE(""Currency:EURKZT"")*K321)"),3316243)</f>
        <v>3316243</v>
      </c>
      <c r="P321" s="26">
        <f ca="1">IFERROR(__xludf.DUMMYFUNCTION("ROUND(GOOGLEFINANCE(""Currency:EURKZT"")*M321)"),238785)</f>
        <v>238785</v>
      </c>
      <c r="Q321" s="26">
        <f ca="1">IFERROR(__xludf.DUMMYFUNCTION("ROUND(GOOGLEFINANCE(""Currency:EURKZT"")*N321)"),238785)</f>
        <v>238785</v>
      </c>
      <c r="R321" s="26">
        <f t="shared" ca="1" si="268"/>
        <v>397949</v>
      </c>
      <c r="S321" s="26">
        <f t="shared" ca="1" si="269"/>
        <v>4191762</v>
      </c>
      <c r="T321" s="26">
        <f ca="1">IFERROR(__xludf.DUMMYFUNCTION("ROUND(GOOGLEFINANCE(""Currency:EURKZT"")*L321+S321)"),4821848)</f>
        <v>4821848</v>
      </c>
      <c r="U321" s="26">
        <f ca="1">IFERROR(__xludf.DUMMYFUNCTION("D321*GOOGLEFINANCE(""RUBKZT"")*1000/F321"),6052412.3240112)</f>
        <v>6052412.3240112001</v>
      </c>
      <c r="V321" s="27">
        <f t="shared" ca="1" si="270"/>
        <v>0.25520595506353583</v>
      </c>
    </row>
    <row r="322" spans="1:22" ht="12.75" customHeight="1" x14ac:dyDescent="0.2">
      <c r="A322" s="6" t="s">
        <v>24</v>
      </c>
      <c r="B322" s="6" t="s">
        <v>167</v>
      </c>
      <c r="C322" s="7">
        <v>196525</v>
      </c>
      <c r="D322" s="8">
        <v>13814.4</v>
      </c>
      <c r="E322" s="9" t="s">
        <v>16</v>
      </c>
      <c r="F322" s="23">
        <v>18</v>
      </c>
      <c r="G322" s="25"/>
      <c r="H322" s="14">
        <f t="shared" si="264"/>
        <v>0.55000000000000004</v>
      </c>
      <c r="I322" s="25">
        <f ca="1">IFERROR(__xludf.DUMMYFUNCTION("ROUND(D322*GOOGLEFINANCE(""RUBKZT"")*H322)"),59291)</f>
        <v>59291</v>
      </c>
      <c r="J322" s="26">
        <f ca="1">IFERROR(__xludf.DUMMYFUNCTION("ROUND(I322*GOOGLEFINANCE(""KZTEUR""))"),124)</f>
        <v>124</v>
      </c>
      <c r="K322" s="26">
        <f t="shared" ca="1" si="265"/>
        <v>6889</v>
      </c>
      <c r="L322" s="26">
        <f t="shared" ca="1" si="266"/>
        <v>1308.9100000000001</v>
      </c>
      <c r="M322" s="26">
        <f t="shared" ref="M322:N322" si="332">M$3</f>
        <v>500</v>
      </c>
      <c r="N322" s="26">
        <f t="shared" si="332"/>
        <v>500</v>
      </c>
      <c r="O322" s="26">
        <f ca="1">IFERROR(__xludf.DUMMYFUNCTION("ROUND(GOOGLEFINANCE(""Currency:EURKZT"")*K322)"),3289977)</f>
        <v>3289977</v>
      </c>
      <c r="P322" s="26">
        <f ca="1">IFERROR(__xludf.DUMMYFUNCTION("ROUND(GOOGLEFINANCE(""Currency:EURKZT"")*M322)"),238785)</f>
        <v>238785</v>
      </c>
      <c r="Q322" s="26">
        <f ca="1">IFERROR(__xludf.DUMMYFUNCTION("ROUND(GOOGLEFINANCE(""Currency:EURKZT"")*N322)"),238785)</f>
        <v>238785</v>
      </c>
      <c r="R322" s="26">
        <f t="shared" ca="1" si="268"/>
        <v>394797</v>
      </c>
      <c r="S322" s="26">
        <f t="shared" ca="1" si="269"/>
        <v>4162344</v>
      </c>
      <c r="T322" s="26">
        <f ca="1">IFERROR(__xludf.DUMMYFUNCTION("ROUND(GOOGLEFINANCE(""Currency:EURKZT"")*L322+S322)"),4787440)</f>
        <v>4787440</v>
      </c>
      <c r="U322" s="26">
        <f ca="1">IFERROR(__xludf.DUMMYFUNCTION("D322*GOOGLEFINANCE(""RUBKZT"")*1000/F322"),5988943.67148159)</f>
        <v>5988943.6714815898</v>
      </c>
      <c r="V322" s="27">
        <f t="shared" ca="1" si="270"/>
        <v>0.25096996964590468</v>
      </c>
    </row>
    <row r="323" spans="1:22" ht="12.75" customHeight="1" x14ac:dyDescent="0.2">
      <c r="A323" s="6" t="s">
        <v>182</v>
      </c>
      <c r="B323" s="6" t="s">
        <v>167</v>
      </c>
      <c r="C323" s="7">
        <v>209686</v>
      </c>
      <c r="D323" s="8">
        <v>14259.6</v>
      </c>
      <c r="E323" s="9" t="s">
        <v>16</v>
      </c>
      <c r="F323" s="23">
        <v>18</v>
      </c>
      <c r="G323" s="25"/>
      <c r="H323" s="14">
        <f t="shared" si="264"/>
        <v>0.55000000000000004</v>
      </c>
      <c r="I323" s="25">
        <f ca="1">IFERROR(__xludf.DUMMYFUNCTION("ROUND(D323*GOOGLEFINANCE(""RUBKZT"")*H323)"),61201)</f>
        <v>61201</v>
      </c>
      <c r="J323" s="26">
        <f ca="1">IFERROR(__xludf.DUMMYFUNCTION("ROUND(I323*GOOGLEFINANCE(""KZTEUR""))"),128)</f>
        <v>128</v>
      </c>
      <c r="K323" s="26">
        <f t="shared" ca="1" si="265"/>
        <v>7111</v>
      </c>
      <c r="L323" s="26">
        <f t="shared" ca="1" si="266"/>
        <v>1351.09</v>
      </c>
      <c r="M323" s="26">
        <f t="shared" ref="M323:N323" si="333">M$3</f>
        <v>500</v>
      </c>
      <c r="N323" s="26">
        <f t="shared" si="333"/>
        <v>500</v>
      </c>
      <c r="O323" s="26">
        <f ca="1">IFERROR(__xludf.DUMMYFUNCTION("ROUND(GOOGLEFINANCE(""Currency:EURKZT"")*K323)"),3395998)</f>
        <v>3395998</v>
      </c>
      <c r="P323" s="26">
        <f ca="1">IFERROR(__xludf.DUMMYFUNCTION("ROUND(GOOGLEFINANCE(""Currency:EURKZT"")*M323)"),238785)</f>
        <v>238785</v>
      </c>
      <c r="Q323" s="26">
        <f ca="1">IFERROR(__xludf.DUMMYFUNCTION("ROUND(GOOGLEFINANCE(""Currency:EURKZT"")*N323)"),238785)</f>
        <v>238785</v>
      </c>
      <c r="R323" s="26">
        <f t="shared" ca="1" si="268"/>
        <v>407520</v>
      </c>
      <c r="S323" s="26">
        <f t="shared" ca="1" si="269"/>
        <v>4281088</v>
      </c>
      <c r="T323" s="26">
        <f ca="1">IFERROR(__xludf.DUMMYFUNCTION("ROUND(GOOGLEFINANCE(""Currency:EURKZT"")*L323+S323)"),4926328)</f>
        <v>4926328</v>
      </c>
      <c r="U323" s="26">
        <f ca="1">IFERROR(__xludf.DUMMYFUNCTION("D323*GOOGLEFINANCE(""RUBKZT"")*1000/F323"),6181950.8033544)</f>
        <v>6181950.8033544002</v>
      </c>
      <c r="V323" s="27">
        <f t="shared" ca="1" si="270"/>
        <v>0.2548800655081026</v>
      </c>
    </row>
    <row r="324" spans="1:22" ht="12.75" customHeight="1" x14ac:dyDescent="0.2">
      <c r="A324" s="6" t="s">
        <v>48</v>
      </c>
      <c r="B324" s="6" t="s">
        <v>49</v>
      </c>
      <c r="C324" s="7">
        <v>110519</v>
      </c>
      <c r="D324" s="8">
        <v>130646.39999999999</v>
      </c>
      <c r="E324" s="9" t="s">
        <v>16</v>
      </c>
      <c r="F324" s="23">
        <v>200</v>
      </c>
      <c r="G324" s="25"/>
      <c r="H324" s="14">
        <f t="shared" si="264"/>
        <v>0.55000000000000004</v>
      </c>
      <c r="I324" s="25">
        <f ca="1">IFERROR(__xludf.DUMMYFUNCTION("ROUND(D324*GOOGLEFINANCE(""RUBKZT"")*H324)"),560726)</f>
        <v>560726</v>
      </c>
      <c r="J324" s="26">
        <f ca="1">IFERROR(__xludf.DUMMYFUNCTION("ROUND(I324*GOOGLEFINANCE(""KZTEUR""))"),1174)</f>
        <v>1174</v>
      </c>
      <c r="K324" s="26">
        <f t="shared" ca="1" si="265"/>
        <v>5870</v>
      </c>
      <c r="L324" s="26">
        <f t="shared" ca="1" si="266"/>
        <v>1115.3</v>
      </c>
      <c r="M324" s="26">
        <f t="shared" ref="M324:N324" si="334">M$3</f>
        <v>500</v>
      </c>
      <c r="N324" s="26">
        <f t="shared" si="334"/>
        <v>500</v>
      </c>
      <c r="O324" s="26">
        <f ca="1">IFERROR(__xludf.DUMMYFUNCTION("ROUND(GOOGLEFINANCE(""Currency:EURKZT"")*K324)"),2803334)</f>
        <v>2803334</v>
      </c>
      <c r="P324" s="26">
        <f ca="1">IFERROR(__xludf.DUMMYFUNCTION("ROUND(GOOGLEFINANCE(""Currency:EURKZT"")*M324)"),238785)</f>
        <v>238785</v>
      </c>
      <c r="Q324" s="26">
        <f ca="1">IFERROR(__xludf.DUMMYFUNCTION("ROUND(GOOGLEFINANCE(""Currency:EURKZT"")*N324)"),238785)</f>
        <v>238785</v>
      </c>
      <c r="R324" s="26">
        <f t="shared" ca="1" si="268"/>
        <v>336400</v>
      </c>
      <c r="S324" s="26">
        <f t="shared" ca="1" si="269"/>
        <v>3617304</v>
      </c>
      <c r="T324" s="26">
        <f ca="1">IFERROR(__xludf.DUMMYFUNCTION("ROUND(GOOGLEFINANCE(""Currency:EURKZT"")*L324+S324)"),4149937)</f>
        <v>4149937</v>
      </c>
      <c r="U324" s="26">
        <f ca="1">IFERROR(__xludf.DUMMYFUNCTION("D324*GOOGLEFINANCE(""RUBKZT"")*1000/F324"),5097510.83965766)</f>
        <v>5097510.8396576596</v>
      </c>
      <c r="V324" s="27">
        <f t="shared" ca="1" si="270"/>
        <v>0.22833451198359389</v>
      </c>
    </row>
    <row r="325" spans="1:22" ht="12.75" customHeight="1" x14ac:dyDescent="0.2">
      <c r="A325" s="6" t="s">
        <v>156</v>
      </c>
      <c r="B325" s="6" t="s">
        <v>157</v>
      </c>
      <c r="C325" s="7">
        <v>134020</v>
      </c>
      <c r="D325" s="8">
        <v>342072</v>
      </c>
      <c r="E325" s="9" t="s">
        <v>16</v>
      </c>
      <c r="F325" s="23">
        <v>206</v>
      </c>
      <c r="G325" s="25"/>
      <c r="H325" s="14">
        <f t="shared" si="264"/>
        <v>0.55000000000000004</v>
      </c>
      <c r="I325" s="25">
        <f ca="1">IFERROR(__xludf.DUMMYFUNCTION("ROUND(D325*GOOGLEFINANCE(""RUBKZT"")*H325)"),1468152)</f>
        <v>1468152</v>
      </c>
      <c r="J325" s="26">
        <f ca="1">IFERROR(__xludf.DUMMYFUNCTION("ROUND(I325*GOOGLEFINANCE(""KZTEUR""))"),3075)</f>
        <v>3075</v>
      </c>
      <c r="K325" s="26">
        <f t="shared" ca="1" si="265"/>
        <v>14927</v>
      </c>
      <c r="L325" s="26">
        <f t="shared" ca="1" si="266"/>
        <v>2836.13</v>
      </c>
      <c r="M325" s="26">
        <f t="shared" ref="M325:N325" si="335">M$3</f>
        <v>500</v>
      </c>
      <c r="N325" s="26">
        <f t="shared" si="335"/>
        <v>500</v>
      </c>
      <c r="O325" s="26">
        <f ca="1">IFERROR(__xludf.DUMMYFUNCTION("ROUND(GOOGLEFINANCE(""Currency:EURKZT"")*K325)"),7128682)</f>
        <v>7128682</v>
      </c>
      <c r="P325" s="26">
        <f ca="1">IFERROR(__xludf.DUMMYFUNCTION("ROUND(GOOGLEFINANCE(""Currency:EURKZT"")*M325)"),238785)</f>
        <v>238785</v>
      </c>
      <c r="Q325" s="26">
        <f ca="1">IFERROR(__xludf.DUMMYFUNCTION("ROUND(GOOGLEFINANCE(""Currency:EURKZT"")*N325)"),238785)</f>
        <v>238785</v>
      </c>
      <c r="R325" s="26">
        <f t="shared" ca="1" si="268"/>
        <v>855442</v>
      </c>
      <c r="S325" s="26">
        <f t="shared" ca="1" si="269"/>
        <v>8461694</v>
      </c>
      <c r="T325" s="26">
        <f ca="1">IFERROR(__xludf.DUMMYFUNCTION("ROUND(GOOGLEFINANCE(""Currency:EURKZT"")*L325+S325)"),9816144)</f>
        <v>9816144</v>
      </c>
      <c r="U325" s="26">
        <f ca="1">IFERROR(__xludf.DUMMYFUNCTION("D325*GOOGLEFINANCE(""RUBKZT"")*1000/F325"),12958090.626356)</f>
        <v>12958090.626356</v>
      </c>
      <c r="V325" s="27">
        <f t="shared" ca="1" si="270"/>
        <v>0.32007951659592604</v>
      </c>
    </row>
    <row r="326" spans="1:22" ht="12.75" customHeight="1" x14ac:dyDescent="0.2">
      <c r="A326" s="6" t="s">
        <v>14</v>
      </c>
      <c r="B326" s="6" t="s">
        <v>15</v>
      </c>
      <c r="C326" s="7">
        <v>110286</v>
      </c>
      <c r="D326" s="8">
        <v>101336.4</v>
      </c>
      <c r="E326" s="9" t="s">
        <v>16</v>
      </c>
      <c r="F326" s="23">
        <v>208</v>
      </c>
      <c r="G326" s="25"/>
      <c r="H326" s="14">
        <f t="shared" si="264"/>
        <v>0.55000000000000004</v>
      </c>
      <c r="I326" s="25">
        <f ca="1">IFERROR(__xludf.DUMMYFUNCTION("ROUND(D326*GOOGLEFINANCE(""RUBKZT"")*H326)"),434930)</f>
        <v>434930</v>
      </c>
      <c r="J326" s="26">
        <f ca="1">IFERROR(__xludf.DUMMYFUNCTION("ROUND(I326*GOOGLEFINANCE(""KZTEUR""))"),911)</f>
        <v>911</v>
      </c>
      <c r="K326" s="26">
        <f t="shared" ca="1" si="265"/>
        <v>4380</v>
      </c>
      <c r="L326" s="26">
        <f t="shared" ca="1" si="266"/>
        <v>832.2</v>
      </c>
      <c r="M326" s="26">
        <f t="shared" ref="M326:N326" si="336">M$3</f>
        <v>500</v>
      </c>
      <c r="N326" s="26">
        <f t="shared" si="336"/>
        <v>500</v>
      </c>
      <c r="O326" s="26">
        <f ca="1">IFERROR(__xludf.DUMMYFUNCTION("ROUND(GOOGLEFINANCE(""Currency:EURKZT"")*K326)"),2091755)</f>
        <v>2091755</v>
      </c>
      <c r="P326" s="26">
        <f ca="1">IFERROR(__xludf.DUMMYFUNCTION("ROUND(GOOGLEFINANCE(""Currency:EURKZT"")*M326)"),238785)</f>
        <v>238785</v>
      </c>
      <c r="Q326" s="26">
        <f ca="1">IFERROR(__xludf.DUMMYFUNCTION("ROUND(GOOGLEFINANCE(""Currency:EURKZT"")*N326)"),238785)</f>
        <v>238785</v>
      </c>
      <c r="R326" s="26">
        <f t="shared" ca="1" si="268"/>
        <v>251011</v>
      </c>
      <c r="S326" s="26">
        <f t="shared" ca="1" si="269"/>
        <v>2820336</v>
      </c>
      <c r="T326" s="26">
        <f ca="1">IFERROR(__xludf.DUMMYFUNCTION("ROUND(GOOGLEFINANCE(""Currency:EURKZT"")*L326+S326)"),3217769)</f>
        <v>3217769</v>
      </c>
      <c r="U326" s="26">
        <f ca="1">IFERROR(__xludf.DUMMYFUNCTION("D326*GOOGLEFINANCE(""RUBKZT"")*1000/F326"),3801831.31317025)</f>
        <v>3801831.31317025</v>
      </c>
      <c r="V326" s="27">
        <f t="shared" ca="1" si="270"/>
        <v>0.18151157313351271</v>
      </c>
    </row>
    <row r="327" spans="1:22" ht="12.75" customHeight="1" x14ac:dyDescent="0.2">
      <c r="A327" s="6" t="s">
        <v>26</v>
      </c>
      <c r="B327" s="6" t="s">
        <v>15</v>
      </c>
      <c r="C327" s="7">
        <v>110445</v>
      </c>
      <c r="D327" s="8">
        <v>105602.4</v>
      </c>
      <c r="E327" s="9" t="s">
        <v>16</v>
      </c>
      <c r="F327" s="23">
        <v>208</v>
      </c>
      <c r="G327" s="25"/>
      <c r="H327" s="14">
        <f t="shared" si="264"/>
        <v>0.55000000000000004</v>
      </c>
      <c r="I327" s="25">
        <f ca="1">IFERROR(__xludf.DUMMYFUNCTION("ROUND(D327*GOOGLEFINANCE(""RUBKZT"")*H327)"),453239)</f>
        <v>453239</v>
      </c>
      <c r="J327" s="26">
        <f ca="1">IFERROR(__xludf.DUMMYFUNCTION("ROUND(I327*GOOGLEFINANCE(""KZTEUR""))"),949)</f>
        <v>949</v>
      </c>
      <c r="K327" s="26">
        <f t="shared" ca="1" si="265"/>
        <v>4563</v>
      </c>
      <c r="L327" s="26">
        <f t="shared" ca="1" si="266"/>
        <v>866.97</v>
      </c>
      <c r="M327" s="26">
        <f t="shared" ref="M327:N327" si="337">M$3</f>
        <v>500</v>
      </c>
      <c r="N327" s="26">
        <f t="shared" si="337"/>
        <v>500</v>
      </c>
      <c r="O327" s="26">
        <f ca="1">IFERROR(__xludf.DUMMYFUNCTION("ROUND(GOOGLEFINANCE(""Currency:EURKZT"")*K327)"),2179150)</f>
        <v>2179150</v>
      </c>
      <c r="P327" s="26">
        <f ca="1">IFERROR(__xludf.DUMMYFUNCTION("ROUND(GOOGLEFINANCE(""Currency:EURKZT"")*M327)"),238785)</f>
        <v>238785</v>
      </c>
      <c r="Q327" s="26">
        <f ca="1">IFERROR(__xludf.DUMMYFUNCTION("ROUND(GOOGLEFINANCE(""Currency:EURKZT"")*N327)"),238785)</f>
        <v>238785</v>
      </c>
      <c r="R327" s="26">
        <f t="shared" ca="1" si="268"/>
        <v>261498</v>
      </c>
      <c r="S327" s="26">
        <f t="shared" ca="1" si="269"/>
        <v>2918218</v>
      </c>
      <c r="T327" s="26">
        <f ca="1">IFERROR(__xludf.DUMMYFUNCTION("ROUND(GOOGLEFINANCE(""Currency:EURKZT"")*L327+S327)"),3332257)</f>
        <v>3332257</v>
      </c>
      <c r="U327" s="26">
        <f ca="1">IFERROR(__xludf.DUMMYFUNCTION("D327*GOOGLEFINANCE(""RUBKZT"")*1000/F327"),3961878.56550983)</f>
        <v>3961878.5655098301</v>
      </c>
      <c r="V327" s="27">
        <f t="shared" ca="1" si="270"/>
        <v>0.18894748079449758</v>
      </c>
    </row>
    <row r="328" spans="1:22" ht="12.75" customHeight="1" x14ac:dyDescent="0.2">
      <c r="A328" s="6" t="s">
        <v>27</v>
      </c>
      <c r="B328" s="6" t="s">
        <v>15</v>
      </c>
      <c r="C328" s="7">
        <v>110448</v>
      </c>
      <c r="D328" s="8">
        <v>122041.2</v>
      </c>
      <c r="E328" s="9" t="s">
        <v>16</v>
      </c>
      <c r="F328" s="23">
        <v>208</v>
      </c>
      <c r="G328" s="25"/>
      <c r="H328" s="14">
        <f t="shared" si="264"/>
        <v>0.55000000000000004</v>
      </c>
      <c r="I328" s="25">
        <f ca="1">IFERROR(__xludf.DUMMYFUNCTION("ROUND(D328*GOOGLEFINANCE(""RUBKZT"")*H328)"),523793)</f>
        <v>523793</v>
      </c>
      <c r="J328" s="26">
        <f ca="1">IFERROR(__xludf.DUMMYFUNCTION("ROUND(I328*GOOGLEFINANCE(""KZTEUR""))"),1097)</f>
        <v>1097</v>
      </c>
      <c r="K328" s="26">
        <f t="shared" ca="1" si="265"/>
        <v>5274</v>
      </c>
      <c r="L328" s="26">
        <f t="shared" ca="1" si="266"/>
        <v>1002.0600000000001</v>
      </c>
      <c r="M328" s="26">
        <f t="shared" ref="M328:N328" si="338">M$3</f>
        <v>500</v>
      </c>
      <c r="N328" s="26">
        <f t="shared" si="338"/>
        <v>500</v>
      </c>
      <c r="O328" s="26">
        <f ca="1">IFERROR(__xludf.DUMMYFUNCTION("ROUND(GOOGLEFINANCE(""Currency:EURKZT"")*K328)"),2518702)</f>
        <v>2518702</v>
      </c>
      <c r="P328" s="26">
        <f ca="1">IFERROR(__xludf.DUMMYFUNCTION("ROUND(GOOGLEFINANCE(""Currency:EURKZT"")*M328)"),238785)</f>
        <v>238785</v>
      </c>
      <c r="Q328" s="26">
        <f ca="1">IFERROR(__xludf.DUMMYFUNCTION("ROUND(GOOGLEFINANCE(""Currency:EURKZT"")*N328)"),238785)</f>
        <v>238785</v>
      </c>
      <c r="R328" s="26">
        <f t="shared" ca="1" si="268"/>
        <v>302244</v>
      </c>
      <c r="S328" s="26">
        <f t="shared" ca="1" si="269"/>
        <v>3298516</v>
      </c>
      <c r="T328" s="26">
        <f ca="1">IFERROR(__xludf.DUMMYFUNCTION("ROUND(GOOGLEFINANCE(""Currency:EURKZT"")*L328+S328)"),3777069)</f>
        <v>3777069</v>
      </c>
      <c r="U328" s="26">
        <f ca="1">IFERROR(__xludf.DUMMYFUNCTION("D328*GOOGLEFINANCE(""RUBKZT"")*1000/F328"),4578611.98598799)</f>
        <v>4578611.9859879902</v>
      </c>
      <c r="V328" s="27">
        <f t="shared" ca="1" si="270"/>
        <v>0.21221295824566355</v>
      </c>
    </row>
    <row r="329" spans="1:22" ht="12.75" customHeight="1" x14ac:dyDescent="0.2">
      <c r="A329" s="6" t="s">
        <v>28</v>
      </c>
      <c r="B329" s="6" t="s">
        <v>15</v>
      </c>
      <c r="C329" s="7">
        <v>110451</v>
      </c>
      <c r="D329" s="8">
        <v>125828.4</v>
      </c>
      <c r="E329" s="9" t="s">
        <v>16</v>
      </c>
      <c r="F329" s="23">
        <v>208</v>
      </c>
      <c r="G329" s="25"/>
      <c r="H329" s="14">
        <f t="shared" si="264"/>
        <v>0.55000000000000004</v>
      </c>
      <c r="I329" s="25">
        <f ca="1">IFERROR(__xludf.DUMMYFUNCTION("ROUND(D329*GOOGLEFINANCE(""RUBKZT"")*H329)"),540048)</f>
        <v>540048</v>
      </c>
      <c r="J329" s="26">
        <f ca="1">IFERROR(__xludf.DUMMYFUNCTION("ROUND(I329*GOOGLEFINANCE(""KZTEUR""))"),1131)</f>
        <v>1131</v>
      </c>
      <c r="K329" s="26">
        <f t="shared" ca="1" si="265"/>
        <v>5438</v>
      </c>
      <c r="L329" s="26">
        <f t="shared" ca="1" si="266"/>
        <v>1033.22</v>
      </c>
      <c r="M329" s="26">
        <f t="shared" ref="M329:N329" si="339">M$3</f>
        <v>500</v>
      </c>
      <c r="N329" s="26">
        <f t="shared" si="339"/>
        <v>500</v>
      </c>
      <c r="O329" s="26">
        <f ca="1">IFERROR(__xludf.DUMMYFUNCTION("ROUND(GOOGLEFINANCE(""Currency:EURKZT"")*K329)"),2597024)</f>
        <v>2597024</v>
      </c>
      <c r="P329" s="26">
        <f ca="1">IFERROR(__xludf.DUMMYFUNCTION("ROUND(GOOGLEFINANCE(""Currency:EURKZT"")*M329)"),238785)</f>
        <v>238785</v>
      </c>
      <c r="Q329" s="26">
        <f ca="1">IFERROR(__xludf.DUMMYFUNCTION("ROUND(GOOGLEFINANCE(""Currency:EURKZT"")*N329)"),238785)</f>
        <v>238785</v>
      </c>
      <c r="R329" s="26">
        <f t="shared" ca="1" si="268"/>
        <v>311643</v>
      </c>
      <c r="S329" s="26">
        <f t="shared" ca="1" si="269"/>
        <v>3386237</v>
      </c>
      <c r="T329" s="26">
        <f ca="1">IFERROR(__xludf.DUMMYFUNCTION("ROUND(GOOGLEFINANCE(""Currency:EURKZT"")*L329+S329)"),3879671)</f>
        <v>3879671</v>
      </c>
      <c r="U329" s="26">
        <f ca="1">IFERROR(__xludf.DUMMYFUNCTION("D329*GOOGLEFINANCE(""RUBKZT"")*1000/F329"),4720696.12899325)</f>
        <v>4720696.1289932504</v>
      </c>
      <c r="V329" s="27">
        <f t="shared" ca="1" si="270"/>
        <v>0.21677743524985763</v>
      </c>
    </row>
    <row r="330" spans="1:22" ht="12.75" customHeight="1" x14ac:dyDescent="0.2">
      <c r="A330" s="6" t="s">
        <v>29</v>
      </c>
      <c r="B330" s="6" t="s">
        <v>15</v>
      </c>
      <c r="C330" s="7">
        <v>110452</v>
      </c>
      <c r="D330" s="8">
        <v>128630.39999999999</v>
      </c>
      <c r="E330" s="9" t="s">
        <v>16</v>
      </c>
      <c r="F330" s="23">
        <v>208</v>
      </c>
      <c r="G330" s="25"/>
      <c r="H330" s="14">
        <f t="shared" si="264"/>
        <v>0.55000000000000004</v>
      </c>
      <c r="I330" s="25">
        <f ca="1">IFERROR(__xludf.DUMMYFUNCTION("ROUND(D330*GOOGLEFINANCE(""RUBKZT"")*H330)"),552074)</f>
        <v>552074</v>
      </c>
      <c r="J330" s="26">
        <f ca="1">IFERROR(__xludf.DUMMYFUNCTION("ROUND(I330*GOOGLEFINANCE(""KZTEUR""))"),1156)</f>
        <v>1156</v>
      </c>
      <c r="K330" s="26">
        <f t="shared" ca="1" si="265"/>
        <v>5558</v>
      </c>
      <c r="L330" s="26">
        <f t="shared" ca="1" si="266"/>
        <v>1056.02</v>
      </c>
      <c r="M330" s="26">
        <f t="shared" ref="M330:N330" si="340">M$3</f>
        <v>500</v>
      </c>
      <c r="N330" s="26">
        <f t="shared" si="340"/>
        <v>500</v>
      </c>
      <c r="O330" s="26">
        <f ca="1">IFERROR(__xludf.DUMMYFUNCTION("ROUND(GOOGLEFINANCE(""Currency:EURKZT"")*K330)"),2654332)</f>
        <v>2654332</v>
      </c>
      <c r="P330" s="26">
        <f ca="1">IFERROR(__xludf.DUMMYFUNCTION("ROUND(GOOGLEFINANCE(""Currency:EURKZT"")*M330)"),238785)</f>
        <v>238785</v>
      </c>
      <c r="Q330" s="26">
        <f ca="1">IFERROR(__xludf.DUMMYFUNCTION("ROUND(GOOGLEFINANCE(""Currency:EURKZT"")*N330)"),238785)</f>
        <v>238785</v>
      </c>
      <c r="R330" s="26">
        <f t="shared" ca="1" si="268"/>
        <v>318520</v>
      </c>
      <c r="S330" s="26">
        <f t="shared" ca="1" si="269"/>
        <v>3450422</v>
      </c>
      <c r="T330" s="26">
        <f ca="1">IFERROR(__xludf.DUMMYFUNCTION("ROUND(GOOGLEFINANCE(""Currency:EURKZT"")*L330+S330)"),3954745)</f>
        <v>3954745</v>
      </c>
      <c r="U330" s="26">
        <f ca="1">IFERROR(__xludf.DUMMYFUNCTION("D330*GOOGLEFINANCE(""RUBKZT"")*1000/F330"),4825818.58587452)</f>
        <v>4825818.5858745202</v>
      </c>
      <c r="V330" s="27">
        <f t="shared" ca="1" si="270"/>
        <v>0.22026036719801662</v>
      </c>
    </row>
    <row r="331" spans="1:22" ht="12.75" customHeight="1" x14ac:dyDescent="0.2">
      <c r="A331" s="6" t="s">
        <v>30</v>
      </c>
      <c r="B331" s="6" t="s">
        <v>15</v>
      </c>
      <c r="C331" s="7">
        <v>110454</v>
      </c>
      <c r="D331" s="8">
        <v>131360.4</v>
      </c>
      <c r="E331" s="9" t="s">
        <v>16</v>
      </c>
      <c r="F331" s="23">
        <v>208</v>
      </c>
      <c r="G331" s="25"/>
      <c r="H331" s="14">
        <f t="shared" si="264"/>
        <v>0.55000000000000004</v>
      </c>
      <c r="I331" s="25">
        <f ca="1">IFERROR(__xludf.DUMMYFUNCTION("ROUND(D331*GOOGLEFINANCE(""RUBKZT"")*H331)"),563791)</f>
        <v>563791</v>
      </c>
      <c r="J331" s="26">
        <f ca="1">IFERROR(__xludf.DUMMYFUNCTION("ROUND(I331*GOOGLEFINANCE(""KZTEUR""))"),1181)</f>
        <v>1181</v>
      </c>
      <c r="K331" s="26">
        <f t="shared" ca="1" si="265"/>
        <v>5678</v>
      </c>
      <c r="L331" s="26">
        <f t="shared" ca="1" si="266"/>
        <v>1078.82</v>
      </c>
      <c r="M331" s="26">
        <f t="shared" ref="M331:N331" si="341">M$3</f>
        <v>500</v>
      </c>
      <c r="N331" s="26">
        <f t="shared" si="341"/>
        <v>500</v>
      </c>
      <c r="O331" s="26">
        <f ca="1">IFERROR(__xludf.DUMMYFUNCTION("ROUND(GOOGLEFINANCE(""Currency:EURKZT"")*K331)"),2711640)</f>
        <v>2711640</v>
      </c>
      <c r="P331" s="26">
        <f ca="1">IFERROR(__xludf.DUMMYFUNCTION("ROUND(GOOGLEFINANCE(""Currency:EURKZT"")*M331)"),238785)</f>
        <v>238785</v>
      </c>
      <c r="Q331" s="26">
        <f ca="1">IFERROR(__xludf.DUMMYFUNCTION("ROUND(GOOGLEFINANCE(""Currency:EURKZT"")*N331)"),238785)</f>
        <v>238785</v>
      </c>
      <c r="R331" s="26">
        <f t="shared" ca="1" si="268"/>
        <v>325397</v>
      </c>
      <c r="S331" s="26">
        <f t="shared" ca="1" si="269"/>
        <v>3514607</v>
      </c>
      <c r="T331" s="26">
        <f ca="1">IFERROR(__xludf.DUMMYFUNCTION("ROUND(GOOGLEFINANCE(""Currency:EURKZT"")*L331+S331)"),4029819)</f>
        <v>4029819</v>
      </c>
      <c r="U331" s="26">
        <f ca="1">IFERROR(__xludf.DUMMYFUNCTION("D331*GOOGLEFINANCE(""RUBKZT"")*1000/F331"),4928239.82330702)</f>
        <v>4928239.8233070197</v>
      </c>
      <c r="V331" s="27">
        <f t="shared" ca="1" si="270"/>
        <v>0.22294321985851465</v>
      </c>
    </row>
    <row r="332" spans="1:22" ht="12.75" customHeight="1" x14ac:dyDescent="0.2">
      <c r="A332" s="6" t="s">
        <v>31</v>
      </c>
      <c r="B332" s="6" t="s">
        <v>15</v>
      </c>
      <c r="C332" s="7">
        <v>110468</v>
      </c>
      <c r="D332" s="8">
        <v>97052.4</v>
      </c>
      <c r="E332" s="9" t="s">
        <v>16</v>
      </c>
      <c r="F332" s="23">
        <v>208</v>
      </c>
      <c r="G332" s="25"/>
      <c r="H332" s="14">
        <f t="shared" si="264"/>
        <v>0.55000000000000004</v>
      </c>
      <c r="I332" s="25">
        <f ca="1">IFERROR(__xludf.DUMMYFUNCTION("ROUND(D332*GOOGLEFINANCE(""RUBKZT"")*H332)"),416543)</f>
        <v>416543</v>
      </c>
      <c r="J332" s="26">
        <f ca="1">IFERROR(__xludf.DUMMYFUNCTION("ROUND(I332*GOOGLEFINANCE(""KZTEUR""))"),872)</f>
        <v>872</v>
      </c>
      <c r="K332" s="26">
        <f t="shared" ca="1" si="265"/>
        <v>4192</v>
      </c>
      <c r="L332" s="26">
        <f t="shared" ca="1" si="266"/>
        <v>796.48</v>
      </c>
      <c r="M332" s="26">
        <f t="shared" ref="M332:N332" si="342">M$3</f>
        <v>500</v>
      </c>
      <c r="N332" s="26">
        <f t="shared" si="342"/>
        <v>500</v>
      </c>
      <c r="O332" s="26">
        <f ca="1">IFERROR(__xludf.DUMMYFUNCTION("ROUND(GOOGLEFINANCE(""Currency:EURKZT"")*K332)"),2001972)</f>
        <v>2001972</v>
      </c>
      <c r="P332" s="26">
        <f ca="1">IFERROR(__xludf.DUMMYFUNCTION("ROUND(GOOGLEFINANCE(""Currency:EURKZT"")*M332)"),238785)</f>
        <v>238785</v>
      </c>
      <c r="Q332" s="26">
        <f ca="1">IFERROR(__xludf.DUMMYFUNCTION("ROUND(GOOGLEFINANCE(""Currency:EURKZT"")*N332)"),238785)</f>
        <v>238785</v>
      </c>
      <c r="R332" s="26">
        <f t="shared" ca="1" si="268"/>
        <v>240237</v>
      </c>
      <c r="S332" s="26">
        <f t="shared" ca="1" si="269"/>
        <v>2719779</v>
      </c>
      <c r="T332" s="26">
        <f ca="1">IFERROR(__xludf.DUMMYFUNCTION("ROUND(GOOGLEFINANCE(""Currency:EURKZT"")*L332+S332)"),3100154)</f>
        <v>3100154</v>
      </c>
      <c r="U332" s="26">
        <f ca="1">IFERROR(__xludf.DUMMYFUNCTION("D332*GOOGLEFINANCE(""RUBKZT"")*1000/F332"),3641108.75596848)</f>
        <v>3641108.7559684799</v>
      </c>
      <c r="V332" s="27">
        <f t="shared" ca="1" si="270"/>
        <v>0.17449286582811044</v>
      </c>
    </row>
    <row r="333" spans="1:22" ht="12.75" customHeight="1" x14ac:dyDescent="0.2">
      <c r="A333" s="6" t="s">
        <v>33</v>
      </c>
      <c r="B333" s="6" t="s">
        <v>15</v>
      </c>
      <c r="C333" s="7">
        <v>110471</v>
      </c>
      <c r="D333" s="8">
        <v>96885.599999999991</v>
      </c>
      <c r="E333" s="9" t="s">
        <v>16</v>
      </c>
      <c r="F333" s="23">
        <v>208</v>
      </c>
      <c r="G333" s="25"/>
      <c r="H333" s="14">
        <f t="shared" si="264"/>
        <v>0.55000000000000004</v>
      </c>
      <c r="I333" s="25">
        <f ca="1">IFERROR(__xludf.DUMMYFUNCTION("ROUND(D333*GOOGLEFINANCE(""RUBKZT"")*H333)"),415827)</f>
        <v>415827</v>
      </c>
      <c r="J333" s="26">
        <f ca="1">IFERROR(__xludf.DUMMYFUNCTION("ROUND(I333*GOOGLEFINANCE(""KZTEUR""))"),871)</f>
        <v>871</v>
      </c>
      <c r="K333" s="26">
        <f t="shared" ca="1" si="265"/>
        <v>4188</v>
      </c>
      <c r="L333" s="26">
        <f t="shared" ca="1" si="266"/>
        <v>795.72</v>
      </c>
      <c r="M333" s="26">
        <f t="shared" ref="M333:N333" si="343">M$3</f>
        <v>500</v>
      </c>
      <c r="N333" s="26">
        <f t="shared" si="343"/>
        <v>500</v>
      </c>
      <c r="O333" s="26">
        <f ca="1">IFERROR(__xludf.DUMMYFUNCTION("ROUND(GOOGLEFINANCE(""Currency:EURKZT"")*K333)"),2000062)</f>
        <v>2000062</v>
      </c>
      <c r="P333" s="26">
        <f ca="1">IFERROR(__xludf.DUMMYFUNCTION("ROUND(GOOGLEFINANCE(""Currency:EURKZT"")*M333)"),238785)</f>
        <v>238785</v>
      </c>
      <c r="Q333" s="26">
        <f ca="1">IFERROR(__xludf.DUMMYFUNCTION("ROUND(GOOGLEFINANCE(""Currency:EURKZT"")*N333)"),238785)</f>
        <v>238785</v>
      </c>
      <c r="R333" s="26">
        <f t="shared" ca="1" si="268"/>
        <v>240007</v>
      </c>
      <c r="S333" s="26">
        <f t="shared" ca="1" si="269"/>
        <v>2717639</v>
      </c>
      <c r="T333" s="26">
        <f ca="1">IFERROR(__xludf.DUMMYFUNCTION("ROUND(GOOGLEFINANCE(""Currency:EURKZT"")*L333+S333)"),3097651)</f>
        <v>3097651</v>
      </c>
      <c r="U333" s="26">
        <f ca="1">IFERROR(__xludf.DUMMYFUNCTION("D333*GOOGLEFINANCE(""RUBKZT"")*1000/F333"),3634850.93091216)</f>
        <v>3634850.9309121598</v>
      </c>
      <c r="V333" s="27">
        <f t="shared" ca="1" si="270"/>
        <v>0.17342170919582608</v>
      </c>
    </row>
    <row r="334" spans="1:22" ht="12.75" customHeight="1" x14ac:dyDescent="0.2">
      <c r="A334" s="6" t="s">
        <v>34</v>
      </c>
      <c r="B334" s="6" t="s">
        <v>15</v>
      </c>
      <c r="C334" s="7">
        <v>110473</v>
      </c>
      <c r="D334" s="8">
        <v>92440.8</v>
      </c>
      <c r="E334" s="9" t="s">
        <v>16</v>
      </c>
      <c r="F334" s="23">
        <v>208</v>
      </c>
      <c r="G334" s="25"/>
      <c r="H334" s="14">
        <f t="shared" si="264"/>
        <v>0.55000000000000004</v>
      </c>
      <c r="I334" s="25">
        <f ca="1">IFERROR(__xludf.DUMMYFUNCTION("ROUND(D334*GOOGLEFINANCE(""RUBKZT"")*H334)"),396750)</f>
        <v>396750</v>
      </c>
      <c r="J334" s="26">
        <f ca="1">IFERROR(__xludf.DUMMYFUNCTION("ROUND(I334*GOOGLEFINANCE(""KZTEUR""))"),831)</f>
        <v>831</v>
      </c>
      <c r="K334" s="26">
        <f t="shared" ca="1" si="265"/>
        <v>3995</v>
      </c>
      <c r="L334" s="26">
        <f t="shared" ca="1" si="266"/>
        <v>759.05</v>
      </c>
      <c r="M334" s="26">
        <f t="shared" ref="M334:N334" si="344">M$3</f>
        <v>500</v>
      </c>
      <c r="N334" s="26">
        <f t="shared" si="344"/>
        <v>500</v>
      </c>
      <c r="O334" s="26">
        <f ca="1">IFERROR(__xludf.DUMMYFUNCTION("ROUND(GOOGLEFINANCE(""Currency:EURKZT"")*K334)"),1907891)</f>
        <v>1907891</v>
      </c>
      <c r="P334" s="26">
        <f ca="1">IFERROR(__xludf.DUMMYFUNCTION("ROUND(GOOGLEFINANCE(""Currency:EURKZT"")*M334)"),238785)</f>
        <v>238785</v>
      </c>
      <c r="Q334" s="26">
        <f ca="1">IFERROR(__xludf.DUMMYFUNCTION("ROUND(GOOGLEFINANCE(""Currency:EURKZT"")*N334)"),238785)</f>
        <v>238785</v>
      </c>
      <c r="R334" s="26">
        <f t="shared" ca="1" si="268"/>
        <v>228947</v>
      </c>
      <c r="S334" s="26">
        <f t="shared" ca="1" si="269"/>
        <v>2614408</v>
      </c>
      <c r="T334" s="26">
        <f ca="1">IFERROR(__xludf.DUMMYFUNCTION("ROUND(GOOGLEFINANCE(""Currency:EURKZT"")*L334+S334)"),2976907)</f>
        <v>2976907</v>
      </c>
      <c r="U334" s="26">
        <f ca="1">IFERROR(__xludf.DUMMYFUNCTION("D334*GOOGLEFINANCE(""RUBKZT"")*1000/F334"),3468095.65027481)</f>
        <v>3468095.6502748099</v>
      </c>
      <c r="V334" s="27">
        <f t="shared" ca="1" si="270"/>
        <v>0.16499966249359146</v>
      </c>
    </row>
    <row r="335" spans="1:22" ht="12.75" customHeight="1" x14ac:dyDescent="0.2">
      <c r="A335" s="6" t="s">
        <v>35</v>
      </c>
      <c r="B335" s="6" t="s">
        <v>15</v>
      </c>
      <c r="C335" s="7">
        <v>110474</v>
      </c>
      <c r="D335" s="8">
        <v>87324</v>
      </c>
      <c r="E335" s="9" t="s">
        <v>16</v>
      </c>
      <c r="F335" s="23">
        <v>208</v>
      </c>
      <c r="G335" s="25"/>
      <c r="H335" s="14">
        <f t="shared" si="264"/>
        <v>0.55000000000000004</v>
      </c>
      <c r="I335" s="25">
        <f ca="1">IFERROR(__xludf.DUMMYFUNCTION("ROUND(D335*GOOGLEFINANCE(""RUBKZT"")*H335)"),374789)</f>
        <v>374789</v>
      </c>
      <c r="J335" s="26">
        <f ca="1">IFERROR(__xludf.DUMMYFUNCTION("ROUND(I335*GOOGLEFINANCE(""KZTEUR""))"),785)</f>
        <v>785</v>
      </c>
      <c r="K335" s="26">
        <f t="shared" ca="1" si="265"/>
        <v>3774</v>
      </c>
      <c r="L335" s="26">
        <f t="shared" ca="1" si="266"/>
        <v>717.06000000000006</v>
      </c>
      <c r="M335" s="26">
        <f t="shared" ref="M335:N335" si="345">M$3</f>
        <v>500</v>
      </c>
      <c r="N335" s="26">
        <f t="shared" si="345"/>
        <v>500</v>
      </c>
      <c r="O335" s="26">
        <f ca="1">IFERROR(__xludf.DUMMYFUNCTION("ROUND(GOOGLEFINANCE(""Currency:EURKZT"")*K335)"),1802348)</f>
        <v>1802348</v>
      </c>
      <c r="P335" s="26">
        <f ca="1">IFERROR(__xludf.DUMMYFUNCTION("ROUND(GOOGLEFINANCE(""Currency:EURKZT"")*M335)"),238785)</f>
        <v>238785</v>
      </c>
      <c r="Q335" s="26">
        <f ca="1">IFERROR(__xludf.DUMMYFUNCTION("ROUND(GOOGLEFINANCE(""Currency:EURKZT"")*N335)"),238785)</f>
        <v>238785</v>
      </c>
      <c r="R335" s="26">
        <f t="shared" ca="1" si="268"/>
        <v>216282</v>
      </c>
      <c r="S335" s="26">
        <f t="shared" ca="1" si="269"/>
        <v>2496200</v>
      </c>
      <c r="T335" s="26">
        <f ca="1">IFERROR(__xludf.DUMMYFUNCTION("ROUND(GOOGLEFINANCE(""Currency:EURKZT"")*L335+S335)"),2838646)</f>
        <v>2838646</v>
      </c>
      <c r="U335" s="26">
        <f ca="1">IFERROR(__xludf.DUMMYFUNCTION("D335*GOOGLEFINANCE(""RUBKZT"")*1000/F335"),3276128.98811561)</f>
        <v>3276128.9881156101</v>
      </c>
      <c r="V335" s="27">
        <f t="shared" ca="1" si="270"/>
        <v>0.15411678247855143</v>
      </c>
    </row>
    <row r="336" spans="1:22" ht="12.75" customHeight="1" x14ac:dyDescent="0.2">
      <c r="A336" s="6" t="s">
        <v>36</v>
      </c>
      <c r="B336" s="6" t="s">
        <v>15</v>
      </c>
      <c r="C336" s="7">
        <v>110477</v>
      </c>
      <c r="D336" s="8">
        <v>84873.599999999991</v>
      </c>
      <c r="E336" s="9" t="s">
        <v>16</v>
      </c>
      <c r="F336" s="23">
        <v>208</v>
      </c>
      <c r="G336" s="25"/>
      <c r="H336" s="14">
        <f t="shared" si="264"/>
        <v>0.55000000000000004</v>
      </c>
      <c r="I336" s="25">
        <f ca="1">IFERROR(__xludf.DUMMYFUNCTION("ROUND(D336*GOOGLEFINANCE(""RUBKZT"")*H336)"),364272)</f>
        <v>364272</v>
      </c>
      <c r="J336" s="26">
        <f ca="1">IFERROR(__xludf.DUMMYFUNCTION("ROUND(I336*GOOGLEFINANCE(""KZTEUR""))"),763)</f>
        <v>763</v>
      </c>
      <c r="K336" s="26">
        <f t="shared" ca="1" si="265"/>
        <v>3668</v>
      </c>
      <c r="L336" s="26">
        <f t="shared" ca="1" si="266"/>
        <v>696.92</v>
      </c>
      <c r="M336" s="26">
        <f t="shared" ref="M336:N336" si="346">M$3</f>
        <v>500</v>
      </c>
      <c r="N336" s="26">
        <f t="shared" si="346"/>
        <v>500</v>
      </c>
      <c r="O336" s="26">
        <f ca="1">IFERROR(__xludf.DUMMYFUNCTION("ROUND(GOOGLEFINANCE(""Currency:EURKZT"")*K336)"),1751725)</f>
        <v>1751725</v>
      </c>
      <c r="P336" s="26">
        <f ca="1">IFERROR(__xludf.DUMMYFUNCTION("ROUND(GOOGLEFINANCE(""Currency:EURKZT"")*M336)"),238785)</f>
        <v>238785</v>
      </c>
      <c r="Q336" s="26">
        <f ca="1">IFERROR(__xludf.DUMMYFUNCTION("ROUND(GOOGLEFINANCE(""Currency:EURKZT"")*N336)"),238785)</f>
        <v>238785</v>
      </c>
      <c r="R336" s="26">
        <f t="shared" ca="1" si="268"/>
        <v>210207</v>
      </c>
      <c r="S336" s="26">
        <f t="shared" ca="1" si="269"/>
        <v>2439502</v>
      </c>
      <c r="T336" s="26">
        <f ca="1">IFERROR(__xludf.DUMMYFUNCTION("ROUND(GOOGLEFINANCE(""Currency:EURKZT"")*L336+S336)"),2772330)</f>
        <v>2772330</v>
      </c>
      <c r="U336" s="26">
        <f ca="1">IFERROR(__xludf.DUMMYFUNCTION("D336*GOOGLEFINANCE(""RUBKZT"")*1000/F336"),3184197.48620916)</f>
        <v>3184197.4862091602</v>
      </c>
      <c r="V336" s="27">
        <f t="shared" ca="1" si="270"/>
        <v>0.14856365808152716</v>
      </c>
    </row>
    <row r="337" spans="1:22" ht="12.75" customHeight="1" x14ac:dyDescent="0.2">
      <c r="A337" s="6" t="s">
        <v>37</v>
      </c>
      <c r="B337" s="6" t="s">
        <v>15</v>
      </c>
      <c r="C337" s="7">
        <v>110480</v>
      </c>
      <c r="D337" s="8">
        <v>86988</v>
      </c>
      <c r="E337" s="9" t="s">
        <v>16</v>
      </c>
      <c r="F337" s="23">
        <v>208</v>
      </c>
      <c r="G337" s="25"/>
      <c r="H337" s="14">
        <f t="shared" si="264"/>
        <v>0.55000000000000004</v>
      </c>
      <c r="I337" s="25">
        <f ca="1">IFERROR(__xludf.DUMMYFUNCTION("ROUND(D337*GOOGLEFINANCE(""RUBKZT"")*H337)"),373347)</f>
        <v>373347</v>
      </c>
      <c r="J337" s="26">
        <f ca="1">IFERROR(__xludf.DUMMYFUNCTION("ROUND(I337*GOOGLEFINANCE(""KZTEUR""))"),782)</f>
        <v>782</v>
      </c>
      <c r="K337" s="26">
        <f t="shared" ca="1" si="265"/>
        <v>3760</v>
      </c>
      <c r="L337" s="26">
        <f t="shared" ca="1" si="266"/>
        <v>714.4</v>
      </c>
      <c r="M337" s="26">
        <f t="shared" ref="M337:N337" si="347">M$3</f>
        <v>500</v>
      </c>
      <c r="N337" s="26">
        <f t="shared" si="347"/>
        <v>500</v>
      </c>
      <c r="O337" s="26">
        <f ca="1">IFERROR(__xludf.DUMMYFUNCTION("ROUND(GOOGLEFINANCE(""Currency:EURKZT"")*K337)"),1795662)</f>
        <v>1795662</v>
      </c>
      <c r="P337" s="26">
        <f ca="1">IFERROR(__xludf.DUMMYFUNCTION("ROUND(GOOGLEFINANCE(""Currency:EURKZT"")*M337)"),238785)</f>
        <v>238785</v>
      </c>
      <c r="Q337" s="26">
        <f ca="1">IFERROR(__xludf.DUMMYFUNCTION("ROUND(GOOGLEFINANCE(""Currency:EURKZT"")*N337)"),238785)</f>
        <v>238785</v>
      </c>
      <c r="R337" s="26">
        <f t="shared" ca="1" si="268"/>
        <v>215479</v>
      </c>
      <c r="S337" s="26">
        <f t="shared" ca="1" si="269"/>
        <v>2488711</v>
      </c>
      <c r="T337" s="26">
        <f ca="1">IFERROR(__xludf.DUMMYFUNCTION("ROUND(GOOGLEFINANCE(""Currency:EURKZT"")*L337+S337)"),2829887)</f>
        <v>2829887</v>
      </c>
      <c r="U337" s="26">
        <f ca="1">IFERROR(__xludf.DUMMYFUNCTION("D337*GOOGLEFINANCE(""RUBKZT"")*1000/F337"),3263523.29735469)</f>
        <v>3263523.2973546898</v>
      </c>
      <c r="V337" s="27">
        <f t="shared" ca="1" si="270"/>
        <v>0.15323449217395951</v>
      </c>
    </row>
    <row r="338" spans="1:22" ht="12.75" customHeight="1" x14ac:dyDescent="0.2">
      <c r="A338" s="6" t="s">
        <v>38</v>
      </c>
      <c r="B338" s="6" t="s">
        <v>15</v>
      </c>
      <c r="C338" s="7">
        <v>110483</v>
      </c>
      <c r="D338" s="8">
        <v>102211.2</v>
      </c>
      <c r="E338" s="9" t="s">
        <v>16</v>
      </c>
      <c r="F338" s="23">
        <v>208</v>
      </c>
      <c r="G338" s="25"/>
      <c r="H338" s="14">
        <f t="shared" si="264"/>
        <v>0.55000000000000004</v>
      </c>
      <c r="I338" s="25">
        <f ca="1">IFERROR(__xludf.DUMMYFUNCTION("ROUND(D338*GOOGLEFINANCE(""RUBKZT"")*H338)"),438684)</f>
        <v>438684</v>
      </c>
      <c r="J338" s="26">
        <f ca="1">IFERROR(__xludf.DUMMYFUNCTION("ROUND(I338*GOOGLEFINANCE(""KZTEUR""))"),919)</f>
        <v>919</v>
      </c>
      <c r="K338" s="26">
        <f t="shared" ca="1" si="265"/>
        <v>4418</v>
      </c>
      <c r="L338" s="26">
        <f t="shared" ca="1" si="266"/>
        <v>839.42</v>
      </c>
      <c r="M338" s="26">
        <f t="shared" ref="M338:N338" si="348">M$3</f>
        <v>500</v>
      </c>
      <c r="N338" s="26">
        <f t="shared" si="348"/>
        <v>500</v>
      </c>
      <c r="O338" s="26">
        <f ca="1">IFERROR(__xludf.DUMMYFUNCTION("ROUND(GOOGLEFINANCE(""Currency:EURKZT"")*K338)"),2109903)</f>
        <v>2109903</v>
      </c>
      <c r="P338" s="26">
        <f ca="1">IFERROR(__xludf.DUMMYFUNCTION("ROUND(GOOGLEFINANCE(""Currency:EURKZT"")*M338)"),238785)</f>
        <v>238785</v>
      </c>
      <c r="Q338" s="26">
        <f ca="1">IFERROR(__xludf.DUMMYFUNCTION("ROUND(GOOGLEFINANCE(""Currency:EURKZT"")*N338)"),238785)</f>
        <v>238785</v>
      </c>
      <c r="R338" s="26">
        <f t="shared" ca="1" si="268"/>
        <v>253188</v>
      </c>
      <c r="S338" s="26">
        <f t="shared" ca="1" si="269"/>
        <v>2840661</v>
      </c>
      <c r="T338" s="26">
        <f ca="1">IFERROR(__xludf.DUMMYFUNCTION("ROUND(GOOGLEFINANCE(""Currency:EURKZT"")*L338+S338)"),3241542)</f>
        <v>3241542</v>
      </c>
      <c r="U338" s="26">
        <f ca="1">IFERROR(__xludf.DUMMYFUNCTION("D338*GOOGLEFINANCE(""RUBKZT"")*1000/F338"),3834651.12947279)</f>
        <v>3834651.1294727898</v>
      </c>
      <c r="V338" s="27">
        <f t="shared" ca="1" si="270"/>
        <v>0.18297129251226418</v>
      </c>
    </row>
    <row r="339" spans="1:22" ht="12.75" customHeight="1" x14ac:dyDescent="0.2">
      <c r="A339" s="6" t="s">
        <v>39</v>
      </c>
      <c r="B339" s="6" t="s">
        <v>15</v>
      </c>
      <c r="C339" s="7">
        <v>110486</v>
      </c>
      <c r="D339" s="8">
        <v>106150.8</v>
      </c>
      <c r="E339" s="9" t="s">
        <v>16</v>
      </c>
      <c r="F339" s="23">
        <v>208</v>
      </c>
      <c r="G339" s="25"/>
      <c r="H339" s="14">
        <f t="shared" si="264"/>
        <v>0.55000000000000004</v>
      </c>
      <c r="I339" s="25">
        <f ca="1">IFERROR(__xludf.DUMMYFUNCTION("ROUND(D339*GOOGLEFINANCE(""RUBKZT"")*H339)"),455593)</f>
        <v>455593</v>
      </c>
      <c r="J339" s="26">
        <f ca="1">IFERROR(__xludf.DUMMYFUNCTION("ROUND(I339*GOOGLEFINANCE(""KZTEUR""))"),954)</f>
        <v>954</v>
      </c>
      <c r="K339" s="26">
        <f t="shared" ca="1" si="265"/>
        <v>4587</v>
      </c>
      <c r="L339" s="26">
        <f t="shared" ca="1" si="266"/>
        <v>871.53</v>
      </c>
      <c r="M339" s="26">
        <f t="shared" ref="M339:N339" si="349">M$3</f>
        <v>500</v>
      </c>
      <c r="N339" s="26">
        <f t="shared" si="349"/>
        <v>500</v>
      </c>
      <c r="O339" s="26">
        <f ca="1">IFERROR(__xludf.DUMMYFUNCTION("ROUND(GOOGLEFINANCE(""Currency:EURKZT"")*K339)"),2190612)</f>
        <v>2190612</v>
      </c>
      <c r="P339" s="26">
        <f ca="1">IFERROR(__xludf.DUMMYFUNCTION("ROUND(GOOGLEFINANCE(""Currency:EURKZT"")*M339)"),238785)</f>
        <v>238785</v>
      </c>
      <c r="Q339" s="26">
        <f ca="1">IFERROR(__xludf.DUMMYFUNCTION("ROUND(GOOGLEFINANCE(""Currency:EURKZT"")*N339)"),238785)</f>
        <v>238785</v>
      </c>
      <c r="R339" s="26">
        <f t="shared" ca="1" si="268"/>
        <v>262873</v>
      </c>
      <c r="S339" s="26">
        <f t="shared" ca="1" si="269"/>
        <v>2931055</v>
      </c>
      <c r="T339" s="26">
        <f ca="1">IFERROR(__xludf.DUMMYFUNCTION("ROUND(GOOGLEFINANCE(""Currency:EURKZT"")*L339+S339)"),3347271)</f>
        <v>3347271</v>
      </c>
      <c r="U339" s="26">
        <f ca="1">IFERROR(__xludf.DUMMYFUNCTION("D339*GOOGLEFINANCE(""RUBKZT"")*1000/F339"),3982452.85364462)</f>
        <v>3982452.8536446202</v>
      </c>
      <c r="V339" s="27">
        <f t="shared" ca="1" si="270"/>
        <v>0.18976110797262014</v>
      </c>
    </row>
    <row r="340" spans="1:22" ht="12.75" customHeight="1" x14ac:dyDescent="0.2">
      <c r="A340" s="6" t="s">
        <v>40</v>
      </c>
      <c r="B340" s="6" t="s">
        <v>15</v>
      </c>
      <c r="C340" s="7">
        <v>110489</v>
      </c>
      <c r="D340" s="8">
        <v>108196.8</v>
      </c>
      <c r="E340" s="9" t="s">
        <v>16</v>
      </c>
      <c r="F340" s="23">
        <v>208</v>
      </c>
      <c r="G340" s="25"/>
      <c r="H340" s="14">
        <f t="shared" si="264"/>
        <v>0.55000000000000004</v>
      </c>
      <c r="I340" s="25">
        <f ca="1">IFERROR(__xludf.DUMMYFUNCTION("ROUND(D340*GOOGLEFINANCE(""RUBKZT"")*H340)"),464374)</f>
        <v>464374</v>
      </c>
      <c r="J340" s="26">
        <f ca="1">IFERROR(__xludf.DUMMYFUNCTION("ROUND(I340*GOOGLEFINANCE(""KZTEUR""))"),973)</f>
        <v>973</v>
      </c>
      <c r="K340" s="26">
        <f t="shared" ca="1" si="265"/>
        <v>4678</v>
      </c>
      <c r="L340" s="26">
        <f t="shared" ca="1" si="266"/>
        <v>888.82</v>
      </c>
      <c r="M340" s="26">
        <f t="shared" ref="M340:N340" si="350">M$3</f>
        <v>500</v>
      </c>
      <c r="N340" s="26">
        <f t="shared" si="350"/>
        <v>500</v>
      </c>
      <c r="O340" s="26">
        <f ca="1">IFERROR(__xludf.DUMMYFUNCTION("ROUND(GOOGLEFINANCE(""Currency:EURKZT"")*K340)"),2234071)</f>
        <v>2234071</v>
      </c>
      <c r="P340" s="26">
        <f ca="1">IFERROR(__xludf.DUMMYFUNCTION("ROUND(GOOGLEFINANCE(""Currency:EURKZT"")*M340)"),238785)</f>
        <v>238785</v>
      </c>
      <c r="Q340" s="26">
        <f ca="1">IFERROR(__xludf.DUMMYFUNCTION("ROUND(GOOGLEFINANCE(""Currency:EURKZT"")*N340)"),238785)</f>
        <v>238785</v>
      </c>
      <c r="R340" s="26">
        <f t="shared" ca="1" si="268"/>
        <v>268089</v>
      </c>
      <c r="S340" s="26">
        <f t="shared" ca="1" si="269"/>
        <v>2979730</v>
      </c>
      <c r="T340" s="26">
        <f ca="1">IFERROR(__xludf.DUMMYFUNCTION("ROUND(GOOGLEFINANCE(""Currency:EURKZT"")*L340+S340)"),3404203)</f>
        <v>3404203</v>
      </c>
      <c r="U340" s="26">
        <f ca="1">IFERROR(__xludf.DUMMYFUNCTION("D340*GOOGLEFINANCE(""RUBKZT"")*1000/F340"),4059212.50631381)</f>
        <v>4059212.5063138101</v>
      </c>
      <c r="V340" s="27">
        <f t="shared" ca="1" si="270"/>
        <v>0.19241199961160074</v>
      </c>
    </row>
    <row r="341" spans="1:22" ht="12.75" customHeight="1" x14ac:dyDescent="0.2">
      <c r="A341" s="6" t="s">
        <v>41</v>
      </c>
      <c r="B341" s="6" t="s">
        <v>15</v>
      </c>
      <c r="C341" s="7">
        <v>110492</v>
      </c>
      <c r="D341" s="8">
        <v>105026.4</v>
      </c>
      <c r="E341" s="9" t="s">
        <v>16</v>
      </c>
      <c r="F341" s="23">
        <v>208</v>
      </c>
      <c r="G341" s="25"/>
      <c r="H341" s="14">
        <f t="shared" si="264"/>
        <v>0.55000000000000004</v>
      </c>
      <c r="I341" s="25">
        <f ca="1">IFERROR(__xludf.DUMMYFUNCTION("ROUND(D341*GOOGLEFINANCE(""RUBKZT"")*H341)"),450767)</f>
        <v>450767</v>
      </c>
      <c r="J341" s="26">
        <f ca="1">IFERROR(__xludf.DUMMYFUNCTION("ROUND(I341*GOOGLEFINANCE(""KZTEUR""))"),944)</f>
        <v>944</v>
      </c>
      <c r="K341" s="26">
        <f t="shared" ca="1" si="265"/>
        <v>4538</v>
      </c>
      <c r="L341" s="26">
        <f t="shared" ca="1" si="266"/>
        <v>862.22</v>
      </c>
      <c r="M341" s="26">
        <f t="shared" ref="M341:N341" si="351">M$3</f>
        <v>500</v>
      </c>
      <c r="N341" s="26">
        <f t="shared" si="351"/>
        <v>500</v>
      </c>
      <c r="O341" s="26">
        <f ca="1">IFERROR(__xludf.DUMMYFUNCTION("ROUND(GOOGLEFINANCE(""Currency:EURKZT"")*K341)"),2167211)</f>
        <v>2167211</v>
      </c>
      <c r="P341" s="26">
        <f ca="1">IFERROR(__xludf.DUMMYFUNCTION("ROUND(GOOGLEFINANCE(""Currency:EURKZT"")*M341)"),238785)</f>
        <v>238785</v>
      </c>
      <c r="Q341" s="26">
        <f ca="1">IFERROR(__xludf.DUMMYFUNCTION("ROUND(GOOGLEFINANCE(""Currency:EURKZT"")*N341)"),238785)</f>
        <v>238785</v>
      </c>
      <c r="R341" s="26">
        <f t="shared" ca="1" si="268"/>
        <v>260065</v>
      </c>
      <c r="S341" s="26">
        <f t="shared" ca="1" si="269"/>
        <v>2904846</v>
      </c>
      <c r="T341" s="26">
        <f ca="1">IFERROR(__xludf.DUMMYFUNCTION("ROUND(GOOGLEFINANCE(""Currency:EURKZT"")*L341+S341)"),3316616)</f>
        <v>3316616</v>
      </c>
      <c r="U341" s="26">
        <f ca="1">IFERROR(__xludf.DUMMYFUNCTION("D341*GOOGLEFINANCE(""RUBKZT"")*1000/F341"),3940268.80991967)</f>
        <v>3940268.8099196702</v>
      </c>
      <c r="V341" s="27">
        <f t="shared" ca="1" si="270"/>
        <v>0.1880388956453416</v>
      </c>
    </row>
    <row r="342" spans="1:22" ht="12.75" customHeight="1" x14ac:dyDescent="0.2">
      <c r="A342" s="6" t="s">
        <v>42</v>
      </c>
      <c r="B342" s="6" t="s">
        <v>15</v>
      </c>
      <c r="C342" s="7">
        <v>110494</v>
      </c>
      <c r="D342" s="8">
        <v>107835.59999999999</v>
      </c>
      <c r="E342" s="9" t="s">
        <v>16</v>
      </c>
      <c r="F342" s="23">
        <v>208</v>
      </c>
      <c r="G342" s="25"/>
      <c r="H342" s="14">
        <f t="shared" si="264"/>
        <v>0.55000000000000004</v>
      </c>
      <c r="I342" s="25">
        <f ca="1">IFERROR(__xludf.DUMMYFUNCTION("ROUND(D342*GOOGLEFINANCE(""RUBKZT"")*H342)"),462824)</f>
        <v>462824</v>
      </c>
      <c r="J342" s="26">
        <f ca="1">IFERROR(__xludf.DUMMYFUNCTION("ROUND(I342*GOOGLEFINANCE(""KZTEUR""))"),969)</f>
        <v>969</v>
      </c>
      <c r="K342" s="26">
        <f t="shared" ca="1" si="265"/>
        <v>4659</v>
      </c>
      <c r="L342" s="26">
        <f t="shared" ca="1" si="266"/>
        <v>885.21</v>
      </c>
      <c r="M342" s="26">
        <f t="shared" ref="M342:N342" si="352">M$3</f>
        <v>500</v>
      </c>
      <c r="N342" s="26">
        <f t="shared" si="352"/>
        <v>500</v>
      </c>
      <c r="O342" s="26">
        <f ca="1">IFERROR(__xludf.DUMMYFUNCTION("ROUND(GOOGLEFINANCE(""Currency:EURKZT"")*K342)"),2224997)</f>
        <v>2224997</v>
      </c>
      <c r="P342" s="26">
        <f ca="1">IFERROR(__xludf.DUMMYFUNCTION("ROUND(GOOGLEFINANCE(""Currency:EURKZT"")*M342)"),238785)</f>
        <v>238785</v>
      </c>
      <c r="Q342" s="26">
        <f ca="1">IFERROR(__xludf.DUMMYFUNCTION("ROUND(GOOGLEFINANCE(""Currency:EURKZT"")*N342)"),238785)</f>
        <v>238785</v>
      </c>
      <c r="R342" s="26">
        <f t="shared" ca="1" si="268"/>
        <v>267000</v>
      </c>
      <c r="S342" s="26">
        <f t="shared" ca="1" si="269"/>
        <v>2969567</v>
      </c>
      <c r="T342" s="26">
        <f ca="1">IFERROR(__xludf.DUMMYFUNCTION("ROUND(GOOGLEFINANCE(""Currency:EURKZT"")*L342+S342)"),3392316)</f>
        <v>3392316</v>
      </c>
      <c r="U342" s="26">
        <f ca="1">IFERROR(__xludf.DUMMYFUNCTION("D342*GOOGLEFINANCE(""RUBKZT"")*1000/F342"),4045661.38874582)</f>
        <v>4045661.3887458201</v>
      </c>
      <c r="V342" s="27">
        <f t="shared" ca="1" si="270"/>
        <v>0.19259567467942848</v>
      </c>
    </row>
    <row r="343" spans="1:22" ht="12.75" customHeight="1" x14ac:dyDescent="0.2">
      <c r="A343" s="6" t="s">
        <v>43</v>
      </c>
      <c r="B343" s="6" t="s">
        <v>15</v>
      </c>
      <c r="C343" s="7">
        <v>110497</v>
      </c>
      <c r="D343" s="8">
        <v>103915.2</v>
      </c>
      <c r="E343" s="9" t="s">
        <v>16</v>
      </c>
      <c r="F343" s="23">
        <v>208</v>
      </c>
      <c r="G343" s="25"/>
      <c r="H343" s="14">
        <f t="shared" si="264"/>
        <v>0.55000000000000004</v>
      </c>
      <c r="I343" s="25">
        <f ca="1">IFERROR(__xludf.DUMMYFUNCTION("ROUND(D343*GOOGLEFINANCE(""RUBKZT"")*H343)"),445998)</f>
        <v>445998</v>
      </c>
      <c r="J343" s="26">
        <f ca="1">IFERROR(__xludf.DUMMYFUNCTION("ROUND(I343*GOOGLEFINANCE(""KZTEUR""))"),934)</f>
        <v>934</v>
      </c>
      <c r="K343" s="26">
        <f t="shared" ca="1" si="265"/>
        <v>4490</v>
      </c>
      <c r="L343" s="26">
        <f t="shared" ca="1" si="266"/>
        <v>853.1</v>
      </c>
      <c r="M343" s="26">
        <f t="shared" ref="M343:N343" si="353">M$3</f>
        <v>500</v>
      </c>
      <c r="N343" s="26">
        <f t="shared" si="353"/>
        <v>500</v>
      </c>
      <c r="O343" s="26">
        <f ca="1">IFERROR(__xludf.DUMMYFUNCTION("ROUND(GOOGLEFINANCE(""Currency:EURKZT"")*K343)"),2144288)</f>
        <v>2144288</v>
      </c>
      <c r="P343" s="26">
        <f ca="1">IFERROR(__xludf.DUMMYFUNCTION("ROUND(GOOGLEFINANCE(""Currency:EURKZT"")*M343)"),238785)</f>
        <v>238785</v>
      </c>
      <c r="Q343" s="26">
        <f ca="1">IFERROR(__xludf.DUMMYFUNCTION("ROUND(GOOGLEFINANCE(""Currency:EURKZT"")*N343)"),238785)</f>
        <v>238785</v>
      </c>
      <c r="R343" s="26">
        <f t="shared" ca="1" si="268"/>
        <v>257315</v>
      </c>
      <c r="S343" s="26">
        <f t="shared" ca="1" si="269"/>
        <v>2879173</v>
      </c>
      <c r="T343" s="26">
        <f ca="1">IFERROR(__xludf.DUMMYFUNCTION("ROUND(GOOGLEFINANCE(""Currency:EURKZT"")*L343+S343)"),3286588)</f>
        <v>3286588</v>
      </c>
      <c r="U343" s="26">
        <f ca="1">IFERROR(__xludf.DUMMYFUNCTION("D343*GOOGLEFINANCE(""RUBKZT"")*1000/F343"),3898579.98976033)</f>
        <v>3898579.9897603299</v>
      </c>
      <c r="V343" s="27">
        <f t="shared" ca="1" si="270"/>
        <v>0.18620891628653483</v>
      </c>
    </row>
    <row r="344" spans="1:22" ht="12.75" customHeight="1" x14ac:dyDescent="0.2">
      <c r="A344" s="6" t="s">
        <v>44</v>
      </c>
      <c r="B344" s="6" t="s">
        <v>15</v>
      </c>
      <c r="C344" s="7">
        <v>110499</v>
      </c>
      <c r="D344" s="8">
        <v>121561.2</v>
      </c>
      <c r="E344" s="9" t="s">
        <v>16</v>
      </c>
      <c r="F344" s="23">
        <v>208</v>
      </c>
      <c r="G344" s="25"/>
      <c r="H344" s="14">
        <f t="shared" si="264"/>
        <v>0.55000000000000004</v>
      </c>
      <c r="I344" s="25">
        <f ca="1">IFERROR(__xludf.DUMMYFUNCTION("ROUND(D344*GOOGLEFINANCE(""RUBKZT"")*H344)"),521733)</f>
        <v>521733</v>
      </c>
      <c r="J344" s="26">
        <f ca="1">IFERROR(__xludf.DUMMYFUNCTION("ROUND(I344*GOOGLEFINANCE(""KZTEUR""))"),1093)</f>
        <v>1093</v>
      </c>
      <c r="K344" s="26">
        <f t="shared" ca="1" si="265"/>
        <v>5255</v>
      </c>
      <c r="L344" s="26">
        <f t="shared" ca="1" si="266"/>
        <v>998.45</v>
      </c>
      <c r="M344" s="26">
        <f t="shared" ref="M344:N344" si="354">M$3</f>
        <v>500</v>
      </c>
      <c r="N344" s="26">
        <f t="shared" si="354"/>
        <v>500</v>
      </c>
      <c r="O344" s="26">
        <f ca="1">IFERROR(__xludf.DUMMYFUNCTION("ROUND(GOOGLEFINANCE(""Currency:EURKZT"")*K344)"),2509628)</f>
        <v>2509628</v>
      </c>
      <c r="P344" s="26">
        <f ca="1">IFERROR(__xludf.DUMMYFUNCTION("ROUND(GOOGLEFINANCE(""Currency:EURKZT"")*M344)"),238785)</f>
        <v>238785</v>
      </c>
      <c r="Q344" s="26">
        <f ca="1">IFERROR(__xludf.DUMMYFUNCTION("ROUND(GOOGLEFINANCE(""Currency:EURKZT"")*N344)"),238785)</f>
        <v>238785</v>
      </c>
      <c r="R344" s="26">
        <f t="shared" ca="1" si="268"/>
        <v>301155</v>
      </c>
      <c r="S344" s="26">
        <f t="shared" ca="1" si="269"/>
        <v>3288353</v>
      </c>
      <c r="T344" s="26">
        <f ca="1">IFERROR(__xludf.DUMMYFUNCTION("ROUND(GOOGLEFINANCE(""Currency:EURKZT"")*L344+S344)"),3765182)</f>
        <v>3765182</v>
      </c>
      <c r="U344" s="26">
        <f ca="1">IFERROR(__xludf.DUMMYFUNCTION("D344*GOOGLEFINANCE(""RUBKZT"")*1000/F344"),4560603.85632953)</f>
        <v>4560603.8563295295</v>
      </c>
      <c r="V344" s="27">
        <f t="shared" ca="1" si="270"/>
        <v>0.2112572131518555</v>
      </c>
    </row>
    <row r="345" spans="1:22" ht="12.75" customHeight="1" x14ac:dyDescent="0.2">
      <c r="A345" s="6" t="s">
        <v>45</v>
      </c>
      <c r="B345" s="6" t="s">
        <v>15</v>
      </c>
      <c r="C345" s="7">
        <v>110513</v>
      </c>
      <c r="D345" s="8">
        <v>245082</v>
      </c>
      <c r="E345" s="9" t="s">
        <v>16</v>
      </c>
      <c r="F345" s="23">
        <v>208</v>
      </c>
      <c r="G345" s="25"/>
      <c r="H345" s="14">
        <f t="shared" si="264"/>
        <v>0.55000000000000004</v>
      </c>
      <c r="I345" s="25">
        <f ca="1">IFERROR(__xludf.DUMMYFUNCTION("ROUND(D345*GOOGLEFINANCE(""RUBKZT"")*H345)"),1051877)</f>
        <v>1051877</v>
      </c>
      <c r="J345" s="26">
        <f ca="1">IFERROR(__xludf.DUMMYFUNCTION("ROUND(I345*GOOGLEFINANCE(""KZTEUR""))"),2203)</f>
        <v>2203</v>
      </c>
      <c r="K345" s="26">
        <f t="shared" ca="1" si="265"/>
        <v>10591</v>
      </c>
      <c r="L345" s="26">
        <f t="shared" ca="1" si="266"/>
        <v>2012.29</v>
      </c>
      <c r="M345" s="26">
        <f t="shared" ref="M345:N345" si="355">M$3</f>
        <v>500</v>
      </c>
      <c r="N345" s="26">
        <f t="shared" si="355"/>
        <v>500</v>
      </c>
      <c r="O345" s="26">
        <f ca="1">IFERROR(__xludf.DUMMYFUNCTION("ROUND(GOOGLEFINANCE(""Currency:EURKZT"")*K345)"),5057940)</f>
        <v>5057940</v>
      </c>
      <c r="P345" s="26">
        <f ca="1">IFERROR(__xludf.DUMMYFUNCTION("ROUND(GOOGLEFINANCE(""Currency:EURKZT"")*M345)"),238785)</f>
        <v>238785</v>
      </c>
      <c r="Q345" s="26">
        <f ca="1">IFERROR(__xludf.DUMMYFUNCTION("ROUND(GOOGLEFINANCE(""Currency:EURKZT"")*N345)"),238785)</f>
        <v>238785</v>
      </c>
      <c r="R345" s="26">
        <f t="shared" ca="1" si="268"/>
        <v>606953</v>
      </c>
      <c r="S345" s="26">
        <f t="shared" ca="1" si="269"/>
        <v>6142463</v>
      </c>
      <c r="T345" s="26">
        <f ca="1">IFERROR(__xludf.DUMMYFUNCTION("ROUND(GOOGLEFINANCE(""Currency:EURKZT"")*L345+S345)"),7103472)</f>
        <v>7103472</v>
      </c>
      <c r="U345" s="26">
        <f ca="1">IFERROR(__xludf.DUMMYFUNCTION("D345*GOOGLEFINANCE(""RUBKZT"")*1000/F345"),9194725.90198973)</f>
        <v>9194725.9019897301</v>
      </c>
      <c r="V345" s="27">
        <f t="shared" ca="1" si="270"/>
        <v>0.29439883791894023</v>
      </c>
    </row>
    <row r="346" spans="1:22" ht="12.75" customHeight="1" x14ac:dyDescent="0.2">
      <c r="A346" s="6" t="s">
        <v>50</v>
      </c>
      <c r="B346" s="6" t="s">
        <v>15</v>
      </c>
      <c r="C346" s="7">
        <v>110521</v>
      </c>
      <c r="D346" s="8">
        <v>117372</v>
      </c>
      <c r="E346" s="9" t="s">
        <v>16</v>
      </c>
      <c r="F346" s="23">
        <v>208</v>
      </c>
      <c r="G346" s="25"/>
      <c r="H346" s="14">
        <f t="shared" si="264"/>
        <v>0.55000000000000004</v>
      </c>
      <c r="I346" s="25">
        <f ca="1">IFERROR(__xludf.DUMMYFUNCTION("ROUND(D346*GOOGLEFINANCE(""RUBKZT"")*H346)"),503753)</f>
        <v>503753</v>
      </c>
      <c r="J346" s="26">
        <f ca="1">IFERROR(__xludf.DUMMYFUNCTION("ROUND(I346*GOOGLEFINANCE(""KZTEUR""))"),1055)</f>
        <v>1055</v>
      </c>
      <c r="K346" s="26">
        <f t="shared" ca="1" si="265"/>
        <v>5072</v>
      </c>
      <c r="L346" s="26">
        <f t="shared" ca="1" si="266"/>
        <v>963.68000000000006</v>
      </c>
      <c r="M346" s="26">
        <f t="shared" ref="M346:N346" si="356">M$3</f>
        <v>500</v>
      </c>
      <c r="N346" s="26">
        <f t="shared" si="356"/>
        <v>500</v>
      </c>
      <c r="O346" s="26">
        <f ca="1">IFERROR(__xludf.DUMMYFUNCTION("ROUND(GOOGLEFINANCE(""Currency:EURKZT"")*K346)"),2422233)</f>
        <v>2422233</v>
      </c>
      <c r="P346" s="26">
        <f ca="1">IFERROR(__xludf.DUMMYFUNCTION("ROUND(GOOGLEFINANCE(""Currency:EURKZT"")*M346)"),238785)</f>
        <v>238785</v>
      </c>
      <c r="Q346" s="26">
        <f ca="1">IFERROR(__xludf.DUMMYFUNCTION("ROUND(GOOGLEFINANCE(""Currency:EURKZT"")*N346)"),238785)</f>
        <v>238785</v>
      </c>
      <c r="R346" s="26">
        <f t="shared" ca="1" si="268"/>
        <v>290668</v>
      </c>
      <c r="S346" s="26">
        <f t="shared" ca="1" si="269"/>
        <v>3190471</v>
      </c>
      <c r="T346" s="26">
        <f ca="1">IFERROR(__xludf.DUMMYFUNCTION("ROUND(GOOGLEFINANCE(""Currency:EURKZT"")*L346+S346)"),3650695)</f>
        <v>3650695</v>
      </c>
      <c r="U346" s="26">
        <f ca="1">IFERROR(__xludf.DUMMYFUNCTION("D346*GOOGLEFINANCE(""RUBKZT"")*1000/F346"),4403437.9047353)</f>
        <v>4403437.9047352998</v>
      </c>
      <c r="V346" s="27">
        <f t="shared" ca="1" si="270"/>
        <v>0.20619167165027474</v>
      </c>
    </row>
    <row r="347" spans="1:22" ht="12.75" customHeight="1" x14ac:dyDescent="0.2">
      <c r="A347" s="6" t="s">
        <v>51</v>
      </c>
      <c r="B347" s="6" t="s">
        <v>15</v>
      </c>
      <c r="C347" s="7">
        <v>110523</v>
      </c>
      <c r="D347" s="8">
        <v>107094</v>
      </c>
      <c r="E347" s="9" t="s">
        <v>16</v>
      </c>
      <c r="F347" s="23">
        <v>208</v>
      </c>
      <c r="G347" s="25"/>
      <c r="H347" s="14">
        <f t="shared" si="264"/>
        <v>0.55000000000000004</v>
      </c>
      <c r="I347" s="25">
        <f ca="1">IFERROR(__xludf.DUMMYFUNCTION("ROUND(D347*GOOGLEFINANCE(""RUBKZT"")*H347)"),459641)</f>
        <v>459641</v>
      </c>
      <c r="J347" s="26">
        <f ca="1">IFERROR(__xludf.DUMMYFUNCTION("ROUND(I347*GOOGLEFINANCE(""KZTEUR""))"),963)</f>
        <v>963</v>
      </c>
      <c r="K347" s="26">
        <f t="shared" ca="1" si="265"/>
        <v>4630</v>
      </c>
      <c r="L347" s="26">
        <f t="shared" ca="1" si="266"/>
        <v>879.7</v>
      </c>
      <c r="M347" s="26">
        <f t="shared" ref="M347:N347" si="357">M$3</f>
        <v>500</v>
      </c>
      <c r="N347" s="26">
        <f t="shared" si="357"/>
        <v>500</v>
      </c>
      <c r="O347" s="26">
        <f ca="1">IFERROR(__xludf.DUMMYFUNCTION("ROUND(GOOGLEFINANCE(""Currency:EURKZT"")*K347)"),2211147)</f>
        <v>2211147</v>
      </c>
      <c r="P347" s="26">
        <f ca="1">IFERROR(__xludf.DUMMYFUNCTION("ROUND(GOOGLEFINANCE(""Currency:EURKZT"")*M347)"),238785)</f>
        <v>238785</v>
      </c>
      <c r="Q347" s="26">
        <f ca="1">IFERROR(__xludf.DUMMYFUNCTION("ROUND(GOOGLEFINANCE(""Currency:EURKZT"")*N347)"),238785)</f>
        <v>238785</v>
      </c>
      <c r="R347" s="26">
        <f t="shared" ca="1" si="268"/>
        <v>265338</v>
      </c>
      <c r="S347" s="26">
        <f t="shared" ca="1" si="269"/>
        <v>2954055</v>
      </c>
      <c r="T347" s="26">
        <f ca="1">IFERROR(__xludf.DUMMYFUNCTION("ROUND(GOOGLEFINANCE(""Currency:EURKZT"")*L347+S347)"),3374173)</f>
        <v>3374173</v>
      </c>
      <c r="U347" s="26">
        <f ca="1">IFERROR(__xludf.DUMMYFUNCTION("D347*GOOGLEFINANCE(""RUBKZT"")*1000/F347"),4017838.8284235)</f>
        <v>4017838.8284235001</v>
      </c>
      <c r="V347" s="27">
        <f t="shared" ca="1" si="270"/>
        <v>0.19076254490315109</v>
      </c>
    </row>
    <row r="348" spans="1:22" ht="12.75" customHeight="1" x14ac:dyDescent="0.2">
      <c r="A348" s="6" t="s">
        <v>52</v>
      </c>
      <c r="B348" s="6" t="s">
        <v>15</v>
      </c>
      <c r="C348" s="7">
        <v>110544</v>
      </c>
      <c r="D348" s="8">
        <v>107958</v>
      </c>
      <c r="E348" s="9" t="s">
        <v>16</v>
      </c>
      <c r="F348" s="23">
        <v>208</v>
      </c>
      <c r="G348" s="25"/>
      <c r="H348" s="14">
        <f t="shared" si="264"/>
        <v>0.55000000000000004</v>
      </c>
      <c r="I348" s="25">
        <f ca="1">IFERROR(__xludf.DUMMYFUNCTION("ROUND(D348*GOOGLEFINANCE(""RUBKZT"")*H348)"),463349)</f>
        <v>463349</v>
      </c>
      <c r="J348" s="26">
        <f ca="1">IFERROR(__xludf.DUMMYFUNCTION("ROUND(I348*GOOGLEFINANCE(""KZTEUR""))"),970)</f>
        <v>970</v>
      </c>
      <c r="K348" s="26">
        <f t="shared" ca="1" si="265"/>
        <v>4663</v>
      </c>
      <c r="L348" s="26">
        <f t="shared" ca="1" si="266"/>
        <v>885.97</v>
      </c>
      <c r="M348" s="26">
        <f t="shared" ref="M348:N348" si="358">M$3</f>
        <v>500</v>
      </c>
      <c r="N348" s="26">
        <f t="shared" si="358"/>
        <v>500</v>
      </c>
      <c r="O348" s="26">
        <f ca="1">IFERROR(__xludf.DUMMYFUNCTION("ROUND(GOOGLEFINANCE(""Currency:EURKZT"")*K348)"),2226907)</f>
        <v>2226907</v>
      </c>
      <c r="P348" s="26">
        <f ca="1">IFERROR(__xludf.DUMMYFUNCTION("ROUND(GOOGLEFINANCE(""Currency:EURKZT"")*M348)"),238785)</f>
        <v>238785</v>
      </c>
      <c r="Q348" s="26">
        <f ca="1">IFERROR(__xludf.DUMMYFUNCTION("ROUND(GOOGLEFINANCE(""Currency:EURKZT"")*N348)"),238785)</f>
        <v>238785</v>
      </c>
      <c r="R348" s="26">
        <f t="shared" ca="1" si="268"/>
        <v>267229</v>
      </c>
      <c r="S348" s="26">
        <f t="shared" ca="1" si="269"/>
        <v>2971706</v>
      </c>
      <c r="T348" s="26">
        <f ca="1">IFERROR(__xludf.DUMMYFUNCTION("ROUND(GOOGLEFINANCE(""Currency:EURKZT"")*L348+S348)"),3394818)</f>
        <v>3394818</v>
      </c>
      <c r="U348" s="26">
        <f ca="1">IFERROR(__xludf.DUMMYFUNCTION("D348*GOOGLEFINANCE(""RUBKZT"")*1000/F348"),4050253.46180873)</f>
        <v>4050253.4618087299</v>
      </c>
      <c r="V348" s="27">
        <f t="shared" ca="1" si="270"/>
        <v>0.19306939630010503</v>
      </c>
    </row>
    <row r="349" spans="1:22" ht="12.75" customHeight="1" x14ac:dyDescent="0.2">
      <c r="A349" s="6" t="s">
        <v>53</v>
      </c>
      <c r="B349" s="6" t="s">
        <v>15</v>
      </c>
      <c r="C349" s="7">
        <v>110546</v>
      </c>
      <c r="D349" s="8">
        <v>121346.4</v>
      </c>
      <c r="E349" s="9" t="s">
        <v>16</v>
      </c>
      <c r="F349" s="23">
        <v>208</v>
      </c>
      <c r="G349" s="25"/>
      <c r="H349" s="14">
        <f t="shared" si="264"/>
        <v>0.55000000000000004</v>
      </c>
      <c r="I349" s="25">
        <f ca="1">IFERROR(__xludf.DUMMYFUNCTION("ROUND(D349*GOOGLEFINANCE(""RUBKZT"")*H349)"),520811)</f>
        <v>520811</v>
      </c>
      <c r="J349" s="26">
        <f ca="1">IFERROR(__xludf.DUMMYFUNCTION("ROUND(I349*GOOGLEFINANCE(""KZTEUR""))"),1091)</f>
        <v>1091</v>
      </c>
      <c r="K349" s="26">
        <f t="shared" ca="1" si="265"/>
        <v>5245</v>
      </c>
      <c r="L349" s="26">
        <f t="shared" ca="1" si="266"/>
        <v>996.55000000000007</v>
      </c>
      <c r="M349" s="26">
        <f t="shared" ref="M349:N349" si="359">M$3</f>
        <v>500</v>
      </c>
      <c r="N349" s="26">
        <f t="shared" si="359"/>
        <v>500</v>
      </c>
      <c r="O349" s="26">
        <f ca="1">IFERROR(__xludf.DUMMYFUNCTION("ROUND(GOOGLEFINANCE(""Currency:EURKZT"")*K349)"),2504853)</f>
        <v>2504853</v>
      </c>
      <c r="P349" s="26">
        <f ca="1">IFERROR(__xludf.DUMMYFUNCTION("ROUND(GOOGLEFINANCE(""Currency:EURKZT"")*M349)"),238785)</f>
        <v>238785</v>
      </c>
      <c r="Q349" s="26">
        <f ca="1">IFERROR(__xludf.DUMMYFUNCTION("ROUND(GOOGLEFINANCE(""Currency:EURKZT"")*N349)"),238785)</f>
        <v>238785</v>
      </c>
      <c r="R349" s="26">
        <f t="shared" ca="1" si="268"/>
        <v>300582</v>
      </c>
      <c r="S349" s="26">
        <f t="shared" ca="1" si="269"/>
        <v>3283005</v>
      </c>
      <c r="T349" s="26">
        <f ca="1">IFERROR(__xludf.DUMMYFUNCTION("ROUND(GOOGLEFINANCE(""Currency:EURKZT"")*L349+S349)"),3758927)</f>
        <v>3758927</v>
      </c>
      <c r="U349" s="26">
        <f ca="1">IFERROR(__xludf.DUMMYFUNCTION("D349*GOOGLEFINANCE(""RUBKZT"")*1000/F349"),4552545.21830736)</f>
        <v>4552545.2183073601</v>
      </c>
      <c r="V349" s="27">
        <f t="shared" ca="1" si="270"/>
        <v>0.21112892543732828</v>
      </c>
    </row>
    <row r="350" spans="1:22" ht="12.75" customHeight="1" x14ac:dyDescent="0.2">
      <c r="A350" s="6" t="s">
        <v>54</v>
      </c>
      <c r="B350" s="6" t="s">
        <v>15</v>
      </c>
      <c r="C350" s="7">
        <v>110548</v>
      </c>
      <c r="D350" s="8">
        <v>126732</v>
      </c>
      <c r="E350" s="9" t="s">
        <v>16</v>
      </c>
      <c r="F350" s="23">
        <v>208</v>
      </c>
      <c r="G350" s="25"/>
      <c r="H350" s="14">
        <f t="shared" si="264"/>
        <v>0.55000000000000004</v>
      </c>
      <c r="I350" s="25">
        <f ca="1">IFERROR(__xludf.DUMMYFUNCTION("ROUND(D350*GOOGLEFINANCE(""RUBKZT"")*H350)"),543926)</f>
        <v>543926</v>
      </c>
      <c r="J350" s="26">
        <f ca="1">IFERROR(__xludf.DUMMYFUNCTION("ROUND(I350*GOOGLEFINANCE(""KZTEUR""))"),1139)</f>
        <v>1139</v>
      </c>
      <c r="K350" s="26">
        <f t="shared" ca="1" si="265"/>
        <v>5476</v>
      </c>
      <c r="L350" s="26">
        <f t="shared" ca="1" si="266"/>
        <v>1040.44</v>
      </c>
      <c r="M350" s="26">
        <f t="shared" ref="M350:N350" si="360">M$3</f>
        <v>500</v>
      </c>
      <c r="N350" s="26">
        <f t="shared" si="360"/>
        <v>500</v>
      </c>
      <c r="O350" s="26">
        <f ca="1">IFERROR(__xludf.DUMMYFUNCTION("ROUND(GOOGLEFINANCE(""Currency:EURKZT"")*K350)"),2615171)</f>
        <v>2615171</v>
      </c>
      <c r="P350" s="26">
        <f ca="1">IFERROR(__xludf.DUMMYFUNCTION("ROUND(GOOGLEFINANCE(""Currency:EURKZT"")*M350)"),238785)</f>
        <v>238785</v>
      </c>
      <c r="Q350" s="26">
        <f ca="1">IFERROR(__xludf.DUMMYFUNCTION("ROUND(GOOGLEFINANCE(""Currency:EURKZT"")*N350)"),238785)</f>
        <v>238785</v>
      </c>
      <c r="R350" s="26">
        <f t="shared" ca="1" si="268"/>
        <v>313821</v>
      </c>
      <c r="S350" s="26">
        <f t="shared" ca="1" si="269"/>
        <v>3406562</v>
      </c>
      <c r="T350" s="26">
        <f ca="1">IFERROR(__xludf.DUMMYFUNCTION("ROUND(GOOGLEFINANCE(""Currency:EURKZT"")*L350+S350)"),3903445)</f>
        <v>3903445</v>
      </c>
      <c r="U350" s="26">
        <f ca="1">IFERROR(__xludf.DUMMYFUNCTION("D350*GOOGLEFINANCE(""RUBKZT"")*1000/F350"),4754596.4330753)</f>
        <v>4754596.4330753004</v>
      </c>
      <c r="V350" s="27">
        <f t="shared" ca="1" si="270"/>
        <v>0.21805134517722177</v>
      </c>
    </row>
    <row r="351" spans="1:22" ht="12.75" customHeight="1" x14ac:dyDescent="0.2">
      <c r="A351" s="6" t="s">
        <v>55</v>
      </c>
      <c r="B351" s="6" t="s">
        <v>15</v>
      </c>
      <c r="C351" s="7">
        <v>110550</v>
      </c>
      <c r="D351" s="8">
        <v>128742</v>
      </c>
      <c r="E351" s="9" t="s">
        <v>16</v>
      </c>
      <c r="F351" s="23">
        <v>208</v>
      </c>
      <c r="G351" s="25"/>
      <c r="H351" s="14">
        <f t="shared" si="264"/>
        <v>0.55000000000000004</v>
      </c>
      <c r="I351" s="25">
        <f ca="1">IFERROR(__xludf.DUMMYFUNCTION("ROUND(D351*GOOGLEFINANCE(""RUBKZT"")*H351)"),552553)</f>
        <v>552553</v>
      </c>
      <c r="J351" s="26">
        <f ca="1">IFERROR(__xludf.DUMMYFUNCTION("ROUND(I351*GOOGLEFINANCE(""KZTEUR""))"),1157)</f>
        <v>1157</v>
      </c>
      <c r="K351" s="26">
        <f t="shared" ca="1" si="265"/>
        <v>5563</v>
      </c>
      <c r="L351" s="26">
        <f t="shared" ca="1" si="266"/>
        <v>1056.97</v>
      </c>
      <c r="M351" s="26">
        <f t="shared" ref="M351:N351" si="361">M$3</f>
        <v>500</v>
      </c>
      <c r="N351" s="26">
        <f t="shared" si="361"/>
        <v>500</v>
      </c>
      <c r="O351" s="26">
        <f ca="1">IFERROR(__xludf.DUMMYFUNCTION("ROUND(GOOGLEFINANCE(""Currency:EURKZT"")*K351)"),2656720)</f>
        <v>2656720</v>
      </c>
      <c r="P351" s="26">
        <f ca="1">IFERROR(__xludf.DUMMYFUNCTION("ROUND(GOOGLEFINANCE(""Currency:EURKZT"")*M351)"),238785)</f>
        <v>238785</v>
      </c>
      <c r="Q351" s="26">
        <f ca="1">IFERROR(__xludf.DUMMYFUNCTION("ROUND(GOOGLEFINANCE(""Currency:EURKZT"")*N351)"),238785)</f>
        <v>238785</v>
      </c>
      <c r="R351" s="26">
        <f t="shared" ca="1" si="268"/>
        <v>318806</v>
      </c>
      <c r="S351" s="26">
        <f t="shared" ca="1" si="269"/>
        <v>3453096</v>
      </c>
      <c r="T351" s="26">
        <f ca="1">IFERROR(__xludf.DUMMYFUNCTION("ROUND(GOOGLEFINANCE(""Currency:EURKZT"")*L351+S351)"),3957873)</f>
        <v>3957873</v>
      </c>
      <c r="U351" s="26">
        <f ca="1">IFERROR(__xludf.DUMMYFUNCTION("D351*GOOGLEFINANCE(""RUBKZT"")*1000/F351"),4830005.47602011)</f>
        <v>4830005.4760201098</v>
      </c>
      <c r="V351" s="27">
        <f t="shared" ca="1" si="270"/>
        <v>0.22035383045896365</v>
      </c>
    </row>
    <row r="352" spans="1:22" ht="12.75" customHeight="1" x14ac:dyDescent="0.2">
      <c r="A352" s="6" t="s">
        <v>56</v>
      </c>
      <c r="B352" s="6" t="s">
        <v>15</v>
      </c>
      <c r="C352" s="7">
        <v>110552</v>
      </c>
      <c r="D352" s="8">
        <v>113125.2</v>
      </c>
      <c r="E352" s="9" t="s">
        <v>16</v>
      </c>
      <c r="F352" s="23">
        <v>208</v>
      </c>
      <c r="G352" s="25"/>
      <c r="H352" s="14">
        <f t="shared" si="264"/>
        <v>0.55000000000000004</v>
      </c>
      <c r="I352" s="25">
        <f ca="1">IFERROR(__xludf.DUMMYFUNCTION("ROUND(D352*GOOGLEFINANCE(""RUBKZT"")*H352)"),485526)</f>
        <v>485526</v>
      </c>
      <c r="J352" s="26">
        <f ca="1">IFERROR(__xludf.DUMMYFUNCTION("ROUND(I352*GOOGLEFINANCE(""KZTEUR""))"),1017)</f>
        <v>1017</v>
      </c>
      <c r="K352" s="26">
        <f t="shared" ca="1" si="265"/>
        <v>4889</v>
      </c>
      <c r="L352" s="26">
        <f t="shared" ca="1" si="266"/>
        <v>928.91</v>
      </c>
      <c r="M352" s="26">
        <f t="shared" ref="M352:N352" si="362">M$3</f>
        <v>500</v>
      </c>
      <c r="N352" s="26">
        <f t="shared" si="362"/>
        <v>500</v>
      </c>
      <c r="O352" s="26">
        <f ca="1">IFERROR(__xludf.DUMMYFUNCTION("ROUND(GOOGLEFINANCE(""Currency:EURKZT"")*K352)"),2334838)</f>
        <v>2334838</v>
      </c>
      <c r="P352" s="26">
        <f ca="1">IFERROR(__xludf.DUMMYFUNCTION("ROUND(GOOGLEFINANCE(""Currency:EURKZT"")*M352)"),238785)</f>
        <v>238785</v>
      </c>
      <c r="Q352" s="26">
        <f ca="1">IFERROR(__xludf.DUMMYFUNCTION("ROUND(GOOGLEFINANCE(""Currency:EURKZT"")*N352)"),238785)</f>
        <v>238785</v>
      </c>
      <c r="R352" s="26">
        <f t="shared" ca="1" si="268"/>
        <v>280181</v>
      </c>
      <c r="S352" s="26">
        <f t="shared" ca="1" si="269"/>
        <v>3092589</v>
      </c>
      <c r="T352" s="26">
        <f ca="1">IFERROR(__xludf.DUMMYFUNCTION("ROUND(GOOGLEFINANCE(""Currency:EURKZT"")*L352+S352)"),3536208)</f>
        <v>3536208</v>
      </c>
      <c r="U352" s="26">
        <f ca="1">IFERROR(__xludf.DUMMYFUNCTION("D352*GOOGLEFINANCE(""RUBKZT"")*1000/F352"),4244110.97758206)</f>
        <v>4244110.9775820598</v>
      </c>
      <c r="V352" s="27">
        <f t="shared" ca="1" si="270"/>
        <v>0.20018703016962233</v>
      </c>
    </row>
    <row r="353" spans="1:22" ht="12.75" customHeight="1" x14ac:dyDescent="0.2">
      <c r="A353" s="6" t="s">
        <v>57</v>
      </c>
      <c r="B353" s="6" t="s">
        <v>15</v>
      </c>
      <c r="C353" s="7">
        <v>110553</v>
      </c>
      <c r="D353" s="8">
        <v>121336.79999999999</v>
      </c>
      <c r="E353" s="9" t="s">
        <v>16</v>
      </c>
      <c r="F353" s="23">
        <v>208</v>
      </c>
      <c r="G353" s="25"/>
      <c r="H353" s="14">
        <f t="shared" si="264"/>
        <v>0.55000000000000004</v>
      </c>
      <c r="I353" s="25">
        <f ca="1">IFERROR(__xludf.DUMMYFUNCTION("ROUND(D353*GOOGLEFINANCE(""RUBKZT"")*H353)"),520770)</f>
        <v>520770</v>
      </c>
      <c r="J353" s="26">
        <f ca="1">IFERROR(__xludf.DUMMYFUNCTION("ROUND(I353*GOOGLEFINANCE(""KZTEUR""))"),1091)</f>
        <v>1091</v>
      </c>
      <c r="K353" s="26">
        <f t="shared" ca="1" si="265"/>
        <v>5245</v>
      </c>
      <c r="L353" s="26">
        <f t="shared" ca="1" si="266"/>
        <v>996.55000000000007</v>
      </c>
      <c r="M353" s="26">
        <f t="shared" ref="M353:N353" si="363">M$3</f>
        <v>500</v>
      </c>
      <c r="N353" s="26">
        <f t="shared" si="363"/>
        <v>500</v>
      </c>
      <c r="O353" s="26">
        <f ca="1">IFERROR(__xludf.DUMMYFUNCTION("ROUND(GOOGLEFINANCE(""Currency:EURKZT"")*K353)"),2504853)</f>
        <v>2504853</v>
      </c>
      <c r="P353" s="26">
        <f ca="1">IFERROR(__xludf.DUMMYFUNCTION("ROUND(GOOGLEFINANCE(""Currency:EURKZT"")*M353)"),238785)</f>
        <v>238785</v>
      </c>
      <c r="Q353" s="26">
        <f ca="1">IFERROR(__xludf.DUMMYFUNCTION("ROUND(GOOGLEFINANCE(""Currency:EURKZT"")*N353)"),238785)</f>
        <v>238785</v>
      </c>
      <c r="R353" s="26">
        <f t="shared" ca="1" si="268"/>
        <v>300582</v>
      </c>
      <c r="S353" s="26">
        <f t="shared" ca="1" si="269"/>
        <v>3283005</v>
      </c>
      <c r="T353" s="26">
        <f ca="1">IFERROR(__xludf.DUMMYFUNCTION("ROUND(GOOGLEFINANCE(""Currency:EURKZT"")*L353+S353)"),3758927)</f>
        <v>3758927</v>
      </c>
      <c r="U353" s="26">
        <f ca="1">IFERROR(__xludf.DUMMYFUNCTION("D353*GOOGLEFINANCE(""RUBKZT"")*1000/F353"),4552185.05571419)</f>
        <v>4552185.05571419</v>
      </c>
      <c r="V353" s="27">
        <f t="shared" ca="1" si="270"/>
        <v>0.2110331101705859</v>
      </c>
    </row>
    <row r="354" spans="1:22" ht="12.75" customHeight="1" x14ac:dyDescent="0.2">
      <c r="A354" s="6" t="s">
        <v>58</v>
      </c>
      <c r="B354" s="6" t="s">
        <v>15</v>
      </c>
      <c r="C354" s="7">
        <v>110555</v>
      </c>
      <c r="D354" s="8">
        <v>115804.8</v>
      </c>
      <c r="E354" s="9" t="s">
        <v>16</v>
      </c>
      <c r="F354" s="23">
        <v>208</v>
      </c>
      <c r="G354" s="25"/>
      <c r="H354" s="14">
        <f t="shared" si="264"/>
        <v>0.55000000000000004</v>
      </c>
      <c r="I354" s="25">
        <f ca="1">IFERROR(__xludf.DUMMYFUNCTION("ROUND(D354*GOOGLEFINANCE(""RUBKZT"")*H354)"),497027)</f>
        <v>497027</v>
      </c>
      <c r="J354" s="26">
        <f ca="1">IFERROR(__xludf.DUMMYFUNCTION("ROUND(I354*GOOGLEFINANCE(""KZTEUR""))"),1041)</f>
        <v>1041</v>
      </c>
      <c r="K354" s="26">
        <f t="shared" ca="1" si="265"/>
        <v>5005</v>
      </c>
      <c r="L354" s="26">
        <f t="shared" ca="1" si="266"/>
        <v>950.95</v>
      </c>
      <c r="M354" s="26">
        <f t="shared" ref="M354:N354" si="364">M$3</f>
        <v>500</v>
      </c>
      <c r="N354" s="26">
        <f t="shared" si="364"/>
        <v>500</v>
      </c>
      <c r="O354" s="26">
        <f ca="1">IFERROR(__xludf.DUMMYFUNCTION("ROUND(GOOGLEFINANCE(""Currency:EURKZT"")*K354)"),2390236)</f>
        <v>2390236</v>
      </c>
      <c r="P354" s="26">
        <f ca="1">IFERROR(__xludf.DUMMYFUNCTION("ROUND(GOOGLEFINANCE(""Currency:EURKZT"")*M354)"),238785)</f>
        <v>238785</v>
      </c>
      <c r="Q354" s="26">
        <f ca="1">IFERROR(__xludf.DUMMYFUNCTION("ROUND(GOOGLEFINANCE(""Currency:EURKZT"")*N354)"),238785)</f>
        <v>238785</v>
      </c>
      <c r="R354" s="26">
        <f t="shared" ca="1" si="268"/>
        <v>286828</v>
      </c>
      <c r="S354" s="26">
        <f t="shared" ca="1" si="269"/>
        <v>3154634</v>
      </c>
      <c r="T354" s="26">
        <f ca="1">IFERROR(__xludf.DUMMYFUNCTION("ROUND(GOOGLEFINANCE(""Currency:EURKZT"")*L354+S354)"),3608779)</f>
        <v>3608779</v>
      </c>
      <c r="U354" s="26">
        <f ca="1">IFERROR(__xludf.DUMMYFUNCTION("D354*GOOGLEFINANCE(""RUBKZT"")*1000/F354"),4344641.36140043)</f>
        <v>4344641.3614004301</v>
      </c>
      <c r="V354" s="27">
        <f t="shared" ca="1" si="270"/>
        <v>0.20390895685228441</v>
      </c>
    </row>
    <row r="355" spans="1:22" ht="12.75" customHeight="1" x14ac:dyDescent="0.2">
      <c r="A355" s="6" t="s">
        <v>59</v>
      </c>
      <c r="B355" s="6" t="s">
        <v>15</v>
      </c>
      <c r="C355" s="7">
        <v>110568</v>
      </c>
      <c r="D355" s="8">
        <v>84595.199999999997</v>
      </c>
      <c r="E355" s="9" t="s">
        <v>16</v>
      </c>
      <c r="F355" s="23">
        <v>208</v>
      </c>
      <c r="G355" s="25"/>
      <c r="H355" s="14">
        <f t="shared" si="264"/>
        <v>0.55000000000000004</v>
      </c>
      <c r="I355" s="25">
        <f ca="1">IFERROR(__xludf.DUMMYFUNCTION("ROUND(D355*GOOGLEFINANCE(""RUBKZT"")*H355)"),363077)</f>
        <v>363077</v>
      </c>
      <c r="J355" s="26">
        <f ca="1">IFERROR(__xludf.DUMMYFUNCTION("ROUND(I355*GOOGLEFINANCE(""KZTEUR""))"),760)</f>
        <v>760</v>
      </c>
      <c r="K355" s="26">
        <f t="shared" ca="1" si="265"/>
        <v>3654</v>
      </c>
      <c r="L355" s="26">
        <f t="shared" ca="1" si="266"/>
        <v>694.26</v>
      </c>
      <c r="M355" s="26">
        <f t="shared" ref="M355:N355" si="365">M$3</f>
        <v>500</v>
      </c>
      <c r="N355" s="26">
        <f t="shared" si="365"/>
        <v>500</v>
      </c>
      <c r="O355" s="26">
        <f ca="1">IFERROR(__xludf.DUMMYFUNCTION("ROUND(GOOGLEFINANCE(""Currency:EURKZT"")*K355)"),1745039)</f>
        <v>1745039</v>
      </c>
      <c r="P355" s="26">
        <f ca="1">IFERROR(__xludf.DUMMYFUNCTION("ROUND(GOOGLEFINANCE(""Currency:EURKZT"")*M355)"),238785)</f>
        <v>238785</v>
      </c>
      <c r="Q355" s="26">
        <f ca="1">IFERROR(__xludf.DUMMYFUNCTION("ROUND(GOOGLEFINANCE(""Currency:EURKZT"")*N355)"),238785)</f>
        <v>238785</v>
      </c>
      <c r="R355" s="26">
        <f t="shared" ca="1" si="268"/>
        <v>209405</v>
      </c>
      <c r="S355" s="26">
        <f t="shared" ca="1" si="269"/>
        <v>2432014</v>
      </c>
      <c r="T355" s="26">
        <f ca="1">IFERROR(__xludf.DUMMYFUNCTION("ROUND(GOOGLEFINANCE(""Currency:EURKZT"")*L355+S355)"),2763571)</f>
        <v>2763571</v>
      </c>
      <c r="U355" s="26">
        <f ca="1">IFERROR(__xludf.DUMMYFUNCTION("D355*GOOGLEFINANCE(""RUBKZT"")*1000/F355"),3173752.77100726)</f>
        <v>3173752.7710072598</v>
      </c>
      <c r="V355" s="27">
        <f t="shared" ca="1" si="270"/>
        <v>0.14842454599764573</v>
      </c>
    </row>
    <row r="356" spans="1:22" ht="12.75" customHeight="1" x14ac:dyDescent="0.2">
      <c r="A356" s="6" t="s">
        <v>60</v>
      </c>
      <c r="B356" s="6" t="s">
        <v>15</v>
      </c>
      <c r="C356" s="7">
        <v>110570</v>
      </c>
      <c r="D356" s="8">
        <v>76224</v>
      </c>
      <c r="E356" s="9" t="s">
        <v>16</v>
      </c>
      <c r="F356" s="23">
        <v>208</v>
      </c>
      <c r="G356" s="25"/>
      <c r="H356" s="14">
        <f t="shared" si="264"/>
        <v>0.55000000000000004</v>
      </c>
      <c r="I356" s="25">
        <f ca="1">IFERROR(__xludf.DUMMYFUNCTION("ROUND(D356*GOOGLEFINANCE(""RUBKZT"")*H356)"),327149)</f>
        <v>327149</v>
      </c>
      <c r="J356" s="26">
        <f ca="1">IFERROR(__xludf.DUMMYFUNCTION("ROUND(I356*GOOGLEFINANCE(""KZTEUR""))"),685)</f>
        <v>685</v>
      </c>
      <c r="K356" s="26">
        <f t="shared" ca="1" si="265"/>
        <v>3293</v>
      </c>
      <c r="L356" s="26">
        <f t="shared" ca="1" si="266"/>
        <v>625.66999999999996</v>
      </c>
      <c r="M356" s="26">
        <f t="shared" ref="M356:N356" si="366">M$3</f>
        <v>500</v>
      </c>
      <c r="N356" s="26">
        <f t="shared" si="366"/>
        <v>500</v>
      </c>
      <c r="O356" s="26">
        <f ca="1">IFERROR(__xludf.DUMMYFUNCTION("ROUND(GOOGLEFINANCE(""Currency:EURKZT"")*K356)"),1572637)</f>
        <v>1572637</v>
      </c>
      <c r="P356" s="26">
        <f ca="1">IFERROR(__xludf.DUMMYFUNCTION("ROUND(GOOGLEFINANCE(""Currency:EURKZT"")*M356)"),238785)</f>
        <v>238785</v>
      </c>
      <c r="Q356" s="26">
        <f ca="1">IFERROR(__xludf.DUMMYFUNCTION("ROUND(GOOGLEFINANCE(""Currency:EURKZT"")*N356)"),238785)</f>
        <v>238785</v>
      </c>
      <c r="R356" s="26">
        <f t="shared" ca="1" si="268"/>
        <v>188716</v>
      </c>
      <c r="S356" s="26">
        <f t="shared" ca="1" si="269"/>
        <v>2238923</v>
      </c>
      <c r="T356" s="26">
        <f ca="1">IFERROR(__xludf.DUMMYFUNCTION("ROUND(GOOGLEFINANCE(""Currency:EURKZT"")*L356+S356)"),2537724)</f>
        <v>2537724</v>
      </c>
      <c r="U356" s="26">
        <f ca="1">IFERROR(__xludf.DUMMYFUNCTION("D356*GOOGLEFINANCE(""RUBKZT"")*1000/F356"),2859690.98976369)</f>
        <v>2859690.9897636902</v>
      </c>
      <c r="V356" s="27">
        <f t="shared" ca="1" si="270"/>
        <v>0.12687234299856492</v>
      </c>
    </row>
    <row r="357" spans="1:22" ht="12.75" customHeight="1" x14ac:dyDescent="0.2">
      <c r="A357" s="6" t="s">
        <v>61</v>
      </c>
      <c r="B357" s="6" t="s">
        <v>15</v>
      </c>
      <c r="C357" s="7">
        <v>110573</v>
      </c>
      <c r="D357" s="8">
        <v>78909.599999999991</v>
      </c>
      <c r="E357" s="9" t="s">
        <v>16</v>
      </c>
      <c r="F357" s="23">
        <v>208</v>
      </c>
      <c r="G357" s="25"/>
      <c r="H357" s="14">
        <f t="shared" si="264"/>
        <v>0.55000000000000004</v>
      </c>
      <c r="I357" s="25">
        <f ca="1">IFERROR(__xludf.DUMMYFUNCTION("ROUND(D357*GOOGLEFINANCE(""RUBKZT"")*H357)"),338675)</f>
        <v>338675</v>
      </c>
      <c r="J357" s="26">
        <f ca="1">IFERROR(__xludf.DUMMYFUNCTION("ROUND(I357*GOOGLEFINANCE(""KZTEUR""))"),709)</f>
        <v>709</v>
      </c>
      <c r="K357" s="26">
        <f t="shared" ca="1" si="265"/>
        <v>3409</v>
      </c>
      <c r="L357" s="26">
        <f t="shared" ca="1" si="266"/>
        <v>647.71</v>
      </c>
      <c r="M357" s="26">
        <f t="shared" ref="M357:N357" si="367">M$3</f>
        <v>500</v>
      </c>
      <c r="N357" s="26">
        <f t="shared" si="367"/>
        <v>500</v>
      </c>
      <c r="O357" s="26">
        <f ca="1">IFERROR(__xludf.DUMMYFUNCTION("ROUND(GOOGLEFINANCE(""Currency:EURKZT"")*K357)"),1628035)</f>
        <v>1628035</v>
      </c>
      <c r="P357" s="26">
        <f ca="1">IFERROR(__xludf.DUMMYFUNCTION("ROUND(GOOGLEFINANCE(""Currency:EURKZT"")*M357)"),238785)</f>
        <v>238785</v>
      </c>
      <c r="Q357" s="26">
        <f ca="1">IFERROR(__xludf.DUMMYFUNCTION("ROUND(GOOGLEFINANCE(""Currency:EURKZT"")*N357)"),238785)</f>
        <v>238785</v>
      </c>
      <c r="R357" s="26">
        <f t="shared" ca="1" si="268"/>
        <v>195364</v>
      </c>
      <c r="S357" s="26">
        <f t="shared" ca="1" si="269"/>
        <v>2300969</v>
      </c>
      <c r="T357" s="26">
        <f ca="1">IFERROR(__xludf.DUMMYFUNCTION("ROUND(GOOGLEFINANCE(""Currency:EURKZT"")*L357+S357)"),2610296)</f>
        <v>2610296</v>
      </c>
      <c r="U357" s="26">
        <f ca="1">IFERROR(__xludf.DUMMYFUNCTION("D357*GOOGLEFINANCE(""RUBKZT"")*1000/F357"),2960446.47520278)</f>
        <v>2960446.4752027802</v>
      </c>
      <c r="V357" s="27">
        <f t="shared" ca="1" si="270"/>
        <v>0.13414205714707458</v>
      </c>
    </row>
    <row r="358" spans="1:22" ht="12.75" customHeight="1" x14ac:dyDescent="0.2">
      <c r="A358" s="6" t="s">
        <v>62</v>
      </c>
      <c r="B358" s="6" t="s">
        <v>15</v>
      </c>
      <c r="C358" s="7">
        <v>110576</v>
      </c>
      <c r="D358" s="8">
        <v>78747.599999999991</v>
      </c>
      <c r="E358" s="9" t="s">
        <v>16</v>
      </c>
      <c r="F358" s="23">
        <v>208</v>
      </c>
      <c r="G358" s="25"/>
      <c r="H358" s="14">
        <f t="shared" si="264"/>
        <v>0.55000000000000004</v>
      </c>
      <c r="I358" s="25">
        <f ca="1">IFERROR(__xludf.DUMMYFUNCTION("ROUND(D358*GOOGLEFINANCE(""RUBKZT"")*H358)"),337980)</f>
        <v>337980</v>
      </c>
      <c r="J358" s="26">
        <f ca="1">IFERROR(__xludf.DUMMYFUNCTION("ROUND(I358*GOOGLEFINANCE(""KZTEUR""))"),708)</f>
        <v>708</v>
      </c>
      <c r="K358" s="26">
        <f t="shared" ca="1" si="265"/>
        <v>3404</v>
      </c>
      <c r="L358" s="26">
        <f t="shared" ca="1" si="266"/>
        <v>646.76</v>
      </c>
      <c r="M358" s="26">
        <f t="shared" ref="M358:N358" si="368">M$3</f>
        <v>500</v>
      </c>
      <c r="N358" s="26">
        <f t="shared" si="368"/>
        <v>500</v>
      </c>
      <c r="O358" s="26">
        <f ca="1">IFERROR(__xludf.DUMMYFUNCTION("ROUND(GOOGLEFINANCE(""Currency:EURKZT"")*K358)"),1625647)</f>
        <v>1625647</v>
      </c>
      <c r="P358" s="26">
        <f ca="1">IFERROR(__xludf.DUMMYFUNCTION("ROUND(GOOGLEFINANCE(""Currency:EURKZT"")*M358)"),238785)</f>
        <v>238785</v>
      </c>
      <c r="Q358" s="26">
        <f ca="1">IFERROR(__xludf.DUMMYFUNCTION("ROUND(GOOGLEFINANCE(""Currency:EURKZT"")*N358)"),238785)</f>
        <v>238785</v>
      </c>
      <c r="R358" s="26">
        <f t="shared" ca="1" si="268"/>
        <v>195078</v>
      </c>
      <c r="S358" s="26">
        <f t="shared" ca="1" si="269"/>
        <v>2298295</v>
      </c>
      <c r="T358" s="26">
        <f ca="1">IFERROR(__xludf.DUMMYFUNCTION("ROUND(GOOGLEFINANCE(""Currency:EURKZT"")*L358+S358)"),2607168)</f>
        <v>2607168</v>
      </c>
      <c r="U358" s="26">
        <f ca="1">IFERROR(__xludf.DUMMYFUNCTION("D358*GOOGLEFINANCE(""RUBKZT"")*1000/F358"),2954368.73144305)</f>
        <v>2954368.7314430499</v>
      </c>
      <c r="V358" s="27">
        <f t="shared" ca="1" si="270"/>
        <v>0.13317159900821499</v>
      </c>
    </row>
    <row r="359" spans="1:22" ht="12.75" customHeight="1" x14ac:dyDescent="0.2">
      <c r="A359" s="6" t="s">
        <v>63</v>
      </c>
      <c r="B359" s="6" t="s">
        <v>15</v>
      </c>
      <c r="C359" s="7">
        <v>110596</v>
      </c>
      <c r="D359" s="8">
        <v>150723.6</v>
      </c>
      <c r="E359" s="9" t="s">
        <v>16</v>
      </c>
      <c r="F359" s="23">
        <v>208</v>
      </c>
      <c r="G359" s="25"/>
      <c r="H359" s="14">
        <f t="shared" si="264"/>
        <v>0.55000000000000004</v>
      </c>
      <c r="I359" s="25">
        <f ca="1">IFERROR(__xludf.DUMMYFUNCTION("ROUND(D359*GOOGLEFINANCE(""RUBKZT"")*H359)"),646896)</f>
        <v>646896</v>
      </c>
      <c r="J359" s="26">
        <f ca="1">IFERROR(__xludf.DUMMYFUNCTION("ROUND(I359*GOOGLEFINANCE(""KZTEUR""))"),1355)</f>
        <v>1355</v>
      </c>
      <c r="K359" s="26">
        <f t="shared" ca="1" si="265"/>
        <v>6514</v>
      </c>
      <c r="L359" s="26">
        <f t="shared" ca="1" si="266"/>
        <v>1237.6600000000001</v>
      </c>
      <c r="M359" s="26">
        <f t="shared" ref="M359:N359" si="369">M$3</f>
        <v>500</v>
      </c>
      <c r="N359" s="26">
        <f t="shared" si="369"/>
        <v>500</v>
      </c>
      <c r="O359" s="26">
        <f ca="1">IFERROR(__xludf.DUMMYFUNCTION("ROUND(GOOGLEFINANCE(""Currency:EURKZT"")*K359)"),3110888)</f>
        <v>3110888</v>
      </c>
      <c r="P359" s="26">
        <f ca="1">IFERROR(__xludf.DUMMYFUNCTION("ROUND(GOOGLEFINANCE(""Currency:EURKZT"")*M359)"),238785)</f>
        <v>238785</v>
      </c>
      <c r="Q359" s="26">
        <f ca="1">IFERROR(__xludf.DUMMYFUNCTION("ROUND(GOOGLEFINANCE(""Currency:EURKZT"")*N359)"),238785)</f>
        <v>238785</v>
      </c>
      <c r="R359" s="26">
        <f t="shared" ca="1" si="268"/>
        <v>373307</v>
      </c>
      <c r="S359" s="26">
        <f t="shared" ca="1" si="269"/>
        <v>3961765</v>
      </c>
      <c r="T359" s="26">
        <f ca="1">IFERROR(__xludf.DUMMYFUNCTION("ROUND(GOOGLEFINANCE(""Currency:EURKZT"")*L359+S359)"),4552834)</f>
        <v>4552834</v>
      </c>
      <c r="U359" s="26">
        <f ca="1">IFERROR(__xludf.DUMMYFUNCTION("D359*GOOGLEFINANCE(""RUBKZT"")*1000/F359"),5654687.77372936)</f>
        <v>5654687.7737293597</v>
      </c>
      <c r="V359" s="27">
        <f t="shared" ca="1" si="270"/>
        <v>0.2420149238319165</v>
      </c>
    </row>
    <row r="360" spans="1:22" ht="12.75" customHeight="1" x14ac:dyDescent="0.2">
      <c r="A360" s="6" t="s">
        <v>64</v>
      </c>
      <c r="B360" s="6" t="s">
        <v>15</v>
      </c>
      <c r="C360" s="7">
        <v>110602</v>
      </c>
      <c r="D360" s="8">
        <v>132488.4</v>
      </c>
      <c r="E360" s="9" t="s">
        <v>16</v>
      </c>
      <c r="F360" s="23">
        <v>208</v>
      </c>
      <c r="G360" s="25"/>
      <c r="H360" s="14">
        <f t="shared" si="264"/>
        <v>0.55000000000000004</v>
      </c>
      <c r="I360" s="25">
        <f ca="1">IFERROR(__xludf.DUMMYFUNCTION("ROUND(D360*GOOGLEFINANCE(""RUBKZT"")*H360)"),568632)</f>
        <v>568632</v>
      </c>
      <c r="J360" s="26">
        <f ca="1">IFERROR(__xludf.DUMMYFUNCTION("ROUND(I360*GOOGLEFINANCE(""KZTEUR""))"),1191)</f>
        <v>1191</v>
      </c>
      <c r="K360" s="26">
        <f t="shared" ca="1" si="265"/>
        <v>5726</v>
      </c>
      <c r="L360" s="26">
        <f t="shared" ca="1" si="266"/>
        <v>1087.94</v>
      </c>
      <c r="M360" s="26">
        <f t="shared" ref="M360:N360" si="370">M$3</f>
        <v>500</v>
      </c>
      <c r="N360" s="26">
        <f t="shared" si="370"/>
        <v>500</v>
      </c>
      <c r="O360" s="26">
        <f ca="1">IFERROR(__xludf.DUMMYFUNCTION("ROUND(GOOGLEFINANCE(""Currency:EURKZT"")*K360)"),2734564)</f>
        <v>2734564</v>
      </c>
      <c r="P360" s="26">
        <f ca="1">IFERROR(__xludf.DUMMYFUNCTION("ROUND(GOOGLEFINANCE(""Currency:EURKZT"")*M360)"),238785)</f>
        <v>238785</v>
      </c>
      <c r="Q360" s="26">
        <f ca="1">IFERROR(__xludf.DUMMYFUNCTION("ROUND(GOOGLEFINANCE(""Currency:EURKZT"")*N360)"),238785)</f>
        <v>238785</v>
      </c>
      <c r="R360" s="26">
        <f t="shared" ca="1" si="268"/>
        <v>328148</v>
      </c>
      <c r="S360" s="26">
        <f t="shared" ca="1" si="269"/>
        <v>3540282</v>
      </c>
      <c r="T360" s="26">
        <f ca="1">IFERROR(__xludf.DUMMYFUNCTION("ROUND(GOOGLEFINANCE(""Currency:EURKZT"")*L360+S360)"),4059849)</f>
        <v>4059849</v>
      </c>
      <c r="U360" s="26">
        <f ca="1">IFERROR(__xludf.DUMMYFUNCTION("D360*GOOGLEFINANCE(""RUBKZT"")*1000/F360"),4970558.9280044)</f>
        <v>4970558.9280043999</v>
      </c>
      <c r="V360" s="27">
        <f t="shared" ca="1" si="270"/>
        <v>0.22432113312697094</v>
      </c>
    </row>
    <row r="361" spans="1:22" ht="12.75" customHeight="1" x14ac:dyDescent="0.2">
      <c r="A361" s="6" t="s">
        <v>65</v>
      </c>
      <c r="B361" s="6" t="s">
        <v>15</v>
      </c>
      <c r="C361" s="7">
        <v>110629</v>
      </c>
      <c r="D361" s="8">
        <v>87014.399999999994</v>
      </c>
      <c r="E361" s="9" t="s">
        <v>16</v>
      </c>
      <c r="F361" s="23">
        <v>208</v>
      </c>
      <c r="G361" s="25"/>
      <c r="H361" s="14">
        <f t="shared" si="264"/>
        <v>0.55000000000000004</v>
      </c>
      <c r="I361" s="25">
        <f ca="1">IFERROR(__xludf.DUMMYFUNCTION("ROUND(D361*GOOGLEFINANCE(""RUBKZT"")*H361)"),373460)</f>
        <v>373460</v>
      </c>
      <c r="J361" s="26">
        <f ca="1">IFERROR(__xludf.DUMMYFUNCTION("ROUND(I361*GOOGLEFINANCE(""KZTEUR""))"),782)</f>
        <v>782</v>
      </c>
      <c r="K361" s="26">
        <f t="shared" ca="1" si="265"/>
        <v>3760</v>
      </c>
      <c r="L361" s="26">
        <f t="shared" ca="1" si="266"/>
        <v>714.4</v>
      </c>
      <c r="M361" s="26">
        <f t="shared" ref="M361:N361" si="371">M$3</f>
        <v>500</v>
      </c>
      <c r="N361" s="26">
        <f t="shared" si="371"/>
        <v>500</v>
      </c>
      <c r="O361" s="26">
        <f ca="1">IFERROR(__xludf.DUMMYFUNCTION("ROUND(GOOGLEFINANCE(""Currency:EURKZT"")*K361)"),1795662)</f>
        <v>1795662</v>
      </c>
      <c r="P361" s="26">
        <f ca="1">IFERROR(__xludf.DUMMYFUNCTION("ROUND(GOOGLEFINANCE(""Currency:EURKZT"")*M361)"),238785)</f>
        <v>238785</v>
      </c>
      <c r="Q361" s="26">
        <f ca="1">IFERROR(__xludf.DUMMYFUNCTION("ROUND(GOOGLEFINANCE(""Currency:EURKZT"")*N361)"),238785)</f>
        <v>238785</v>
      </c>
      <c r="R361" s="26">
        <f t="shared" ca="1" si="268"/>
        <v>215479</v>
      </c>
      <c r="S361" s="26">
        <f t="shared" ca="1" si="269"/>
        <v>2488711</v>
      </c>
      <c r="T361" s="26">
        <f ca="1">IFERROR(__xludf.DUMMYFUNCTION("ROUND(GOOGLEFINANCE(""Currency:EURKZT"")*L361+S361)"),2829887)</f>
        <v>2829887</v>
      </c>
      <c r="U361" s="26">
        <f ca="1">IFERROR(__xludf.DUMMYFUNCTION("D361*GOOGLEFINANCE(""RUBKZT"")*1000/F361"),3264513.7444859)</f>
        <v>3264513.7444858998</v>
      </c>
      <c r="V361" s="27">
        <f t="shared" ca="1" si="270"/>
        <v>0.15358448746748538</v>
      </c>
    </row>
    <row r="362" spans="1:22" ht="12.75" customHeight="1" x14ac:dyDescent="0.2">
      <c r="A362" s="6" t="s">
        <v>66</v>
      </c>
      <c r="B362" s="6" t="s">
        <v>15</v>
      </c>
      <c r="C362" s="7">
        <v>110658</v>
      </c>
      <c r="D362" s="8">
        <v>84013.2</v>
      </c>
      <c r="E362" s="9" t="s">
        <v>16</v>
      </c>
      <c r="F362" s="23">
        <v>208</v>
      </c>
      <c r="G362" s="25"/>
      <c r="H362" s="14">
        <f t="shared" si="264"/>
        <v>0.55000000000000004</v>
      </c>
      <c r="I362" s="25">
        <f ca="1">IFERROR(__xludf.DUMMYFUNCTION("ROUND(D362*GOOGLEFINANCE(""RUBKZT"")*H362)"),360579)</f>
        <v>360579</v>
      </c>
      <c r="J362" s="26">
        <f ca="1">IFERROR(__xludf.DUMMYFUNCTION("ROUND(I362*GOOGLEFINANCE(""KZTEUR""))"),755)</f>
        <v>755</v>
      </c>
      <c r="K362" s="26">
        <f t="shared" ca="1" si="265"/>
        <v>3630</v>
      </c>
      <c r="L362" s="26">
        <f t="shared" ca="1" si="266"/>
        <v>689.7</v>
      </c>
      <c r="M362" s="26">
        <f t="shared" ref="M362:N362" si="372">M$3</f>
        <v>500</v>
      </c>
      <c r="N362" s="26">
        <f t="shared" si="372"/>
        <v>500</v>
      </c>
      <c r="O362" s="26">
        <f ca="1">IFERROR(__xludf.DUMMYFUNCTION("ROUND(GOOGLEFINANCE(""Currency:EURKZT"")*K362)"),1733578)</f>
        <v>1733578</v>
      </c>
      <c r="P362" s="26">
        <f ca="1">IFERROR(__xludf.DUMMYFUNCTION("ROUND(GOOGLEFINANCE(""Currency:EURKZT"")*M362)"),238785)</f>
        <v>238785</v>
      </c>
      <c r="Q362" s="26">
        <f ca="1">IFERROR(__xludf.DUMMYFUNCTION("ROUND(GOOGLEFINANCE(""Currency:EURKZT"")*N362)"),238785)</f>
        <v>238785</v>
      </c>
      <c r="R362" s="26">
        <f t="shared" ca="1" si="268"/>
        <v>208029</v>
      </c>
      <c r="S362" s="26">
        <f t="shared" ca="1" si="269"/>
        <v>2419177</v>
      </c>
      <c r="T362" s="26">
        <f ca="1">IFERROR(__xludf.DUMMYFUNCTION("ROUND(GOOGLEFINANCE(""Currency:EURKZT"")*L362+S362)"),2748557)</f>
        <v>2748557</v>
      </c>
      <c r="U362" s="26">
        <f ca="1">IFERROR(__xludf.DUMMYFUNCTION("D362*GOOGLEFINANCE(""RUBKZT"")*1000/F362"),3151917.91379637)</f>
        <v>3151917.9137963699</v>
      </c>
      <c r="V362" s="27">
        <f t="shared" ca="1" si="270"/>
        <v>0.14675370159555357</v>
      </c>
    </row>
    <row r="363" spans="1:22" ht="12.75" customHeight="1" x14ac:dyDescent="0.2">
      <c r="A363" s="6" t="s">
        <v>68</v>
      </c>
      <c r="B363" s="6" t="s">
        <v>15</v>
      </c>
      <c r="C363" s="7">
        <v>110685</v>
      </c>
      <c r="D363" s="8">
        <v>79533.599999999991</v>
      </c>
      <c r="E363" s="9" t="s">
        <v>16</v>
      </c>
      <c r="F363" s="23">
        <v>208</v>
      </c>
      <c r="G363" s="25"/>
      <c r="H363" s="14">
        <f t="shared" si="264"/>
        <v>0.55000000000000004</v>
      </c>
      <c r="I363" s="25">
        <f ca="1">IFERROR(__xludf.DUMMYFUNCTION("ROUND(D363*GOOGLEFINANCE(""RUBKZT"")*H363)"),341353)</f>
        <v>341353</v>
      </c>
      <c r="J363" s="26">
        <f ca="1">IFERROR(__xludf.DUMMYFUNCTION("ROUND(I363*GOOGLEFINANCE(""KZTEUR""))"),715)</f>
        <v>715</v>
      </c>
      <c r="K363" s="26">
        <f t="shared" ca="1" si="265"/>
        <v>3438</v>
      </c>
      <c r="L363" s="26">
        <f t="shared" ca="1" si="266"/>
        <v>653.22</v>
      </c>
      <c r="M363" s="26">
        <f t="shared" ref="M363:N363" si="373">M$3</f>
        <v>500</v>
      </c>
      <c r="N363" s="26">
        <f t="shared" si="373"/>
        <v>500</v>
      </c>
      <c r="O363" s="26">
        <f ca="1">IFERROR(__xludf.DUMMYFUNCTION("ROUND(GOOGLEFINANCE(""Currency:EURKZT"")*K363)"),1641884)</f>
        <v>1641884</v>
      </c>
      <c r="P363" s="26">
        <f ca="1">IFERROR(__xludf.DUMMYFUNCTION("ROUND(GOOGLEFINANCE(""Currency:EURKZT"")*M363)"),238785)</f>
        <v>238785</v>
      </c>
      <c r="Q363" s="26">
        <f ca="1">IFERROR(__xludf.DUMMYFUNCTION("ROUND(GOOGLEFINANCE(""Currency:EURKZT"")*N363)"),238785)</f>
        <v>238785</v>
      </c>
      <c r="R363" s="26">
        <f t="shared" ca="1" si="268"/>
        <v>197026</v>
      </c>
      <c r="S363" s="26">
        <f t="shared" ca="1" si="269"/>
        <v>2316480</v>
      </c>
      <c r="T363" s="26">
        <f ca="1">IFERROR(__xludf.DUMMYFUNCTION("ROUND(GOOGLEFINANCE(""Currency:EURKZT"")*L363+S363)"),2628438)</f>
        <v>2628438</v>
      </c>
      <c r="U363" s="26">
        <f ca="1">IFERROR(__xludf.DUMMYFUNCTION("D363*GOOGLEFINANCE(""RUBKZT"")*1000/F363"),2983857.04375878)</f>
        <v>2983857.0437587802</v>
      </c>
      <c r="V363" s="27">
        <f t="shared" ca="1" si="270"/>
        <v>0.13522063056415265</v>
      </c>
    </row>
    <row r="364" spans="1:22" ht="12.75" customHeight="1" x14ac:dyDescent="0.2">
      <c r="A364" s="6" t="s">
        <v>69</v>
      </c>
      <c r="B364" s="6" t="s">
        <v>15</v>
      </c>
      <c r="C364" s="7">
        <v>110698</v>
      </c>
      <c r="D364" s="8">
        <v>80136</v>
      </c>
      <c r="E364" s="9" t="s">
        <v>16</v>
      </c>
      <c r="F364" s="23">
        <v>208</v>
      </c>
      <c r="G364" s="25"/>
      <c r="H364" s="14">
        <f t="shared" si="264"/>
        <v>0.55000000000000004</v>
      </c>
      <c r="I364" s="25">
        <f ca="1">IFERROR(__xludf.DUMMYFUNCTION("ROUND(D364*GOOGLEFINANCE(""RUBKZT"")*H364)"),343939)</f>
        <v>343939</v>
      </c>
      <c r="J364" s="26">
        <f ca="1">IFERROR(__xludf.DUMMYFUNCTION("ROUND(I364*GOOGLEFINANCE(""KZTEUR""))"),720)</f>
        <v>720</v>
      </c>
      <c r="K364" s="26">
        <f t="shared" ca="1" si="265"/>
        <v>3462</v>
      </c>
      <c r="L364" s="26">
        <f t="shared" ca="1" si="266"/>
        <v>657.78</v>
      </c>
      <c r="M364" s="26">
        <f t="shared" ref="M364:N364" si="374">M$3</f>
        <v>500</v>
      </c>
      <c r="N364" s="26">
        <f t="shared" si="374"/>
        <v>500</v>
      </c>
      <c r="O364" s="26">
        <f ca="1">IFERROR(__xludf.DUMMYFUNCTION("ROUND(GOOGLEFINANCE(""Currency:EURKZT"")*K364)"),1653346)</f>
        <v>1653346</v>
      </c>
      <c r="P364" s="26">
        <f ca="1">IFERROR(__xludf.DUMMYFUNCTION("ROUND(GOOGLEFINANCE(""Currency:EURKZT"")*M364)"),238785)</f>
        <v>238785</v>
      </c>
      <c r="Q364" s="26">
        <f ca="1">IFERROR(__xludf.DUMMYFUNCTION("ROUND(GOOGLEFINANCE(""Currency:EURKZT"")*N364)"),238785)</f>
        <v>238785</v>
      </c>
      <c r="R364" s="26">
        <f t="shared" ca="1" si="268"/>
        <v>198402</v>
      </c>
      <c r="S364" s="26">
        <f t="shared" ca="1" si="269"/>
        <v>2329318</v>
      </c>
      <c r="T364" s="26">
        <f ca="1">IFERROR(__xludf.DUMMYFUNCTION("ROUND(GOOGLEFINANCE(""Currency:EURKZT"")*L364+S364)"),2643454)</f>
        <v>2643454</v>
      </c>
      <c r="U364" s="26">
        <f ca="1">IFERROR(__xludf.DUMMYFUNCTION("D364*GOOGLEFINANCE(""RUBKZT"")*1000/F364"),3006457.24648015)</f>
        <v>3006457.2464801501</v>
      </c>
      <c r="V364" s="27">
        <f t="shared" ca="1" si="270"/>
        <v>0.13732156734338866</v>
      </c>
    </row>
    <row r="365" spans="1:22" ht="12.75" customHeight="1" x14ac:dyDescent="0.2">
      <c r="A365" s="6" t="s">
        <v>70</v>
      </c>
      <c r="B365" s="6" t="s">
        <v>15</v>
      </c>
      <c r="C365" s="7">
        <v>110742</v>
      </c>
      <c r="D365" s="8">
        <v>106742.39999999999</v>
      </c>
      <c r="E365" s="9" t="s">
        <v>16</v>
      </c>
      <c r="F365" s="23">
        <v>208</v>
      </c>
      <c r="G365" s="25"/>
      <c r="H365" s="14">
        <f t="shared" si="264"/>
        <v>0.55000000000000004</v>
      </c>
      <c r="I365" s="25">
        <f ca="1">IFERROR(__xludf.DUMMYFUNCTION("ROUND(D365*GOOGLEFINANCE(""RUBKZT"")*H365)"),458132)</f>
        <v>458132</v>
      </c>
      <c r="J365" s="26">
        <f ca="1">IFERROR(__xludf.DUMMYFUNCTION("ROUND(I365*GOOGLEFINANCE(""KZTEUR""))"),959)</f>
        <v>959</v>
      </c>
      <c r="K365" s="26">
        <f t="shared" ca="1" si="265"/>
        <v>4611</v>
      </c>
      <c r="L365" s="26">
        <f t="shared" ca="1" si="266"/>
        <v>876.09</v>
      </c>
      <c r="M365" s="26">
        <f t="shared" ref="M365:N365" si="375">M$3</f>
        <v>500</v>
      </c>
      <c r="N365" s="26">
        <f t="shared" si="375"/>
        <v>500</v>
      </c>
      <c r="O365" s="26">
        <f ca="1">IFERROR(__xludf.DUMMYFUNCTION("ROUND(GOOGLEFINANCE(""Currency:EURKZT"")*K365)"),2202073)</f>
        <v>2202073</v>
      </c>
      <c r="P365" s="26">
        <f ca="1">IFERROR(__xludf.DUMMYFUNCTION("ROUND(GOOGLEFINANCE(""Currency:EURKZT"")*M365)"),238785)</f>
        <v>238785</v>
      </c>
      <c r="Q365" s="26">
        <f ca="1">IFERROR(__xludf.DUMMYFUNCTION("ROUND(GOOGLEFINANCE(""Currency:EURKZT"")*N365)"),238785)</f>
        <v>238785</v>
      </c>
      <c r="R365" s="26">
        <f t="shared" ca="1" si="268"/>
        <v>264249</v>
      </c>
      <c r="S365" s="26">
        <f t="shared" ca="1" si="269"/>
        <v>2943892</v>
      </c>
      <c r="T365" s="26">
        <f ca="1">IFERROR(__xludf.DUMMYFUNCTION("ROUND(GOOGLEFINANCE(""Currency:EURKZT"")*L365+S365)"),3362286)</f>
        <v>3362286</v>
      </c>
      <c r="U365" s="26">
        <f ca="1">IFERROR(__xludf.DUMMYFUNCTION("D365*GOOGLEFINANCE(""RUBKZT"")*1000/F365"),4004647.87344867)</f>
        <v>4004647.8734486699</v>
      </c>
      <c r="V365" s="27">
        <f t="shared" ca="1" si="270"/>
        <v>0.19104914735054362</v>
      </c>
    </row>
    <row r="366" spans="1:22" ht="12.75" customHeight="1" x14ac:dyDescent="0.2">
      <c r="A366" s="6" t="s">
        <v>71</v>
      </c>
      <c r="B366" s="6" t="s">
        <v>15</v>
      </c>
      <c r="C366" s="7">
        <v>110784</v>
      </c>
      <c r="D366" s="8">
        <v>89596.800000000003</v>
      </c>
      <c r="E366" s="9" t="s">
        <v>16</v>
      </c>
      <c r="F366" s="23">
        <v>208</v>
      </c>
      <c r="G366" s="25"/>
      <c r="H366" s="14">
        <f t="shared" si="264"/>
        <v>0.55000000000000004</v>
      </c>
      <c r="I366" s="25">
        <f ca="1">IFERROR(__xludf.DUMMYFUNCTION("ROUND(D366*GOOGLEFINANCE(""RUBKZT"")*H366)"),384544)</f>
        <v>384544</v>
      </c>
      <c r="J366" s="26">
        <f ca="1">IFERROR(__xludf.DUMMYFUNCTION("ROUND(I366*GOOGLEFINANCE(""KZTEUR""))"),805)</f>
        <v>805</v>
      </c>
      <c r="K366" s="26">
        <f t="shared" ca="1" si="265"/>
        <v>3870</v>
      </c>
      <c r="L366" s="26">
        <f t="shared" ca="1" si="266"/>
        <v>735.3</v>
      </c>
      <c r="M366" s="26">
        <f t="shared" ref="M366:N366" si="376">M$3</f>
        <v>500</v>
      </c>
      <c r="N366" s="26">
        <f t="shared" si="376"/>
        <v>500</v>
      </c>
      <c r="O366" s="26">
        <f ca="1">IFERROR(__xludf.DUMMYFUNCTION("ROUND(GOOGLEFINANCE(""Currency:EURKZT"")*K366)"),1848194)</f>
        <v>1848194</v>
      </c>
      <c r="P366" s="26">
        <f ca="1">IFERROR(__xludf.DUMMYFUNCTION("ROUND(GOOGLEFINANCE(""Currency:EURKZT"")*M366)"),238785)</f>
        <v>238785</v>
      </c>
      <c r="Q366" s="26">
        <f ca="1">IFERROR(__xludf.DUMMYFUNCTION("ROUND(GOOGLEFINANCE(""Currency:EURKZT"")*N366)"),238785)</f>
        <v>238785</v>
      </c>
      <c r="R366" s="26">
        <f t="shared" ca="1" si="268"/>
        <v>221783</v>
      </c>
      <c r="S366" s="26">
        <f t="shared" ca="1" si="269"/>
        <v>2547547</v>
      </c>
      <c r="T366" s="26">
        <f ca="1">IFERROR(__xludf.DUMMYFUNCTION("ROUND(GOOGLEFINANCE(""Currency:EURKZT"")*L366+S366)"),2898704)</f>
        <v>2898704</v>
      </c>
      <c r="U366" s="26">
        <f ca="1">IFERROR(__xludf.DUMMYFUNCTION("D366*GOOGLEFINANCE(""RUBKZT"")*1000/F366"),3361397.48204843)</f>
        <v>3361397.48204843</v>
      </c>
      <c r="V366" s="27">
        <f t="shared" ca="1" si="270"/>
        <v>0.15962081055824603</v>
      </c>
    </row>
    <row r="367" spans="1:22" ht="12.75" customHeight="1" x14ac:dyDescent="0.2">
      <c r="A367" s="6" t="s">
        <v>73</v>
      </c>
      <c r="B367" s="6" t="s">
        <v>15</v>
      </c>
      <c r="C367" s="7">
        <v>110800</v>
      </c>
      <c r="D367" s="8">
        <v>95674.8</v>
      </c>
      <c r="E367" s="9" t="s">
        <v>16</v>
      </c>
      <c r="F367" s="23">
        <v>208</v>
      </c>
      <c r="G367" s="25"/>
      <c r="H367" s="14">
        <f t="shared" si="264"/>
        <v>0.55000000000000004</v>
      </c>
      <c r="I367" s="25">
        <f ca="1">IFERROR(__xludf.DUMMYFUNCTION("ROUND(D367*GOOGLEFINANCE(""RUBKZT"")*H367)"),410630)</f>
        <v>410630</v>
      </c>
      <c r="J367" s="26">
        <f ca="1">IFERROR(__xludf.DUMMYFUNCTION("ROUND(I367*GOOGLEFINANCE(""KZTEUR""))"),860)</f>
        <v>860</v>
      </c>
      <c r="K367" s="26">
        <f t="shared" ca="1" si="265"/>
        <v>4135</v>
      </c>
      <c r="L367" s="26">
        <f t="shared" ca="1" si="266"/>
        <v>785.65</v>
      </c>
      <c r="M367" s="26">
        <f t="shared" ref="M367:N367" si="377">M$3</f>
        <v>500</v>
      </c>
      <c r="N367" s="26">
        <f t="shared" si="377"/>
        <v>500</v>
      </c>
      <c r="O367" s="26">
        <f ca="1">IFERROR(__xludf.DUMMYFUNCTION("ROUND(GOOGLEFINANCE(""Currency:EURKZT"")*K367)"),1974750)</f>
        <v>1974750</v>
      </c>
      <c r="P367" s="26">
        <f ca="1">IFERROR(__xludf.DUMMYFUNCTION("ROUND(GOOGLEFINANCE(""Currency:EURKZT"")*M367)"),238785)</f>
        <v>238785</v>
      </c>
      <c r="Q367" s="26">
        <f ca="1">IFERROR(__xludf.DUMMYFUNCTION("ROUND(GOOGLEFINANCE(""Currency:EURKZT"")*N367)"),238785)</f>
        <v>238785</v>
      </c>
      <c r="R367" s="26">
        <f t="shared" ca="1" si="268"/>
        <v>236970</v>
      </c>
      <c r="S367" s="26">
        <f t="shared" ca="1" si="269"/>
        <v>2689290</v>
      </c>
      <c r="T367" s="26">
        <f ca="1">IFERROR(__xludf.DUMMYFUNCTION("ROUND(GOOGLEFINANCE(""Currency:EURKZT"")*L367+S367)"),3064493)</f>
        <v>3064493</v>
      </c>
      <c r="U367" s="26">
        <f ca="1">IFERROR(__xludf.DUMMYFUNCTION("D367*GOOGLEFINANCE(""RUBKZT"")*1000/F367"),3589425.4238487)</f>
        <v>3589425.4238486998</v>
      </c>
      <c r="V367" s="27">
        <f t="shared" ca="1" si="270"/>
        <v>0.17129503113523176</v>
      </c>
    </row>
    <row r="368" spans="1:22" ht="12.75" customHeight="1" x14ac:dyDescent="0.2">
      <c r="A368" s="6" t="s">
        <v>74</v>
      </c>
      <c r="B368" s="6" t="s">
        <v>15</v>
      </c>
      <c r="C368" s="7">
        <v>111382</v>
      </c>
      <c r="D368" s="8">
        <v>111193.2</v>
      </c>
      <c r="E368" s="9" t="s">
        <v>16</v>
      </c>
      <c r="F368" s="23">
        <v>208</v>
      </c>
      <c r="G368" s="25"/>
      <c r="H368" s="14">
        <f t="shared" si="264"/>
        <v>0.55000000000000004</v>
      </c>
      <c r="I368" s="25">
        <f ca="1">IFERROR(__xludf.DUMMYFUNCTION("ROUND(D368*GOOGLEFINANCE(""RUBKZT"")*H368)"),477234)</f>
        <v>477234</v>
      </c>
      <c r="J368" s="26">
        <f ca="1">IFERROR(__xludf.DUMMYFUNCTION("ROUND(I368*GOOGLEFINANCE(""KZTEUR""))"),999)</f>
        <v>999</v>
      </c>
      <c r="K368" s="26">
        <f t="shared" ca="1" si="265"/>
        <v>4803</v>
      </c>
      <c r="L368" s="26">
        <f t="shared" ca="1" si="266"/>
        <v>912.57</v>
      </c>
      <c r="M368" s="26">
        <f t="shared" ref="M368:N368" si="378">M$3</f>
        <v>500</v>
      </c>
      <c r="N368" s="26">
        <f t="shared" si="378"/>
        <v>500</v>
      </c>
      <c r="O368" s="26">
        <f ca="1">IFERROR(__xludf.DUMMYFUNCTION("ROUND(GOOGLEFINANCE(""Currency:EURKZT"")*K368)"),2293767)</f>
        <v>2293767</v>
      </c>
      <c r="P368" s="26">
        <f ca="1">IFERROR(__xludf.DUMMYFUNCTION("ROUND(GOOGLEFINANCE(""Currency:EURKZT"")*M368)"),238785)</f>
        <v>238785</v>
      </c>
      <c r="Q368" s="26">
        <f ca="1">IFERROR(__xludf.DUMMYFUNCTION("ROUND(GOOGLEFINANCE(""Currency:EURKZT"")*N368)"),238785)</f>
        <v>238785</v>
      </c>
      <c r="R368" s="26">
        <f t="shared" ca="1" si="268"/>
        <v>275252</v>
      </c>
      <c r="S368" s="26">
        <f t="shared" ca="1" si="269"/>
        <v>3046589</v>
      </c>
      <c r="T368" s="26">
        <f ca="1">IFERROR(__xludf.DUMMYFUNCTION("ROUND(GOOGLEFINANCE(""Currency:EURKZT"")*L368+S368)"),3482405)</f>
        <v>3482405</v>
      </c>
      <c r="U368" s="26">
        <f ca="1">IFERROR(__xludf.DUMMYFUNCTION("D368*GOOGLEFINANCE(""RUBKZT"")*1000/F368"),4171628.25570676)</f>
        <v>4171628.2557067601</v>
      </c>
      <c r="V368" s="27">
        <f t="shared" ca="1" si="270"/>
        <v>0.19791588161249485</v>
      </c>
    </row>
    <row r="369" spans="1:22" ht="12.75" customHeight="1" x14ac:dyDescent="0.2">
      <c r="A369" s="6" t="s">
        <v>75</v>
      </c>
      <c r="B369" s="6" t="s">
        <v>15</v>
      </c>
      <c r="C369" s="7">
        <v>111482</v>
      </c>
      <c r="D369" s="8">
        <v>100894.8</v>
      </c>
      <c r="E369" s="9" t="s">
        <v>16</v>
      </c>
      <c r="F369" s="23">
        <v>208</v>
      </c>
      <c r="G369" s="25"/>
      <c r="H369" s="14">
        <f t="shared" si="264"/>
        <v>0.55000000000000004</v>
      </c>
      <c r="I369" s="25">
        <f ca="1">IFERROR(__xludf.DUMMYFUNCTION("ROUND(D369*GOOGLEFINANCE(""RUBKZT"")*H369)"),433034)</f>
        <v>433034</v>
      </c>
      <c r="J369" s="26">
        <f ca="1">IFERROR(__xludf.DUMMYFUNCTION("ROUND(I369*GOOGLEFINANCE(""KZTEUR""))"),907)</f>
        <v>907</v>
      </c>
      <c r="K369" s="26">
        <f t="shared" ca="1" si="265"/>
        <v>4361</v>
      </c>
      <c r="L369" s="26">
        <f t="shared" ca="1" si="266"/>
        <v>828.59</v>
      </c>
      <c r="M369" s="26">
        <f t="shared" ref="M369:N369" si="379">M$3</f>
        <v>500</v>
      </c>
      <c r="N369" s="26">
        <f t="shared" si="379"/>
        <v>500</v>
      </c>
      <c r="O369" s="26">
        <f ca="1">IFERROR(__xludf.DUMMYFUNCTION("ROUND(GOOGLEFINANCE(""Currency:EURKZT"")*K369)"),2082681)</f>
        <v>2082681</v>
      </c>
      <c r="P369" s="26">
        <f ca="1">IFERROR(__xludf.DUMMYFUNCTION("ROUND(GOOGLEFINANCE(""Currency:EURKZT"")*M369)"),238785)</f>
        <v>238785</v>
      </c>
      <c r="Q369" s="26">
        <f ca="1">IFERROR(__xludf.DUMMYFUNCTION("ROUND(GOOGLEFINANCE(""Currency:EURKZT"")*N369)"),238785)</f>
        <v>238785</v>
      </c>
      <c r="R369" s="26">
        <f t="shared" ca="1" si="268"/>
        <v>249922</v>
      </c>
      <c r="S369" s="26">
        <f t="shared" ca="1" si="269"/>
        <v>2810173</v>
      </c>
      <c r="T369" s="26">
        <f ca="1">IFERROR(__xludf.DUMMYFUNCTION("ROUND(GOOGLEFINANCE(""Currency:EURKZT"")*L369+S369)"),3205882)</f>
        <v>3205882</v>
      </c>
      <c r="U369" s="26">
        <f ca="1">IFERROR(__xludf.DUMMYFUNCTION("D369*GOOGLEFINANCE(""RUBKZT"")*1000/F369"),3785263.83388446)</f>
        <v>3785263.8338844599</v>
      </c>
      <c r="V369" s="27">
        <f t="shared" ca="1" si="270"/>
        <v>0.18072462863089156</v>
      </c>
    </row>
    <row r="370" spans="1:22" ht="12.75" customHeight="1" x14ac:dyDescent="0.2">
      <c r="A370" s="6" t="s">
        <v>76</v>
      </c>
      <c r="B370" s="6" t="s">
        <v>15</v>
      </c>
      <c r="C370" s="7">
        <v>111679</v>
      </c>
      <c r="D370" s="8">
        <v>99068.4</v>
      </c>
      <c r="E370" s="9" t="s">
        <v>16</v>
      </c>
      <c r="F370" s="23">
        <v>208</v>
      </c>
      <c r="G370" s="25"/>
      <c r="H370" s="14">
        <f t="shared" si="264"/>
        <v>0.55000000000000004</v>
      </c>
      <c r="I370" s="25">
        <f ca="1">IFERROR(__xludf.DUMMYFUNCTION("ROUND(D370*GOOGLEFINANCE(""RUBKZT"")*H370)"),425195)</f>
        <v>425195</v>
      </c>
      <c r="J370" s="26">
        <f ca="1">IFERROR(__xludf.DUMMYFUNCTION("ROUND(I370*GOOGLEFINANCE(""KZTEUR""))"),890)</f>
        <v>890</v>
      </c>
      <c r="K370" s="26">
        <f t="shared" ca="1" si="265"/>
        <v>4279</v>
      </c>
      <c r="L370" s="26">
        <f t="shared" ca="1" si="266"/>
        <v>813.01</v>
      </c>
      <c r="M370" s="26">
        <f t="shared" ref="M370:N370" si="380">M$3</f>
        <v>500</v>
      </c>
      <c r="N370" s="26">
        <f t="shared" si="380"/>
        <v>500</v>
      </c>
      <c r="O370" s="26">
        <f ca="1">IFERROR(__xludf.DUMMYFUNCTION("ROUND(GOOGLEFINANCE(""Currency:EURKZT"")*K370)"),2043520)</f>
        <v>2043520</v>
      </c>
      <c r="P370" s="26">
        <f ca="1">IFERROR(__xludf.DUMMYFUNCTION("ROUND(GOOGLEFINANCE(""Currency:EURKZT"")*M370)"),238785)</f>
        <v>238785</v>
      </c>
      <c r="Q370" s="26">
        <f ca="1">IFERROR(__xludf.DUMMYFUNCTION("ROUND(GOOGLEFINANCE(""Currency:EURKZT"")*N370)"),238785)</f>
        <v>238785</v>
      </c>
      <c r="R370" s="26">
        <f t="shared" ca="1" si="268"/>
        <v>245222</v>
      </c>
      <c r="S370" s="26">
        <f t="shared" ca="1" si="269"/>
        <v>2766312</v>
      </c>
      <c r="T370" s="26">
        <f ca="1">IFERROR(__xludf.DUMMYFUNCTION("ROUND(GOOGLEFINANCE(""Currency:EURKZT"")*L370+S370)"),3154581)</f>
        <v>3154581</v>
      </c>
      <c r="U370" s="26">
        <f ca="1">IFERROR(__xludf.DUMMYFUNCTION("D370*GOOGLEFINANCE(""RUBKZT"")*1000/F370"),3716742.90053402)</f>
        <v>3716742.9005340198</v>
      </c>
      <c r="V370" s="27">
        <f t="shared" ca="1" si="270"/>
        <v>0.17820493451714184</v>
      </c>
    </row>
    <row r="371" spans="1:22" ht="12.75" customHeight="1" x14ac:dyDescent="0.2">
      <c r="A371" s="6" t="s">
        <v>67</v>
      </c>
      <c r="B371" s="6" t="s">
        <v>15</v>
      </c>
      <c r="C371" s="7">
        <v>111811</v>
      </c>
      <c r="D371" s="8">
        <v>94526.399999999994</v>
      </c>
      <c r="E371" s="9" t="s">
        <v>16</v>
      </c>
      <c r="F371" s="23">
        <v>208</v>
      </c>
      <c r="G371" s="25"/>
      <c r="H371" s="14">
        <f t="shared" si="264"/>
        <v>0.55000000000000004</v>
      </c>
      <c r="I371" s="25">
        <f ca="1">IFERROR(__xludf.DUMMYFUNCTION("ROUND(D371*GOOGLEFINANCE(""RUBKZT"")*H371)"),405701)</f>
        <v>405701</v>
      </c>
      <c r="J371" s="26">
        <f ca="1">IFERROR(__xludf.DUMMYFUNCTION("ROUND(I371*GOOGLEFINANCE(""KZTEUR""))"),850)</f>
        <v>850</v>
      </c>
      <c r="K371" s="26">
        <f t="shared" ca="1" si="265"/>
        <v>4087</v>
      </c>
      <c r="L371" s="26">
        <f t="shared" ca="1" si="266"/>
        <v>776.53</v>
      </c>
      <c r="M371" s="26">
        <f t="shared" ref="M371:N371" si="381">M$3</f>
        <v>500</v>
      </c>
      <c r="N371" s="26">
        <f t="shared" si="381"/>
        <v>500</v>
      </c>
      <c r="O371" s="26">
        <f ca="1">IFERROR(__xludf.DUMMYFUNCTION("ROUND(GOOGLEFINANCE(""Currency:EURKZT"")*K371)"),1951827)</f>
        <v>1951827</v>
      </c>
      <c r="P371" s="26">
        <f ca="1">IFERROR(__xludf.DUMMYFUNCTION("ROUND(GOOGLEFINANCE(""Currency:EURKZT"")*M371)"),238785)</f>
        <v>238785</v>
      </c>
      <c r="Q371" s="26">
        <f ca="1">IFERROR(__xludf.DUMMYFUNCTION("ROUND(GOOGLEFINANCE(""Currency:EURKZT"")*N371)"),238785)</f>
        <v>238785</v>
      </c>
      <c r="R371" s="26">
        <f t="shared" ca="1" si="268"/>
        <v>234219</v>
      </c>
      <c r="S371" s="26">
        <f t="shared" ca="1" si="269"/>
        <v>2663616</v>
      </c>
      <c r="T371" s="26">
        <f ca="1">IFERROR(__xludf.DUMMYFUNCTION("ROUND(GOOGLEFINANCE(""Currency:EURKZT"")*L371+S371)"),3034463)</f>
        <v>3034463</v>
      </c>
      <c r="U371" s="26">
        <f ca="1">IFERROR(__xludf.DUMMYFUNCTION("D371*GOOGLEFINANCE(""RUBKZT"")*1000/F371"),3546340.97364083)</f>
        <v>3546340.9736408298</v>
      </c>
      <c r="V371" s="27">
        <f t="shared" ca="1" si="270"/>
        <v>0.1686881578852106</v>
      </c>
    </row>
    <row r="372" spans="1:22" ht="12.75" customHeight="1" x14ac:dyDescent="0.2">
      <c r="A372" s="6" t="s">
        <v>77</v>
      </c>
      <c r="B372" s="6" t="s">
        <v>15</v>
      </c>
      <c r="C372" s="7">
        <v>112111</v>
      </c>
      <c r="D372" s="8">
        <v>123115.2</v>
      </c>
      <c r="E372" s="9" t="s">
        <v>16</v>
      </c>
      <c r="F372" s="23">
        <v>208</v>
      </c>
      <c r="G372" s="25"/>
      <c r="H372" s="14">
        <f t="shared" si="264"/>
        <v>0.55000000000000004</v>
      </c>
      <c r="I372" s="25">
        <f ca="1">IFERROR(__xludf.DUMMYFUNCTION("ROUND(D372*GOOGLEFINANCE(""RUBKZT"")*H372)"),528403)</f>
        <v>528403</v>
      </c>
      <c r="J372" s="26">
        <f ca="1">IFERROR(__xludf.DUMMYFUNCTION("ROUND(I372*GOOGLEFINANCE(""KZTEUR""))"),1107)</f>
        <v>1107</v>
      </c>
      <c r="K372" s="26">
        <f t="shared" ca="1" si="265"/>
        <v>5322</v>
      </c>
      <c r="L372" s="26">
        <f t="shared" ca="1" si="266"/>
        <v>1011.1800000000001</v>
      </c>
      <c r="M372" s="26">
        <f t="shared" ref="M372:N372" si="382">M$3</f>
        <v>500</v>
      </c>
      <c r="N372" s="26">
        <f t="shared" si="382"/>
        <v>500</v>
      </c>
      <c r="O372" s="26">
        <f ca="1">IFERROR(__xludf.DUMMYFUNCTION("ROUND(GOOGLEFINANCE(""Currency:EURKZT"")*K372)"),2541625)</f>
        <v>2541625</v>
      </c>
      <c r="P372" s="26">
        <f ca="1">IFERROR(__xludf.DUMMYFUNCTION("ROUND(GOOGLEFINANCE(""Currency:EURKZT"")*M372)"),238785)</f>
        <v>238785</v>
      </c>
      <c r="Q372" s="26">
        <f ca="1">IFERROR(__xludf.DUMMYFUNCTION("ROUND(GOOGLEFINANCE(""Currency:EURKZT"")*N372)"),238785)</f>
        <v>238785</v>
      </c>
      <c r="R372" s="26">
        <f t="shared" ca="1" si="268"/>
        <v>304995</v>
      </c>
      <c r="S372" s="26">
        <f t="shared" ca="1" si="269"/>
        <v>3324190</v>
      </c>
      <c r="T372" s="26">
        <f ca="1">IFERROR(__xludf.DUMMYFUNCTION("ROUND(GOOGLEFINANCE(""Currency:EURKZT"")*L372+S372)"),3807099)</f>
        <v>3807099</v>
      </c>
      <c r="U372" s="26">
        <f ca="1">IFERROR(__xludf.DUMMYFUNCTION("D372*GOOGLEFINANCE(""RUBKZT"")*1000/F372"),4618905.1760988)</f>
        <v>4618905.1760988003</v>
      </c>
      <c r="V372" s="27">
        <f t="shared" ca="1" si="270"/>
        <v>0.21323484787204122</v>
      </c>
    </row>
    <row r="373" spans="1:22" ht="12.75" customHeight="1" x14ac:dyDescent="0.2">
      <c r="A373" s="6" t="s">
        <v>79</v>
      </c>
      <c r="B373" s="6" t="s">
        <v>15</v>
      </c>
      <c r="C373" s="7">
        <v>112271</v>
      </c>
      <c r="D373" s="8">
        <v>92469.599999999991</v>
      </c>
      <c r="E373" s="9" t="s">
        <v>16</v>
      </c>
      <c r="F373" s="23">
        <v>208</v>
      </c>
      <c r="G373" s="25"/>
      <c r="H373" s="14">
        <f t="shared" si="264"/>
        <v>0.55000000000000004</v>
      </c>
      <c r="I373" s="25">
        <f ca="1">IFERROR(__xludf.DUMMYFUNCTION("ROUND(D373*GOOGLEFINANCE(""RUBKZT"")*H373)"),396874)</f>
        <v>396874</v>
      </c>
      <c r="J373" s="26">
        <f ca="1">IFERROR(__xludf.DUMMYFUNCTION("ROUND(I373*GOOGLEFINANCE(""KZTEUR""))"),831)</f>
        <v>831</v>
      </c>
      <c r="K373" s="26">
        <f t="shared" ca="1" si="265"/>
        <v>3995</v>
      </c>
      <c r="L373" s="26">
        <f t="shared" ca="1" si="266"/>
        <v>759.05</v>
      </c>
      <c r="M373" s="26">
        <f t="shared" ref="M373:N373" si="383">M$3</f>
        <v>500</v>
      </c>
      <c r="N373" s="26">
        <f t="shared" si="383"/>
        <v>500</v>
      </c>
      <c r="O373" s="26">
        <f ca="1">IFERROR(__xludf.DUMMYFUNCTION("ROUND(GOOGLEFINANCE(""Currency:EURKZT"")*K373)"),1907891)</f>
        <v>1907891</v>
      </c>
      <c r="P373" s="26">
        <f ca="1">IFERROR(__xludf.DUMMYFUNCTION("ROUND(GOOGLEFINANCE(""Currency:EURKZT"")*M373)"),238785)</f>
        <v>238785</v>
      </c>
      <c r="Q373" s="26">
        <f ca="1">IFERROR(__xludf.DUMMYFUNCTION("ROUND(GOOGLEFINANCE(""Currency:EURKZT"")*N373)"),238785)</f>
        <v>238785</v>
      </c>
      <c r="R373" s="26">
        <f t="shared" ca="1" si="268"/>
        <v>228947</v>
      </c>
      <c r="S373" s="26">
        <f t="shared" ca="1" si="269"/>
        <v>2614408</v>
      </c>
      <c r="T373" s="26">
        <f ca="1">IFERROR(__xludf.DUMMYFUNCTION("ROUND(GOOGLEFINANCE(""Currency:EURKZT"")*L373+S373)"),2976907)</f>
        <v>2976907</v>
      </c>
      <c r="U373" s="26">
        <f ca="1">IFERROR(__xludf.DUMMYFUNCTION("D373*GOOGLEFINANCE(""RUBKZT"")*1000/F373"),3469176.13805432)</f>
        <v>3469176.1380543201</v>
      </c>
      <c r="V373" s="27">
        <f t="shared" ca="1" si="270"/>
        <v>0.16536261900500088</v>
      </c>
    </row>
    <row r="374" spans="1:22" ht="12.75" customHeight="1" x14ac:dyDescent="0.2">
      <c r="A374" s="6" t="s">
        <v>80</v>
      </c>
      <c r="B374" s="6" t="s">
        <v>15</v>
      </c>
      <c r="C374" s="7">
        <v>112332</v>
      </c>
      <c r="D374" s="8">
        <v>104568</v>
      </c>
      <c r="E374" s="9" t="s">
        <v>16</v>
      </c>
      <c r="F374" s="23">
        <v>208</v>
      </c>
      <c r="G374" s="25"/>
      <c r="H374" s="14">
        <f t="shared" si="264"/>
        <v>0.55000000000000004</v>
      </c>
      <c r="I374" s="25">
        <f ca="1">IFERROR(__xludf.DUMMYFUNCTION("ROUND(D374*GOOGLEFINANCE(""RUBKZT"")*H374)"),448799)</f>
        <v>448799</v>
      </c>
      <c r="J374" s="26">
        <f ca="1">IFERROR(__xludf.DUMMYFUNCTION("ROUND(I374*GOOGLEFINANCE(""KZTEUR""))"),940)</f>
        <v>940</v>
      </c>
      <c r="K374" s="26">
        <f t="shared" ca="1" si="265"/>
        <v>4519</v>
      </c>
      <c r="L374" s="26">
        <f t="shared" ca="1" si="266"/>
        <v>858.61</v>
      </c>
      <c r="M374" s="26">
        <f t="shared" ref="M374:N374" si="384">M$3</f>
        <v>500</v>
      </c>
      <c r="N374" s="26">
        <f t="shared" si="384"/>
        <v>500</v>
      </c>
      <c r="O374" s="26">
        <f ca="1">IFERROR(__xludf.DUMMYFUNCTION("ROUND(GOOGLEFINANCE(""Currency:EURKZT"")*K374)"),2158137)</f>
        <v>2158137</v>
      </c>
      <c r="P374" s="26">
        <f ca="1">IFERROR(__xludf.DUMMYFUNCTION("ROUND(GOOGLEFINANCE(""Currency:EURKZT"")*M374)"),238785)</f>
        <v>238785</v>
      </c>
      <c r="Q374" s="26">
        <f ca="1">IFERROR(__xludf.DUMMYFUNCTION("ROUND(GOOGLEFINANCE(""Currency:EURKZT"")*N374)"),238785)</f>
        <v>238785</v>
      </c>
      <c r="R374" s="26">
        <f t="shared" ca="1" si="268"/>
        <v>258976</v>
      </c>
      <c r="S374" s="26">
        <f t="shared" ca="1" si="269"/>
        <v>2894683</v>
      </c>
      <c r="T374" s="26">
        <f ca="1">IFERROR(__xludf.DUMMYFUNCTION("ROUND(GOOGLEFINANCE(""Currency:EURKZT"")*L374+S374)"),3304729)</f>
        <v>3304729</v>
      </c>
      <c r="U374" s="26">
        <f ca="1">IFERROR(__xludf.DUMMYFUNCTION("D374*GOOGLEFINANCE(""RUBKZT"")*1000/F374"),3923071.04609584)</f>
        <v>3923071.0460958402</v>
      </c>
      <c r="V374" s="27">
        <f t="shared" ca="1" si="270"/>
        <v>0.18710824581859517</v>
      </c>
    </row>
    <row r="375" spans="1:22" ht="12.75" customHeight="1" x14ac:dyDescent="0.2">
      <c r="A375" s="6" t="s">
        <v>81</v>
      </c>
      <c r="B375" s="6" t="s">
        <v>15</v>
      </c>
      <c r="C375" s="7">
        <v>112333</v>
      </c>
      <c r="D375" s="8">
        <v>80425.2</v>
      </c>
      <c r="E375" s="9" t="s">
        <v>16</v>
      </c>
      <c r="F375" s="23">
        <v>208</v>
      </c>
      <c r="G375" s="25"/>
      <c r="H375" s="14">
        <f t="shared" si="264"/>
        <v>0.55000000000000004</v>
      </c>
      <c r="I375" s="25">
        <f ca="1">IFERROR(__xludf.DUMMYFUNCTION("ROUND(D375*GOOGLEFINANCE(""RUBKZT"")*H375)"),345180)</f>
        <v>345180</v>
      </c>
      <c r="J375" s="26">
        <f ca="1">IFERROR(__xludf.DUMMYFUNCTION("ROUND(I375*GOOGLEFINANCE(""KZTEUR""))"),723)</f>
        <v>723</v>
      </c>
      <c r="K375" s="26">
        <f t="shared" ca="1" si="265"/>
        <v>3476</v>
      </c>
      <c r="L375" s="26">
        <f t="shared" ca="1" si="266"/>
        <v>660.44</v>
      </c>
      <c r="M375" s="26">
        <f t="shared" ref="M375:N375" si="385">M$3</f>
        <v>500</v>
      </c>
      <c r="N375" s="26">
        <f t="shared" si="385"/>
        <v>500</v>
      </c>
      <c r="O375" s="26">
        <f ca="1">IFERROR(__xludf.DUMMYFUNCTION("ROUND(GOOGLEFINANCE(""Currency:EURKZT"")*K375)"),1660032)</f>
        <v>1660032</v>
      </c>
      <c r="P375" s="26">
        <f ca="1">IFERROR(__xludf.DUMMYFUNCTION("ROUND(GOOGLEFINANCE(""Currency:EURKZT"")*M375)"),238785)</f>
        <v>238785</v>
      </c>
      <c r="Q375" s="26">
        <f ca="1">IFERROR(__xludf.DUMMYFUNCTION("ROUND(GOOGLEFINANCE(""Currency:EURKZT"")*N375)"),238785)</f>
        <v>238785</v>
      </c>
      <c r="R375" s="26">
        <f t="shared" ca="1" si="268"/>
        <v>199204</v>
      </c>
      <c r="S375" s="26">
        <f t="shared" ca="1" si="269"/>
        <v>2336806</v>
      </c>
      <c r="T375" s="26">
        <f ca="1">IFERROR(__xludf.DUMMYFUNCTION("ROUND(GOOGLEFINANCE(""Currency:EURKZT"")*L375+S375)"),2652212)</f>
        <v>2652212</v>
      </c>
      <c r="U375" s="26">
        <f ca="1">IFERROR(__xludf.DUMMYFUNCTION("D375*GOOGLEFINANCE(""RUBKZT"")*1000/F375"),3017307.14459937)</f>
        <v>3017307.1445993702</v>
      </c>
      <c r="V375" s="27">
        <f t="shared" ca="1" si="270"/>
        <v>0.13765684817027077</v>
      </c>
    </row>
    <row r="376" spans="1:22" ht="12.75" customHeight="1" x14ac:dyDescent="0.2">
      <c r="A376" s="6" t="s">
        <v>82</v>
      </c>
      <c r="B376" s="6" t="s">
        <v>15</v>
      </c>
      <c r="C376" s="7">
        <v>112339</v>
      </c>
      <c r="D376" s="8">
        <v>82160.399999999994</v>
      </c>
      <c r="E376" s="9" t="s">
        <v>16</v>
      </c>
      <c r="F376" s="23">
        <v>208</v>
      </c>
      <c r="G376" s="25"/>
      <c r="H376" s="14">
        <f t="shared" si="264"/>
        <v>0.55000000000000004</v>
      </c>
      <c r="I376" s="25">
        <f ca="1">IFERROR(__xludf.DUMMYFUNCTION("ROUND(D376*GOOGLEFINANCE(""RUBKZT"")*H376)"),352627)</f>
        <v>352627</v>
      </c>
      <c r="J376" s="26">
        <f ca="1">IFERROR(__xludf.DUMMYFUNCTION("ROUND(I376*GOOGLEFINANCE(""KZTEUR""))"),739)</f>
        <v>739</v>
      </c>
      <c r="K376" s="26">
        <f t="shared" ca="1" si="265"/>
        <v>3553</v>
      </c>
      <c r="L376" s="26">
        <f t="shared" ca="1" si="266"/>
        <v>675.07</v>
      </c>
      <c r="M376" s="26">
        <f t="shared" ref="M376:N376" si="386">M$3</f>
        <v>500</v>
      </c>
      <c r="N376" s="26">
        <f t="shared" si="386"/>
        <v>500</v>
      </c>
      <c r="O376" s="26">
        <f ca="1">IFERROR(__xludf.DUMMYFUNCTION("ROUND(GOOGLEFINANCE(""Currency:EURKZT"")*K376)"),1696805)</f>
        <v>1696805</v>
      </c>
      <c r="P376" s="26">
        <f ca="1">IFERROR(__xludf.DUMMYFUNCTION("ROUND(GOOGLEFINANCE(""Currency:EURKZT"")*M376)"),238785)</f>
        <v>238785</v>
      </c>
      <c r="Q376" s="26">
        <f ca="1">IFERROR(__xludf.DUMMYFUNCTION("ROUND(GOOGLEFINANCE(""Currency:EURKZT"")*N376)"),238785)</f>
        <v>238785</v>
      </c>
      <c r="R376" s="26">
        <f t="shared" ca="1" si="268"/>
        <v>203617</v>
      </c>
      <c r="S376" s="26">
        <f t="shared" ca="1" si="269"/>
        <v>2377992</v>
      </c>
      <c r="T376" s="26">
        <f ca="1">IFERROR(__xludf.DUMMYFUNCTION("ROUND(GOOGLEFINANCE(""Currency:EURKZT"")*L376+S376)"),2700385)</f>
        <v>2700385</v>
      </c>
      <c r="U376" s="26">
        <f ca="1">IFERROR(__xludf.DUMMYFUNCTION("D376*GOOGLEFINANCE(""RUBKZT"")*1000/F376"),3082406.53331471)</f>
        <v>3082406.53331471</v>
      </c>
      <c r="V376" s="27">
        <f t="shared" ca="1" si="270"/>
        <v>0.14146928431120379</v>
      </c>
    </row>
    <row r="377" spans="1:22" ht="12.75" customHeight="1" x14ac:dyDescent="0.2">
      <c r="A377" s="6" t="s">
        <v>83</v>
      </c>
      <c r="B377" s="6" t="s">
        <v>15</v>
      </c>
      <c r="C377" s="7">
        <v>112354</v>
      </c>
      <c r="D377" s="8">
        <v>140662.79999999999</v>
      </c>
      <c r="E377" s="9" t="s">
        <v>16</v>
      </c>
      <c r="F377" s="23">
        <v>208</v>
      </c>
      <c r="G377" s="25"/>
      <c r="H377" s="14">
        <f t="shared" si="264"/>
        <v>0.55000000000000004</v>
      </c>
      <c r="I377" s="25">
        <f ca="1">IFERROR(__xludf.DUMMYFUNCTION("ROUND(D377*GOOGLEFINANCE(""RUBKZT"")*H377)"),603716)</f>
        <v>603716</v>
      </c>
      <c r="J377" s="26">
        <f ca="1">IFERROR(__xludf.DUMMYFUNCTION("ROUND(I377*GOOGLEFINANCE(""KZTEUR""))"),1264)</f>
        <v>1264</v>
      </c>
      <c r="K377" s="26">
        <f t="shared" ca="1" si="265"/>
        <v>6077</v>
      </c>
      <c r="L377" s="26">
        <f t="shared" ca="1" si="266"/>
        <v>1154.6300000000001</v>
      </c>
      <c r="M377" s="26">
        <f t="shared" ref="M377:N377" si="387">M$3</f>
        <v>500</v>
      </c>
      <c r="N377" s="26">
        <f t="shared" si="387"/>
        <v>500</v>
      </c>
      <c r="O377" s="26">
        <f ca="1">IFERROR(__xludf.DUMMYFUNCTION("ROUND(GOOGLEFINANCE(""Currency:EURKZT"")*K377)"),2902191)</f>
        <v>2902191</v>
      </c>
      <c r="P377" s="26">
        <f ca="1">IFERROR(__xludf.DUMMYFUNCTION("ROUND(GOOGLEFINANCE(""Currency:EURKZT"")*M377)"),238785)</f>
        <v>238785</v>
      </c>
      <c r="Q377" s="26">
        <f ca="1">IFERROR(__xludf.DUMMYFUNCTION("ROUND(GOOGLEFINANCE(""Currency:EURKZT"")*N377)"),238785)</f>
        <v>238785</v>
      </c>
      <c r="R377" s="26">
        <f t="shared" ca="1" si="268"/>
        <v>348263</v>
      </c>
      <c r="S377" s="26">
        <f t="shared" ca="1" si="269"/>
        <v>3728024</v>
      </c>
      <c r="T377" s="26">
        <f ca="1">IFERROR(__xludf.DUMMYFUNCTION("ROUND(GOOGLEFINANCE(""Currency:EURKZT"")*L377+S377)"),4279440)</f>
        <v>4279440</v>
      </c>
      <c r="U377" s="26">
        <f ca="1">IFERROR(__xludf.DUMMYFUNCTION("D377*GOOGLEFINANCE(""RUBKZT"")*1000/F377"),5277237.376088)</f>
        <v>5277237.3760879999</v>
      </c>
      <c r="V377" s="27">
        <f t="shared" ca="1" si="270"/>
        <v>0.23316073507000915</v>
      </c>
    </row>
    <row r="378" spans="1:22" ht="12.75" customHeight="1" x14ac:dyDescent="0.2">
      <c r="A378" s="6" t="s">
        <v>84</v>
      </c>
      <c r="B378" s="6" t="s">
        <v>15</v>
      </c>
      <c r="C378" s="7">
        <v>112358</v>
      </c>
      <c r="D378" s="8">
        <v>137898</v>
      </c>
      <c r="E378" s="9" t="s">
        <v>16</v>
      </c>
      <c r="F378" s="23">
        <v>208</v>
      </c>
      <c r="G378" s="25"/>
      <c r="H378" s="14">
        <f t="shared" si="264"/>
        <v>0.55000000000000004</v>
      </c>
      <c r="I378" s="25">
        <f ca="1">IFERROR(__xludf.DUMMYFUNCTION("ROUND(D378*GOOGLEFINANCE(""RUBKZT"")*H378)"),591850)</f>
        <v>591850</v>
      </c>
      <c r="J378" s="26">
        <f ca="1">IFERROR(__xludf.DUMMYFUNCTION("ROUND(I378*GOOGLEFINANCE(""KZTEUR""))"),1240)</f>
        <v>1240</v>
      </c>
      <c r="K378" s="26">
        <f t="shared" ca="1" si="265"/>
        <v>5962</v>
      </c>
      <c r="L378" s="26">
        <f t="shared" ca="1" si="266"/>
        <v>1132.78</v>
      </c>
      <c r="M378" s="26">
        <f t="shared" ref="M378:N378" si="388">M$3</f>
        <v>500</v>
      </c>
      <c r="N378" s="26">
        <f t="shared" si="388"/>
        <v>500</v>
      </c>
      <c r="O378" s="26">
        <f ca="1">IFERROR(__xludf.DUMMYFUNCTION("ROUND(GOOGLEFINANCE(""Currency:EURKZT"")*K378)"),2847270)</f>
        <v>2847270</v>
      </c>
      <c r="P378" s="26">
        <f ca="1">IFERROR(__xludf.DUMMYFUNCTION("ROUND(GOOGLEFINANCE(""Currency:EURKZT"")*M378)"),238785)</f>
        <v>238785</v>
      </c>
      <c r="Q378" s="26">
        <f ca="1">IFERROR(__xludf.DUMMYFUNCTION("ROUND(GOOGLEFINANCE(""Currency:EURKZT"")*N378)"),238785)</f>
        <v>238785</v>
      </c>
      <c r="R378" s="26">
        <f t="shared" ca="1" si="268"/>
        <v>341672</v>
      </c>
      <c r="S378" s="26">
        <f t="shared" ca="1" si="269"/>
        <v>3666512</v>
      </c>
      <c r="T378" s="26">
        <f ca="1">IFERROR(__xludf.DUMMYFUNCTION("ROUND(GOOGLEFINANCE(""Currency:EURKZT"")*L378+S378)"),4207493)</f>
        <v>4207493</v>
      </c>
      <c r="U378" s="26">
        <f ca="1">IFERROR(__xludf.DUMMYFUNCTION("D378*GOOGLEFINANCE(""RUBKZT"")*1000/F378"),5173510.54925526)</f>
        <v>5173510.5492552603</v>
      </c>
      <c r="V378" s="27">
        <f t="shared" ca="1" si="270"/>
        <v>0.22959457074682246</v>
      </c>
    </row>
    <row r="379" spans="1:22" ht="12.75" customHeight="1" x14ac:dyDescent="0.2">
      <c r="A379" s="6" t="s">
        <v>85</v>
      </c>
      <c r="B379" s="6" t="s">
        <v>15</v>
      </c>
      <c r="C379" s="7">
        <v>112359</v>
      </c>
      <c r="D379" s="8">
        <v>138861.6</v>
      </c>
      <c r="E379" s="9" t="s">
        <v>16</v>
      </c>
      <c r="F379" s="23">
        <v>208</v>
      </c>
      <c r="G379" s="25"/>
      <c r="H379" s="14">
        <f t="shared" si="264"/>
        <v>0.55000000000000004</v>
      </c>
      <c r="I379" s="25">
        <f ca="1">IFERROR(__xludf.DUMMYFUNCTION("ROUND(D379*GOOGLEFINANCE(""RUBKZT"")*H379)"),595985)</f>
        <v>595985</v>
      </c>
      <c r="J379" s="26">
        <f ca="1">IFERROR(__xludf.DUMMYFUNCTION("ROUND(I379*GOOGLEFINANCE(""KZTEUR""))"),1248)</f>
        <v>1248</v>
      </c>
      <c r="K379" s="26">
        <f t="shared" ca="1" si="265"/>
        <v>6000</v>
      </c>
      <c r="L379" s="26">
        <f t="shared" ca="1" si="266"/>
        <v>1140</v>
      </c>
      <c r="M379" s="26">
        <f t="shared" ref="M379:N379" si="389">M$3</f>
        <v>500</v>
      </c>
      <c r="N379" s="26">
        <f t="shared" si="389"/>
        <v>500</v>
      </c>
      <c r="O379" s="26">
        <f ca="1">IFERROR(__xludf.DUMMYFUNCTION("ROUND(GOOGLEFINANCE(""Currency:EURKZT"")*K379)"),2865418)</f>
        <v>2865418</v>
      </c>
      <c r="P379" s="26">
        <f ca="1">IFERROR(__xludf.DUMMYFUNCTION("ROUND(GOOGLEFINANCE(""Currency:EURKZT"")*M379)"),238785)</f>
        <v>238785</v>
      </c>
      <c r="Q379" s="26">
        <f ca="1">IFERROR(__xludf.DUMMYFUNCTION("ROUND(GOOGLEFINANCE(""Currency:EURKZT"")*N379)"),238785)</f>
        <v>238785</v>
      </c>
      <c r="R379" s="26">
        <f t="shared" ca="1" si="268"/>
        <v>343850</v>
      </c>
      <c r="S379" s="26">
        <f t="shared" ca="1" si="269"/>
        <v>3686838</v>
      </c>
      <c r="T379" s="26">
        <f ca="1">IFERROR(__xludf.DUMMYFUNCTION("ROUND(GOOGLEFINANCE(""Currency:EURKZT"")*L379+S379)"),4231267)</f>
        <v>4231267</v>
      </c>
      <c r="U379" s="26">
        <f ca="1">IFERROR(__xludf.DUMMYFUNCTION("D379*GOOGLEFINANCE(""RUBKZT"")*1000/F379"),5209661.86954463)</f>
        <v>5209661.8695446299</v>
      </c>
      <c r="V379" s="27">
        <f t="shared" ca="1" si="270"/>
        <v>0.23122976393232333</v>
      </c>
    </row>
    <row r="380" spans="1:22" ht="12.75" customHeight="1" x14ac:dyDescent="0.2">
      <c r="A380" s="6" t="s">
        <v>46</v>
      </c>
      <c r="B380" s="6" t="s">
        <v>15</v>
      </c>
      <c r="C380" s="7">
        <v>112371</v>
      </c>
      <c r="D380" s="8">
        <v>267361.2</v>
      </c>
      <c r="E380" s="9" t="s">
        <v>16</v>
      </c>
      <c r="F380" s="23">
        <v>208</v>
      </c>
      <c r="G380" s="25"/>
      <c r="H380" s="14">
        <f t="shared" si="264"/>
        <v>0.55000000000000004</v>
      </c>
      <c r="I380" s="25">
        <f ca="1">IFERROR(__xludf.DUMMYFUNCTION("ROUND(D380*GOOGLEFINANCE(""RUBKZT"")*H380)"),1147498)</f>
        <v>1147498</v>
      </c>
      <c r="J380" s="26">
        <f ca="1">IFERROR(__xludf.DUMMYFUNCTION("ROUND(I380*GOOGLEFINANCE(""KZTEUR""))"),2403)</f>
        <v>2403</v>
      </c>
      <c r="K380" s="26">
        <f t="shared" ca="1" si="265"/>
        <v>11553</v>
      </c>
      <c r="L380" s="26">
        <f t="shared" ca="1" si="266"/>
        <v>2195.0700000000002</v>
      </c>
      <c r="M380" s="26">
        <f t="shared" ref="M380:N380" si="390">M$3</f>
        <v>500</v>
      </c>
      <c r="N380" s="26">
        <f t="shared" si="390"/>
        <v>500</v>
      </c>
      <c r="O380" s="26">
        <f ca="1">IFERROR(__xludf.DUMMYFUNCTION("ROUND(GOOGLEFINANCE(""Currency:EURKZT"")*K380)"),5517362)</f>
        <v>5517362</v>
      </c>
      <c r="P380" s="26">
        <f ca="1">IFERROR(__xludf.DUMMYFUNCTION("ROUND(GOOGLEFINANCE(""Currency:EURKZT"")*M380)"),238785)</f>
        <v>238785</v>
      </c>
      <c r="Q380" s="26">
        <f ca="1">IFERROR(__xludf.DUMMYFUNCTION("ROUND(GOOGLEFINANCE(""Currency:EURKZT"")*N380)"),238785)</f>
        <v>238785</v>
      </c>
      <c r="R380" s="26">
        <f t="shared" ca="1" si="268"/>
        <v>662083</v>
      </c>
      <c r="S380" s="26">
        <f t="shared" ca="1" si="269"/>
        <v>6657015</v>
      </c>
      <c r="T380" s="26">
        <f ca="1">IFERROR(__xludf.DUMMYFUNCTION("ROUND(GOOGLEFINANCE(""Currency:EURKZT"")*L380+S380)"),7705314)</f>
        <v>7705314</v>
      </c>
      <c r="U380" s="26">
        <f ca="1">IFERROR(__xludf.DUMMYFUNCTION("D380*GOOGLEFINANCE(""RUBKZT"")*1000/F380"),10030573.2400872)</f>
        <v>10030573.2400872</v>
      </c>
      <c r="V380" s="27">
        <f t="shared" ca="1" si="270"/>
        <v>0.30177345661542149</v>
      </c>
    </row>
    <row r="381" spans="1:22" ht="12.75" customHeight="1" x14ac:dyDescent="0.2">
      <c r="A381" s="6" t="s">
        <v>47</v>
      </c>
      <c r="B381" s="6" t="s">
        <v>15</v>
      </c>
      <c r="C381" s="7">
        <v>112373</v>
      </c>
      <c r="D381" s="8">
        <v>267361.2</v>
      </c>
      <c r="E381" s="9" t="s">
        <v>16</v>
      </c>
      <c r="F381" s="23">
        <v>208</v>
      </c>
      <c r="G381" s="25"/>
      <c r="H381" s="14">
        <f t="shared" si="264"/>
        <v>0.55000000000000004</v>
      </c>
      <c r="I381" s="25">
        <f ca="1">IFERROR(__xludf.DUMMYFUNCTION("ROUND(D381*GOOGLEFINANCE(""RUBKZT"")*H381)"),1147498)</f>
        <v>1147498</v>
      </c>
      <c r="J381" s="26">
        <f ca="1">IFERROR(__xludf.DUMMYFUNCTION("ROUND(I381*GOOGLEFINANCE(""KZTEUR""))"),2403)</f>
        <v>2403</v>
      </c>
      <c r="K381" s="26">
        <f t="shared" ca="1" si="265"/>
        <v>11553</v>
      </c>
      <c r="L381" s="26">
        <f t="shared" ca="1" si="266"/>
        <v>2195.0700000000002</v>
      </c>
      <c r="M381" s="26">
        <f t="shared" ref="M381:N381" si="391">M$3</f>
        <v>500</v>
      </c>
      <c r="N381" s="26">
        <f t="shared" si="391"/>
        <v>500</v>
      </c>
      <c r="O381" s="26">
        <f ca="1">IFERROR(__xludf.DUMMYFUNCTION("ROUND(GOOGLEFINANCE(""Currency:EURKZT"")*K381)"),5517362)</f>
        <v>5517362</v>
      </c>
      <c r="P381" s="26">
        <f ca="1">IFERROR(__xludf.DUMMYFUNCTION("ROUND(GOOGLEFINANCE(""Currency:EURKZT"")*M381)"),238785)</f>
        <v>238785</v>
      </c>
      <c r="Q381" s="26">
        <f ca="1">IFERROR(__xludf.DUMMYFUNCTION("ROUND(GOOGLEFINANCE(""Currency:EURKZT"")*N381)"),238785)</f>
        <v>238785</v>
      </c>
      <c r="R381" s="26">
        <f t="shared" ca="1" si="268"/>
        <v>662083</v>
      </c>
      <c r="S381" s="26">
        <f t="shared" ca="1" si="269"/>
        <v>6657015</v>
      </c>
      <c r="T381" s="26">
        <f ca="1">IFERROR(__xludf.DUMMYFUNCTION("ROUND(GOOGLEFINANCE(""Currency:EURKZT"")*L381+S381)"),7705314)</f>
        <v>7705314</v>
      </c>
      <c r="U381" s="26">
        <f ca="1">IFERROR(__xludf.DUMMYFUNCTION("D381*GOOGLEFINANCE(""RUBKZT"")*1000/F381"),10030573.2400872)</f>
        <v>10030573.2400872</v>
      </c>
      <c r="V381" s="27">
        <f t="shared" ca="1" si="270"/>
        <v>0.30177345661542149</v>
      </c>
    </row>
    <row r="382" spans="1:22" ht="12.75" customHeight="1" x14ac:dyDescent="0.2">
      <c r="A382" s="6" t="s">
        <v>86</v>
      </c>
      <c r="B382" s="6" t="s">
        <v>15</v>
      </c>
      <c r="C382" s="7">
        <v>112379</v>
      </c>
      <c r="D382" s="8">
        <v>106435.2</v>
      </c>
      <c r="E382" s="9" t="s">
        <v>16</v>
      </c>
      <c r="F382" s="23">
        <v>208</v>
      </c>
      <c r="G382" s="25"/>
      <c r="H382" s="14">
        <f t="shared" si="264"/>
        <v>0.55000000000000004</v>
      </c>
      <c r="I382" s="25">
        <f ca="1">IFERROR(__xludf.DUMMYFUNCTION("ROUND(D382*GOOGLEFINANCE(""RUBKZT"")*H382)"),456813)</f>
        <v>456813</v>
      </c>
      <c r="J382" s="26">
        <f ca="1">IFERROR(__xludf.DUMMYFUNCTION("ROUND(I382*GOOGLEFINANCE(""KZTEUR""))"),957)</f>
        <v>957</v>
      </c>
      <c r="K382" s="26">
        <f t="shared" ca="1" si="265"/>
        <v>4601</v>
      </c>
      <c r="L382" s="26">
        <f t="shared" ca="1" si="266"/>
        <v>874.19</v>
      </c>
      <c r="M382" s="26">
        <f t="shared" ref="M382:N382" si="392">M$3</f>
        <v>500</v>
      </c>
      <c r="N382" s="26">
        <f t="shared" si="392"/>
        <v>500</v>
      </c>
      <c r="O382" s="26">
        <f ca="1">IFERROR(__xludf.DUMMYFUNCTION("ROUND(GOOGLEFINANCE(""Currency:EURKZT"")*K382)"),2197298)</f>
        <v>2197298</v>
      </c>
      <c r="P382" s="26">
        <f ca="1">IFERROR(__xludf.DUMMYFUNCTION("ROUND(GOOGLEFINANCE(""Currency:EURKZT"")*M382)"),238785)</f>
        <v>238785</v>
      </c>
      <c r="Q382" s="26">
        <f ca="1">IFERROR(__xludf.DUMMYFUNCTION("ROUND(GOOGLEFINANCE(""Currency:EURKZT"")*N382)"),238785)</f>
        <v>238785</v>
      </c>
      <c r="R382" s="26">
        <f t="shared" ca="1" si="268"/>
        <v>263676</v>
      </c>
      <c r="S382" s="26">
        <f t="shared" ca="1" si="269"/>
        <v>2938544</v>
      </c>
      <c r="T382" s="26">
        <f ca="1">IFERROR(__xludf.DUMMYFUNCTION("ROUND(GOOGLEFINANCE(""Currency:EURKZT"")*L382+S382)"),3356031)</f>
        <v>3356031</v>
      </c>
      <c r="U382" s="26">
        <f ca="1">IFERROR(__xludf.DUMMYFUNCTION("D382*GOOGLEFINANCE(""RUBKZT"")*1000/F382"),3993122.67046726)</f>
        <v>3993122.6704672598</v>
      </c>
      <c r="V382" s="27">
        <f t="shared" ca="1" si="270"/>
        <v>0.18983485863725927</v>
      </c>
    </row>
    <row r="383" spans="1:22" ht="12.75" customHeight="1" x14ac:dyDescent="0.2">
      <c r="A383" s="6" t="s">
        <v>87</v>
      </c>
      <c r="B383" s="6" t="s">
        <v>15</v>
      </c>
      <c r="C383" s="7">
        <v>112380</v>
      </c>
      <c r="D383" s="8">
        <v>110942.39999999999</v>
      </c>
      <c r="E383" s="9" t="s">
        <v>16</v>
      </c>
      <c r="F383" s="23">
        <v>208</v>
      </c>
      <c r="G383" s="25"/>
      <c r="H383" s="14">
        <f t="shared" si="264"/>
        <v>0.55000000000000004</v>
      </c>
      <c r="I383" s="25">
        <f ca="1">IFERROR(__xludf.DUMMYFUNCTION("ROUND(D383*GOOGLEFINANCE(""RUBKZT"")*H383)"),476158)</f>
        <v>476158</v>
      </c>
      <c r="J383" s="26">
        <f ca="1">IFERROR(__xludf.DUMMYFUNCTION("ROUND(I383*GOOGLEFINANCE(""KZTEUR""))"),997)</f>
        <v>997</v>
      </c>
      <c r="K383" s="26">
        <f t="shared" ca="1" si="265"/>
        <v>4793</v>
      </c>
      <c r="L383" s="26">
        <f t="shared" ca="1" si="266"/>
        <v>910.67</v>
      </c>
      <c r="M383" s="26">
        <f t="shared" ref="M383:N383" si="393">M$3</f>
        <v>500</v>
      </c>
      <c r="N383" s="26">
        <f t="shared" si="393"/>
        <v>500</v>
      </c>
      <c r="O383" s="26">
        <f ca="1">IFERROR(__xludf.DUMMYFUNCTION("ROUND(GOOGLEFINANCE(""Currency:EURKZT"")*K383)"),2288991)</f>
        <v>2288991</v>
      </c>
      <c r="P383" s="26">
        <f ca="1">IFERROR(__xludf.DUMMYFUNCTION("ROUND(GOOGLEFINANCE(""Currency:EURKZT"")*M383)"),238785)</f>
        <v>238785</v>
      </c>
      <c r="Q383" s="26">
        <f ca="1">IFERROR(__xludf.DUMMYFUNCTION("ROUND(GOOGLEFINANCE(""Currency:EURKZT"")*N383)"),238785)</f>
        <v>238785</v>
      </c>
      <c r="R383" s="26">
        <f t="shared" ca="1" si="268"/>
        <v>274679</v>
      </c>
      <c r="S383" s="26">
        <f t="shared" ca="1" si="269"/>
        <v>3041240</v>
      </c>
      <c r="T383" s="26">
        <f ca="1">IFERROR(__xludf.DUMMYFUNCTION("ROUND(GOOGLEFINANCE(""Currency:EURKZT"")*L383+S383)"),3476148)</f>
        <v>3476148</v>
      </c>
      <c r="U383" s="26">
        <f ca="1">IFERROR(__xludf.DUMMYFUNCTION("D383*GOOGLEFINANCE(""RUBKZT"")*1000/F383"),4162219.00796021)</f>
        <v>4162219.0079602101</v>
      </c>
      <c r="V383" s="27">
        <f t="shared" ca="1" si="270"/>
        <v>0.19736530434268337</v>
      </c>
    </row>
    <row r="384" spans="1:22" ht="12.75" customHeight="1" x14ac:dyDescent="0.2">
      <c r="A384" s="6" t="s">
        <v>88</v>
      </c>
      <c r="B384" s="6" t="s">
        <v>15</v>
      </c>
      <c r="C384" s="7">
        <v>112401</v>
      </c>
      <c r="D384" s="8">
        <v>108523.2</v>
      </c>
      <c r="E384" s="9" t="s">
        <v>16</v>
      </c>
      <c r="F384" s="23">
        <v>208</v>
      </c>
      <c r="G384" s="25"/>
      <c r="H384" s="14">
        <f t="shared" si="264"/>
        <v>0.55000000000000004</v>
      </c>
      <c r="I384" s="25">
        <f ca="1">IFERROR(__xludf.DUMMYFUNCTION("ROUND(D384*GOOGLEFINANCE(""RUBKZT"")*H384)"),465775)</f>
        <v>465775</v>
      </c>
      <c r="J384" s="26">
        <f ca="1">IFERROR(__xludf.DUMMYFUNCTION("ROUND(I384*GOOGLEFINANCE(""KZTEUR""))"),975)</f>
        <v>975</v>
      </c>
      <c r="K384" s="26">
        <f t="shared" ca="1" si="265"/>
        <v>4688</v>
      </c>
      <c r="L384" s="26">
        <f t="shared" ca="1" si="266"/>
        <v>890.72</v>
      </c>
      <c r="M384" s="26">
        <f t="shared" ref="M384:N384" si="394">M$3</f>
        <v>500</v>
      </c>
      <c r="N384" s="26">
        <f t="shared" si="394"/>
        <v>500</v>
      </c>
      <c r="O384" s="26">
        <f ca="1">IFERROR(__xludf.DUMMYFUNCTION("ROUND(GOOGLEFINANCE(""Currency:EURKZT"")*K384)"),2238846)</f>
        <v>2238846</v>
      </c>
      <c r="P384" s="26">
        <f ca="1">IFERROR(__xludf.DUMMYFUNCTION("ROUND(GOOGLEFINANCE(""Currency:EURKZT"")*M384)"),238785)</f>
        <v>238785</v>
      </c>
      <c r="Q384" s="26">
        <f ca="1">IFERROR(__xludf.DUMMYFUNCTION("ROUND(GOOGLEFINANCE(""Currency:EURKZT"")*N384)"),238785)</f>
        <v>238785</v>
      </c>
      <c r="R384" s="26">
        <f t="shared" ca="1" si="268"/>
        <v>268662</v>
      </c>
      <c r="S384" s="26">
        <f t="shared" ca="1" si="269"/>
        <v>2985078</v>
      </c>
      <c r="T384" s="26">
        <f ca="1">IFERROR(__xludf.DUMMYFUNCTION("ROUND(GOOGLEFINANCE(""Currency:EURKZT"")*L384+S384)"),3410459)</f>
        <v>3410459</v>
      </c>
      <c r="U384" s="26">
        <f ca="1">IFERROR(__xludf.DUMMYFUNCTION("D384*GOOGLEFINANCE(""RUBKZT"")*1000/F384"),4071458.03448156)</f>
        <v>4071458.0344815599</v>
      </c>
      <c r="V384" s="27">
        <f t="shared" ca="1" si="270"/>
        <v>0.19381527075433538</v>
      </c>
    </row>
    <row r="385" spans="1:22" ht="12.75" customHeight="1" x14ac:dyDescent="0.2">
      <c r="A385" s="6" t="s">
        <v>89</v>
      </c>
      <c r="B385" s="6" t="s">
        <v>15</v>
      </c>
      <c r="C385" s="7">
        <v>112403</v>
      </c>
      <c r="D385" s="8">
        <v>100129.2</v>
      </c>
      <c r="E385" s="9" t="s">
        <v>16</v>
      </c>
      <c r="F385" s="23">
        <v>208</v>
      </c>
      <c r="G385" s="25"/>
      <c r="H385" s="14">
        <f t="shared" si="264"/>
        <v>0.55000000000000004</v>
      </c>
      <c r="I385" s="25">
        <f ca="1">IFERROR(__xludf.DUMMYFUNCTION("ROUND(D385*GOOGLEFINANCE(""RUBKZT"")*H385)"),429748)</f>
        <v>429748</v>
      </c>
      <c r="J385" s="26">
        <f ca="1">IFERROR(__xludf.DUMMYFUNCTION("ROUND(I385*GOOGLEFINANCE(""KZTEUR""))"),900)</f>
        <v>900</v>
      </c>
      <c r="K385" s="26">
        <f t="shared" ca="1" si="265"/>
        <v>4327</v>
      </c>
      <c r="L385" s="26">
        <f t="shared" ca="1" si="266"/>
        <v>822.13</v>
      </c>
      <c r="M385" s="26">
        <f t="shared" ref="M385:N385" si="395">M$3</f>
        <v>500</v>
      </c>
      <c r="N385" s="26">
        <f t="shared" si="395"/>
        <v>500</v>
      </c>
      <c r="O385" s="26">
        <f ca="1">IFERROR(__xludf.DUMMYFUNCTION("ROUND(GOOGLEFINANCE(""Currency:EURKZT"")*K385)"),2066444)</f>
        <v>2066444</v>
      </c>
      <c r="P385" s="26">
        <f ca="1">IFERROR(__xludf.DUMMYFUNCTION("ROUND(GOOGLEFINANCE(""Currency:EURKZT"")*M385)"),238785)</f>
        <v>238785</v>
      </c>
      <c r="Q385" s="26">
        <f ca="1">IFERROR(__xludf.DUMMYFUNCTION("ROUND(GOOGLEFINANCE(""Currency:EURKZT"")*N385)"),238785)</f>
        <v>238785</v>
      </c>
      <c r="R385" s="26">
        <f t="shared" ca="1" si="268"/>
        <v>247973</v>
      </c>
      <c r="S385" s="26">
        <f t="shared" ca="1" si="269"/>
        <v>2791987</v>
      </c>
      <c r="T385" s="26">
        <f ca="1">IFERROR(__xludf.DUMMYFUNCTION("ROUND(GOOGLEFINANCE(""Currency:EURKZT"")*L385+S385)"),3184611)</f>
        <v>3184611</v>
      </c>
      <c r="U385" s="26">
        <f ca="1">IFERROR(__xludf.DUMMYFUNCTION("D385*GOOGLEFINANCE(""RUBKZT"")*1000/F385"),3756540.86707922)</f>
        <v>3756540.8670792198</v>
      </c>
      <c r="V385" s="27">
        <f t="shared" ca="1" si="270"/>
        <v>0.17959175141931613</v>
      </c>
    </row>
    <row r="386" spans="1:22" ht="12.75" customHeight="1" x14ac:dyDescent="0.2">
      <c r="A386" s="6" t="s">
        <v>90</v>
      </c>
      <c r="B386" s="6" t="s">
        <v>15</v>
      </c>
      <c r="C386" s="7">
        <v>112404</v>
      </c>
      <c r="D386" s="8">
        <v>100749.59999999999</v>
      </c>
      <c r="E386" s="9" t="s">
        <v>16</v>
      </c>
      <c r="F386" s="23">
        <v>208</v>
      </c>
      <c r="G386" s="25"/>
      <c r="H386" s="14">
        <f t="shared" si="264"/>
        <v>0.55000000000000004</v>
      </c>
      <c r="I386" s="25">
        <f ca="1">IFERROR(__xludf.DUMMYFUNCTION("ROUND(D386*GOOGLEFINANCE(""RUBKZT"")*H386)"),432411)</f>
        <v>432411</v>
      </c>
      <c r="J386" s="26">
        <f ca="1">IFERROR(__xludf.DUMMYFUNCTION("ROUND(I386*GOOGLEFINANCE(""KZTEUR""))"),906)</f>
        <v>906</v>
      </c>
      <c r="K386" s="26">
        <f t="shared" ca="1" si="265"/>
        <v>4356</v>
      </c>
      <c r="L386" s="26">
        <f t="shared" ca="1" si="266"/>
        <v>827.64</v>
      </c>
      <c r="M386" s="26">
        <f t="shared" ref="M386:N386" si="396">M$3</f>
        <v>500</v>
      </c>
      <c r="N386" s="26">
        <f t="shared" si="396"/>
        <v>500</v>
      </c>
      <c r="O386" s="26">
        <f ca="1">IFERROR(__xludf.DUMMYFUNCTION("ROUND(GOOGLEFINANCE(""Currency:EURKZT"")*K386)"),2080293)</f>
        <v>2080293</v>
      </c>
      <c r="P386" s="26">
        <f ca="1">IFERROR(__xludf.DUMMYFUNCTION("ROUND(GOOGLEFINANCE(""Currency:EURKZT"")*M386)"),238785)</f>
        <v>238785</v>
      </c>
      <c r="Q386" s="26">
        <f ca="1">IFERROR(__xludf.DUMMYFUNCTION("ROUND(GOOGLEFINANCE(""Currency:EURKZT"")*N386)"),238785)</f>
        <v>238785</v>
      </c>
      <c r="R386" s="26">
        <f t="shared" ca="1" si="268"/>
        <v>249635</v>
      </c>
      <c r="S386" s="26">
        <f t="shared" ca="1" si="269"/>
        <v>2807498</v>
      </c>
      <c r="T386" s="26">
        <f ca="1">IFERROR(__xludf.DUMMYFUNCTION("ROUND(GOOGLEFINANCE(""Currency:EURKZT"")*L386+S386)"),3202754)</f>
        <v>3202754</v>
      </c>
      <c r="U386" s="26">
        <f ca="1">IFERROR(__xludf.DUMMYFUNCTION("D386*GOOGLEFINANCE(""RUBKZT"")*1000/F386"),3779816.37466278)</f>
        <v>3779816.3746627802</v>
      </c>
      <c r="V386" s="27">
        <f t="shared" ca="1" si="270"/>
        <v>0.18017692731404916</v>
      </c>
    </row>
    <row r="387" spans="1:22" ht="12.75" customHeight="1" x14ac:dyDescent="0.2">
      <c r="A387" s="6" t="s">
        <v>91</v>
      </c>
      <c r="B387" s="6" t="s">
        <v>15</v>
      </c>
      <c r="C387" s="7">
        <v>112405</v>
      </c>
      <c r="D387" s="8">
        <v>117678</v>
      </c>
      <c r="E387" s="9" t="s">
        <v>16</v>
      </c>
      <c r="F387" s="23">
        <v>208</v>
      </c>
      <c r="G387" s="25"/>
      <c r="H387" s="14">
        <f t="shared" si="264"/>
        <v>0.55000000000000004</v>
      </c>
      <c r="I387" s="25">
        <f ca="1">IFERROR(__xludf.DUMMYFUNCTION("ROUND(D387*GOOGLEFINANCE(""RUBKZT"")*H387)"),505067)</f>
        <v>505067</v>
      </c>
      <c r="J387" s="26">
        <f ca="1">IFERROR(__xludf.DUMMYFUNCTION("ROUND(I387*GOOGLEFINANCE(""KZTEUR""))"),1058)</f>
        <v>1058</v>
      </c>
      <c r="K387" s="26">
        <f t="shared" ca="1" si="265"/>
        <v>5087</v>
      </c>
      <c r="L387" s="26">
        <f t="shared" ca="1" si="266"/>
        <v>966.53</v>
      </c>
      <c r="M387" s="26">
        <f t="shared" ref="M387:N387" si="397">M$3</f>
        <v>500</v>
      </c>
      <c r="N387" s="26">
        <f t="shared" si="397"/>
        <v>500</v>
      </c>
      <c r="O387" s="26">
        <f ca="1">IFERROR(__xludf.DUMMYFUNCTION("ROUND(GOOGLEFINANCE(""Currency:EURKZT"")*K387)"),2429397)</f>
        <v>2429397</v>
      </c>
      <c r="P387" s="26">
        <f ca="1">IFERROR(__xludf.DUMMYFUNCTION("ROUND(GOOGLEFINANCE(""Currency:EURKZT"")*M387)"),238785)</f>
        <v>238785</v>
      </c>
      <c r="Q387" s="26">
        <f ca="1">IFERROR(__xludf.DUMMYFUNCTION("ROUND(GOOGLEFINANCE(""Currency:EURKZT"")*N387)"),238785)</f>
        <v>238785</v>
      </c>
      <c r="R387" s="26">
        <f t="shared" ca="1" si="268"/>
        <v>291528</v>
      </c>
      <c r="S387" s="26">
        <f t="shared" ca="1" si="269"/>
        <v>3198495</v>
      </c>
      <c r="T387" s="26">
        <f ca="1">IFERROR(__xludf.DUMMYFUNCTION("ROUND(GOOGLEFINANCE(""Currency:EURKZT"")*L387+S387)"),3660080)</f>
        <v>3660080</v>
      </c>
      <c r="U387" s="26">
        <f ca="1">IFERROR(__xludf.DUMMYFUNCTION("D387*GOOGLEFINANCE(""RUBKZT"")*1000/F387"),4414918.08739257)</f>
        <v>4414918.0873925705</v>
      </c>
      <c r="V387" s="27">
        <f t="shared" ca="1" si="270"/>
        <v>0.2062354067103917</v>
      </c>
    </row>
    <row r="388" spans="1:22" ht="12.75" customHeight="1" x14ac:dyDescent="0.2">
      <c r="A388" s="6" t="s">
        <v>92</v>
      </c>
      <c r="B388" s="6" t="s">
        <v>15</v>
      </c>
      <c r="C388" s="7">
        <v>112407</v>
      </c>
      <c r="D388" s="8">
        <v>104694</v>
      </c>
      <c r="E388" s="9" t="s">
        <v>16</v>
      </c>
      <c r="F388" s="23">
        <v>208</v>
      </c>
      <c r="G388" s="25"/>
      <c r="H388" s="14">
        <f t="shared" si="264"/>
        <v>0.55000000000000004</v>
      </c>
      <c r="I388" s="25">
        <f ca="1">IFERROR(__xludf.DUMMYFUNCTION("ROUND(D388*GOOGLEFINANCE(""RUBKZT"")*H388)"),449340)</f>
        <v>449340</v>
      </c>
      <c r="J388" s="26">
        <f ca="1">IFERROR(__xludf.DUMMYFUNCTION("ROUND(I388*GOOGLEFINANCE(""KZTEUR""))"),941)</f>
        <v>941</v>
      </c>
      <c r="K388" s="26">
        <f t="shared" ca="1" si="265"/>
        <v>4524</v>
      </c>
      <c r="L388" s="26">
        <f t="shared" ca="1" si="266"/>
        <v>859.56000000000006</v>
      </c>
      <c r="M388" s="26">
        <f t="shared" ref="M388:N388" si="398">M$3</f>
        <v>500</v>
      </c>
      <c r="N388" s="26">
        <f t="shared" si="398"/>
        <v>500</v>
      </c>
      <c r="O388" s="26">
        <f ca="1">IFERROR(__xludf.DUMMYFUNCTION("ROUND(GOOGLEFINANCE(""Currency:EURKZT"")*K388)"),2160525)</f>
        <v>2160525</v>
      </c>
      <c r="P388" s="26">
        <f ca="1">IFERROR(__xludf.DUMMYFUNCTION("ROUND(GOOGLEFINANCE(""Currency:EURKZT"")*M388)"),238785)</f>
        <v>238785</v>
      </c>
      <c r="Q388" s="26">
        <f ca="1">IFERROR(__xludf.DUMMYFUNCTION("ROUND(GOOGLEFINANCE(""Currency:EURKZT"")*N388)"),238785)</f>
        <v>238785</v>
      </c>
      <c r="R388" s="26">
        <f t="shared" ca="1" si="268"/>
        <v>259263</v>
      </c>
      <c r="S388" s="26">
        <f t="shared" ca="1" si="269"/>
        <v>2897358</v>
      </c>
      <c r="T388" s="26">
        <f ca="1">IFERROR(__xludf.DUMMYFUNCTION("ROUND(GOOGLEFINANCE(""Currency:EURKZT"")*L388+S388)"),3307858)</f>
        <v>3307858</v>
      </c>
      <c r="U388" s="26">
        <f ca="1">IFERROR(__xludf.DUMMYFUNCTION("D388*GOOGLEFINANCE(""RUBKZT"")*1000/F388"),3927798.18013119)</f>
        <v>3927798.18013119</v>
      </c>
      <c r="V388" s="27">
        <f t="shared" ca="1" si="270"/>
        <v>0.18741438723524104</v>
      </c>
    </row>
    <row r="389" spans="1:22" ht="12.75" customHeight="1" x14ac:dyDescent="0.2">
      <c r="A389" s="6" t="s">
        <v>93</v>
      </c>
      <c r="B389" s="6" t="s">
        <v>15</v>
      </c>
      <c r="C389" s="7">
        <v>112417</v>
      </c>
      <c r="D389" s="8">
        <v>94410</v>
      </c>
      <c r="E389" s="9" t="s">
        <v>16</v>
      </c>
      <c r="F389" s="23">
        <v>208</v>
      </c>
      <c r="G389" s="25"/>
      <c r="H389" s="14">
        <f t="shared" si="264"/>
        <v>0.55000000000000004</v>
      </c>
      <c r="I389" s="25">
        <f ca="1">IFERROR(__xludf.DUMMYFUNCTION("ROUND(D389*GOOGLEFINANCE(""RUBKZT"")*H389)"),405202)</f>
        <v>405202</v>
      </c>
      <c r="J389" s="26">
        <f ca="1">IFERROR(__xludf.DUMMYFUNCTION("ROUND(I389*GOOGLEFINANCE(""KZTEUR""))"),849)</f>
        <v>849</v>
      </c>
      <c r="K389" s="26">
        <f t="shared" ca="1" si="265"/>
        <v>4082</v>
      </c>
      <c r="L389" s="26">
        <f t="shared" ca="1" si="266"/>
        <v>775.58</v>
      </c>
      <c r="M389" s="26">
        <f t="shared" ref="M389:N389" si="399">M$3</f>
        <v>500</v>
      </c>
      <c r="N389" s="26">
        <f t="shared" si="399"/>
        <v>500</v>
      </c>
      <c r="O389" s="26">
        <f ca="1">IFERROR(__xludf.DUMMYFUNCTION("ROUND(GOOGLEFINANCE(""Currency:EURKZT"")*K389)"),1949439)</f>
        <v>1949439</v>
      </c>
      <c r="P389" s="26">
        <f ca="1">IFERROR(__xludf.DUMMYFUNCTION("ROUND(GOOGLEFINANCE(""Currency:EURKZT"")*M389)"),238785)</f>
        <v>238785</v>
      </c>
      <c r="Q389" s="26">
        <f ca="1">IFERROR(__xludf.DUMMYFUNCTION("ROUND(GOOGLEFINANCE(""Currency:EURKZT"")*N389)"),238785)</f>
        <v>238785</v>
      </c>
      <c r="R389" s="26">
        <f t="shared" ca="1" si="268"/>
        <v>233933</v>
      </c>
      <c r="S389" s="26">
        <f t="shared" ca="1" si="269"/>
        <v>2660942</v>
      </c>
      <c r="T389" s="26">
        <f ca="1">IFERROR(__xludf.DUMMYFUNCTION("ROUND(GOOGLEFINANCE(""Currency:EURKZT"")*L389+S389)"),3031335)</f>
        <v>3031335</v>
      </c>
      <c r="U389" s="26">
        <f ca="1">IFERROR(__xludf.DUMMYFUNCTION("D389*GOOGLEFINANCE(""RUBKZT"")*1000/F389"),3541974.00219865)</f>
        <v>3541974.00219865</v>
      </c>
      <c r="V389" s="27">
        <f t="shared" ca="1" si="270"/>
        <v>0.16845350388480654</v>
      </c>
    </row>
    <row r="390" spans="1:22" ht="12.75" customHeight="1" x14ac:dyDescent="0.2">
      <c r="A390" s="6" t="s">
        <v>94</v>
      </c>
      <c r="B390" s="6" t="s">
        <v>15</v>
      </c>
      <c r="C390" s="7">
        <v>112427</v>
      </c>
      <c r="D390" s="8">
        <v>139494</v>
      </c>
      <c r="E390" s="9" t="s">
        <v>16</v>
      </c>
      <c r="F390" s="23">
        <v>208</v>
      </c>
      <c r="G390" s="25"/>
      <c r="H390" s="14">
        <f t="shared" si="264"/>
        <v>0.55000000000000004</v>
      </c>
      <c r="I390" s="25">
        <f ca="1">IFERROR(__xludf.DUMMYFUNCTION("ROUND(D390*GOOGLEFINANCE(""RUBKZT"")*H390)"),598700)</f>
        <v>598700</v>
      </c>
      <c r="J390" s="26">
        <f ca="1">IFERROR(__xludf.DUMMYFUNCTION("ROUND(I390*GOOGLEFINANCE(""KZTEUR""))"),1254)</f>
        <v>1254</v>
      </c>
      <c r="K390" s="26">
        <f t="shared" ca="1" si="265"/>
        <v>6029</v>
      </c>
      <c r="L390" s="26">
        <f t="shared" ca="1" si="266"/>
        <v>1145.51</v>
      </c>
      <c r="M390" s="26">
        <f t="shared" ref="M390:N390" si="400">M$3</f>
        <v>500</v>
      </c>
      <c r="N390" s="26">
        <f t="shared" si="400"/>
        <v>500</v>
      </c>
      <c r="O390" s="26">
        <f ca="1">IFERROR(__xludf.DUMMYFUNCTION("ROUND(GOOGLEFINANCE(""Currency:EURKZT"")*K390)"),2879267)</f>
        <v>2879267</v>
      </c>
      <c r="P390" s="26">
        <f ca="1">IFERROR(__xludf.DUMMYFUNCTION("ROUND(GOOGLEFINANCE(""Currency:EURKZT"")*M390)"),238785)</f>
        <v>238785</v>
      </c>
      <c r="Q390" s="26">
        <f ca="1">IFERROR(__xludf.DUMMYFUNCTION("ROUND(GOOGLEFINANCE(""Currency:EURKZT"")*N390)"),238785)</f>
        <v>238785</v>
      </c>
      <c r="R390" s="26">
        <f t="shared" ca="1" si="268"/>
        <v>345512</v>
      </c>
      <c r="S390" s="26">
        <f t="shared" ca="1" si="269"/>
        <v>3702349</v>
      </c>
      <c r="T390" s="26">
        <f ca="1">IFERROR(__xludf.DUMMYFUNCTION("ROUND(GOOGLEFINANCE(""Currency:EURKZT"")*L390+S390)"),4249410)</f>
        <v>4249410</v>
      </c>
      <c r="U390" s="26">
        <f ca="1">IFERROR(__xludf.DUMMYFUNCTION("D390*GOOGLEFINANCE(""RUBKZT"")*1000/F390"),5233387.58036965)</f>
        <v>5233387.5803696504</v>
      </c>
      <c r="V390" s="27">
        <f t="shared" ca="1" si="270"/>
        <v>0.231556282017892</v>
      </c>
    </row>
    <row r="391" spans="1:22" ht="12.75" customHeight="1" x14ac:dyDescent="0.2">
      <c r="A391" s="6" t="s">
        <v>95</v>
      </c>
      <c r="B391" s="6" t="s">
        <v>15</v>
      </c>
      <c r="C391" s="7">
        <v>112429</v>
      </c>
      <c r="D391" s="8">
        <v>112694.39999999999</v>
      </c>
      <c r="E391" s="9" t="s">
        <v>16</v>
      </c>
      <c r="F391" s="23">
        <v>208</v>
      </c>
      <c r="G391" s="25"/>
      <c r="H391" s="14">
        <f t="shared" si="264"/>
        <v>0.55000000000000004</v>
      </c>
      <c r="I391" s="25">
        <f ca="1">IFERROR(__xludf.DUMMYFUNCTION("ROUND(D391*GOOGLEFINANCE(""RUBKZT"")*H391)"),483677)</f>
        <v>483677</v>
      </c>
      <c r="J391" s="26">
        <f ca="1">IFERROR(__xludf.DUMMYFUNCTION("ROUND(I391*GOOGLEFINANCE(""KZTEUR""))"),1013)</f>
        <v>1013</v>
      </c>
      <c r="K391" s="26">
        <f t="shared" ca="1" si="265"/>
        <v>4870</v>
      </c>
      <c r="L391" s="26">
        <f t="shared" ca="1" si="266"/>
        <v>925.3</v>
      </c>
      <c r="M391" s="26">
        <f t="shared" ref="M391:N391" si="401">M$3</f>
        <v>500</v>
      </c>
      <c r="N391" s="26">
        <f t="shared" si="401"/>
        <v>500</v>
      </c>
      <c r="O391" s="26">
        <f ca="1">IFERROR(__xludf.DUMMYFUNCTION("ROUND(GOOGLEFINANCE(""Currency:EURKZT"")*K391)"),2325764)</f>
        <v>2325764</v>
      </c>
      <c r="P391" s="26">
        <f ca="1">IFERROR(__xludf.DUMMYFUNCTION("ROUND(GOOGLEFINANCE(""Currency:EURKZT"")*M391)"),238785)</f>
        <v>238785</v>
      </c>
      <c r="Q391" s="26">
        <f ca="1">IFERROR(__xludf.DUMMYFUNCTION("ROUND(GOOGLEFINANCE(""Currency:EURKZT"")*N391)"),238785)</f>
        <v>238785</v>
      </c>
      <c r="R391" s="26">
        <f t="shared" ca="1" si="268"/>
        <v>279092</v>
      </c>
      <c r="S391" s="26">
        <f t="shared" ca="1" si="269"/>
        <v>3082426</v>
      </c>
      <c r="T391" s="26">
        <f ca="1">IFERROR(__xludf.DUMMYFUNCTION("ROUND(GOOGLEFINANCE(""Currency:EURKZT"")*L391+S391)"),3524321)</f>
        <v>3524321</v>
      </c>
      <c r="U391" s="26">
        <f ca="1">IFERROR(__xludf.DUMMYFUNCTION("D391*GOOGLEFINANCE(""RUBKZT"")*1000/F391"),4227948.6812136)</f>
        <v>4227948.6812135996</v>
      </c>
      <c r="V391" s="27">
        <f t="shared" ca="1" si="270"/>
        <v>0.19964914694592226</v>
      </c>
    </row>
    <row r="392" spans="1:22" ht="12.75" customHeight="1" x14ac:dyDescent="0.2">
      <c r="A392" s="6" t="s">
        <v>96</v>
      </c>
      <c r="B392" s="6" t="s">
        <v>15</v>
      </c>
      <c r="C392" s="7">
        <v>112440</v>
      </c>
      <c r="D392" s="8">
        <v>98154</v>
      </c>
      <c r="E392" s="9" t="s">
        <v>16</v>
      </c>
      <c r="F392" s="23">
        <v>208</v>
      </c>
      <c r="G392" s="25"/>
      <c r="H392" s="14">
        <f t="shared" si="264"/>
        <v>0.55000000000000004</v>
      </c>
      <c r="I392" s="25">
        <f ca="1">IFERROR(__xludf.DUMMYFUNCTION("ROUND(D392*GOOGLEFINANCE(""RUBKZT"")*H392)"),421271)</f>
        <v>421271</v>
      </c>
      <c r="J392" s="26">
        <f ca="1">IFERROR(__xludf.DUMMYFUNCTION("ROUND(I392*GOOGLEFINANCE(""KZTEUR""))"),882)</f>
        <v>882</v>
      </c>
      <c r="K392" s="26">
        <f t="shared" ca="1" si="265"/>
        <v>4240</v>
      </c>
      <c r="L392" s="26">
        <f t="shared" ca="1" si="266"/>
        <v>805.6</v>
      </c>
      <c r="M392" s="26">
        <f t="shared" ref="M392:N392" si="402">M$3</f>
        <v>500</v>
      </c>
      <c r="N392" s="26">
        <f t="shared" si="402"/>
        <v>500</v>
      </c>
      <c r="O392" s="26">
        <f ca="1">IFERROR(__xludf.DUMMYFUNCTION("ROUND(GOOGLEFINANCE(""Currency:EURKZT"")*K392)"),2024895)</f>
        <v>2024895</v>
      </c>
      <c r="P392" s="26">
        <f ca="1">IFERROR(__xludf.DUMMYFUNCTION("ROUND(GOOGLEFINANCE(""Currency:EURKZT"")*M392)"),238785)</f>
        <v>238785</v>
      </c>
      <c r="Q392" s="26">
        <f ca="1">IFERROR(__xludf.DUMMYFUNCTION("ROUND(GOOGLEFINANCE(""Currency:EURKZT"")*N392)"),238785)</f>
        <v>238785</v>
      </c>
      <c r="R392" s="26">
        <f t="shared" ca="1" si="268"/>
        <v>242987</v>
      </c>
      <c r="S392" s="26">
        <f t="shared" ca="1" si="269"/>
        <v>2745452</v>
      </c>
      <c r="T392" s="26">
        <f ca="1">IFERROR(__xludf.DUMMYFUNCTION("ROUND(GOOGLEFINANCE(""Currency:EURKZT"")*L392+S392)"),3130182)</f>
        <v>3130182</v>
      </c>
      <c r="U392" s="26">
        <f ca="1">IFERROR(__xludf.DUMMYFUNCTION("D392*GOOGLEFINANCE(""RUBKZT"")*1000/F392"),3682437.41353465)</f>
        <v>3682437.4135346501</v>
      </c>
      <c r="V392" s="27">
        <f t="shared" ca="1" si="270"/>
        <v>0.17642917042352493</v>
      </c>
    </row>
    <row r="393" spans="1:22" ht="12.75" customHeight="1" x14ac:dyDescent="0.2">
      <c r="A393" s="6" t="s">
        <v>97</v>
      </c>
      <c r="B393" s="6" t="s">
        <v>15</v>
      </c>
      <c r="C393" s="7">
        <v>112442</v>
      </c>
      <c r="D393" s="8">
        <v>298166.39999999997</v>
      </c>
      <c r="E393" s="9" t="s">
        <v>16</v>
      </c>
      <c r="F393" s="23">
        <v>208</v>
      </c>
      <c r="G393" s="25"/>
      <c r="H393" s="14">
        <f t="shared" si="264"/>
        <v>0.55000000000000004</v>
      </c>
      <c r="I393" s="25">
        <f ca="1">IFERROR(__xludf.DUMMYFUNCTION("ROUND(D393*GOOGLEFINANCE(""RUBKZT"")*H393)"),1279712)</f>
        <v>1279712</v>
      </c>
      <c r="J393" s="26">
        <f ca="1">IFERROR(__xludf.DUMMYFUNCTION("ROUND(I393*GOOGLEFINANCE(""KZTEUR""))"),2680)</f>
        <v>2680</v>
      </c>
      <c r="K393" s="26">
        <f t="shared" ca="1" si="265"/>
        <v>12885</v>
      </c>
      <c r="L393" s="26">
        <f t="shared" ca="1" si="266"/>
        <v>2448.15</v>
      </c>
      <c r="M393" s="26">
        <f t="shared" ref="M393:N393" si="403">M$3</f>
        <v>500</v>
      </c>
      <c r="N393" s="26">
        <f t="shared" si="403"/>
        <v>500</v>
      </c>
      <c r="O393" s="26">
        <f ca="1">IFERROR(__xludf.DUMMYFUNCTION("ROUND(GOOGLEFINANCE(""Currency:EURKZT"")*K393)"),6153484)</f>
        <v>6153484</v>
      </c>
      <c r="P393" s="26">
        <f ca="1">IFERROR(__xludf.DUMMYFUNCTION("ROUND(GOOGLEFINANCE(""Currency:EURKZT"")*M393)"),238785)</f>
        <v>238785</v>
      </c>
      <c r="Q393" s="26">
        <f ca="1">IFERROR(__xludf.DUMMYFUNCTION("ROUND(GOOGLEFINANCE(""Currency:EURKZT"")*N393)"),238785)</f>
        <v>238785</v>
      </c>
      <c r="R393" s="26">
        <f t="shared" ca="1" si="268"/>
        <v>738418</v>
      </c>
      <c r="S393" s="26">
        <f t="shared" ca="1" si="269"/>
        <v>7369472</v>
      </c>
      <c r="T393" s="26">
        <f ca="1">IFERROR(__xludf.DUMMYFUNCTION("ROUND(GOOGLEFINANCE(""Currency:EURKZT"")*L393+S393)"),8538634)</f>
        <v>8538634</v>
      </c>
      <c r="U393" s="26">
        <f ca="1">IFERROR(__xludf.DUMMYFUNCTION("D393*GOOGLEFINANCE(""RUBKZT"")*1000/F393"),11186289.9812431)</f>
        <v>11186289.9812431</v>
      </c>
      <c r="V393" s="27">
        <f t="shared" ca="1" si="270"/>
        <v>0.31007957259241936</v>
      </c>
    </row>
    <row r="394" spans="1:22" ht="12.75" customHeight="1" x14ac:dyDescent="0.2">
      <c r="A394" s="6" t="s">
        <v>98</v>
      </c>
      <c r="B394" s="6" t="s">
        <v>15</v>
      </c>
      <c r="C394" s="7">
        <v>112445</v>
      </c>
      <c r="D394" s="8">
        <v>170877.6</v>
      </c>
      <c r="E394" s="9" t="s">
        <v>16</v>
      </c>
      <c r="F394" s="23">
        <v>208</v>
      </c>
      <c r="G394" s="25"/>
      <c r="H394" s="14">
        <f t="shared" si="264"/>
        <v>0.55000000000000004</v>
      </c>
      <c r="I394" s="25">
        <f ca="1">IFERROR(__xludf.DUMMYFUNCTION("ROUND(D394*GOOGLEFINANCE(""RUBKZT"")*H394)"),733396)</f>
        <v>733396</v>
      </c>
      <c r="J394" s="26">
        <f ca="1">IFERROR(__xludf.DUMMYFUNCTION("ROUND(I394*GOOGLEFINANCE(""KZTEUR""))"),1536)</f>
        <v>1536</v>
      </c>
      <c r="K394" s="26">
        <f t="shared" ca="1" si="265"/>
        <v>7385</v>
      </c>
      <c r="L394" s="26">
        <f t="shared" ca="1" si="266"/>
        <v>1403.15</v>
      </c>
      <c r="M394" s="26">
        <f t="shared" ref="M394:N394" si="404">M$3</f>
        <v>500</v>
      </c>
      <c r="N394" s="26">
        <f t="shared" si="404"/>
        <v>500</v>
      </c>
      <c r="O394" s="26">
        <f ca="1">IFERROR(__xludf.DUMMYFUNCTION("ROUND(GOOGLEFINANCE(""Currency:EURKZT"")*K394)"),3526852)</f>
        <v>3526852</v>
      </c>
      <c r="P394" s="26">
        <f ca="1">IFERROR(__xludf.DUMMYFUNCTION("ROUND(GOOGLEFINANCE(""Currency:EURKZT"")*M394)"),238785)</f>
        <v>238785</v>
      </c>
      <c r="Q394" s="26">
        <f ca="1">IFERROR(__xludf.DUMMYFUNCTION("ROUND(GOOGLEFINANCE(""Currency:EURKZT"")*N394)"),238785)</f>
        <v>238785</v>
      </c>
      <c r="R394" s="26">
        <f t="shared" ca="1" si="268"/>
        <v>423222</v>
      </c>
      <c r="S394" s="26">
        <f t="shared" ca="1" si="269"/>
        <v>4427644</v>
      </c>
      <c r="T394" s="26">
        <f ca="1">IFERROR(__xludf.DUMMYFUNCTION("ROUND(GOOGLEFINANCE(""Currency:EURKZT"")*L394+S394)"),5097746)</f>
        <v>5097746</v>
      </c>
      <c r="U394" s="26">
        <f ca="1">IFERROR(__xludf.DUMMYFUNCTION("D394*GOOGLEFINANCE(""RUBKZT"")*1000/F394"),6410804.11776401)</f>
        <v>6410804.1177640101</v>
      </c>
      <c r="V394" s="27">
        <f t="shared" ca="1" si="270"/>
        <v>0.25757621461799196</v>
      </c>
    </row>
    <row r="395" spans="1:22" ht="12.75" customHeight="1" x14ac:dyDescent="0.2">
      <c r="A395" s="6" t="s">
        <v>99</v>
      </c>
      <c r="B395" s="6" t="s">
        <v>15</v>
      </c>
      <c r="C395" s="7">
        <v>112451</v>
      </c>
      <c r="D395" s="8">
        <v>137131.19999999998</v>
      </c>
      <c r="E395" s="9" t="s">
        <v>16</v>
      </c>
      <c r="F395" s="23">
        <v>208</v>
      </c>
      <c r="G395" s="25"/>
      <c r="H395" s="14">
        <f t="shared" si="264"/>
        <v>0.55000000000000004</v>
      </c>
      <c r="I395" s="25">
        <f ca="1">IFERROR(__xludf.DUMMYFUNCTION("ROUND(D395*GOOGLEFINANCE(""RUBKZT"")*H395)"),588559)</f>
        <v>588559</v>
      </c>
      <c r="J395" s="26">
        <f ca="1">IFERROR(__xludf.DUMMYFUNCTION("ROUND(I395*GOOGLEFINANCE(""KZTEUR""))"),1233)</f>
        <v>1233</v>
      </c>
      <c r="K395" s="26">
        <f t="shared" ca="1" si="265"/>
        <v>5928</v>
      </c>
      <c r="L395" s="26">
        <f t="shared" ca="1" si="266"/>
        <v>1126.32</v>
      </c>
      <c r="M395" s="26">
        <f t="shared" ref="M395:N395" si="405">M$3</f>
        <v>500</v>
      </c>
      <c r="N395" s="26">
        <f t="shared" si="405"/>
        <v>500</v>
      </c>
      <c r="O395" s="26">
        <f ca="1">IFERROR(__xludf.DUMMYFUNCTION("ROUND(GOOGLEFINANCE(""Currency:EURKZT"")*K395)"),2831033)</f>
        <v>2831033</v>
      </c>
      <c r="P395" s="26">
        <f ca="1">IFERROR(__xludf.DUMMYFUNCTION("ROUND(GOOGLEFINANCE(""Currency:EURKZT"")*M395)"),238785)</f>
        <v>238785</v>
      </c>
      <c r="Q395" s="26">
        <f ca="1">IFERROR(__xludf.DUMMYFUNCTION("ROUND(GOOGLEFINANCE(""Currency:EURKZT"")*N395)"),238785)</f>
        <v>238785</v>
      </c>
      <c r="R395" s="26">
        <f t="shared" ca="1" si="268"/>
        <v>339724</v>
      </c>
      <c r="S395" s="26">
        <f t="shared" ca="1" si="269"/>
        <v>3648327</v>
      </c>
      <c r="T395" s="26">
        <f ca="1">IFERROR(__xludf.DUMMYFUNCTION("ROUND(GOOGLEFINANCE(""Currency:EURKZT"")*L395+S395)"),4186223)</f>
        <v>4186223</v>
      </c>
      <c r="U395" s="26">
        <f ca="1">IFERROR(__xludf.DUMMYFUNCTION("D395*GOOGLEFINANCE(""RUBKZT"")*1000/F395"),5144742.56212587)</f>
        <v>5144742.56212587</v>
      </c>
      <c r="V395" s="27">
        <f t="shared" ca="1" si="270"/>
        <v>0.22897001954407828</v>
      </c>
    </row>
    <row r="396" spans="1:22" ht="12.75" customHeight="1" x14ac:dyDescent="0.2">
      <c r="A396" s="6" t="s">
        <v>100</v>
      </c>
      <c r="B396" s="6" t="s">
        <v>15</v>
      </c>
      <c r="C396" s="7">
        <v>112452</v>
      </c>
      <c r="D396" s="8">
        <v>142436.4</v>
      </c>
      <c r="E396" s="9" t="s">
        <v>16</v>
      </c>
      <c r="F396" s="23">
        <v>208</v>
      </c>
      <c r="G396" s="25"/>
      <c r="H396" s="14">
        <f t="shared" si="264"/>
        <v>0.55000000000000004</v>
      </c>
      <c r="I396" s="25">
        <f ca="1">IFERROR(__xludf.DUMMYFUNCTION("ROUND(D396*GOOGLEFINANCE(""RUBKZT"")*H396)"),611328)</f>
        <v>611328</v>
      </c>
      <c r="J396" s="26">
        <f ca="1">IFERROR(__xludf.DUMMYFUNCTION("ROUND(I396*GOOGLEFINANCE(""KZTEUR""))"),1280)</f>
        <v>1280</v>
      </c>
      <c r="K396" s="26">
        <f t="shared" ca="1" si="265"/>
        <v>6154</v>
      </c>
      <c r="L396" s="26">
        <f t="shared" ca="1" si="266"/>
        <v>1169.26</v>
      </c>
      <c r="M396" s="26">
        <f t="shared" ref="M396:N396" si="406">M$3</f>
        <v>500</v>
      </c>
      <c r="N396" s="26">
        <f t="shared" si="406"/>
        <v>500</v>
      </c>
      <c r="O396" s="26">
        <f ca="1">IFERROR(__xludf.DUMMYFUNCTION("ROUND(GOOGLEFINANCE(""Currency:EURKZT"")*K396)"),2938963)</f>
        <v>2938963</v>
      </c>
      <c r="P396" s="26">
        <f ca="1">IFERROR(__xludf.DUMMYFUNCTION("ROUND(GOOGLEFINANCE(""Currency:EURKZT"")*M396)"),238785)</f>
        <v>238785</v>
      </c>
      <c r="Q396" s="26">
        <f ca="1">IFERROR(__xludf.DUMMYFUNCTION("ROUND(GOOGLEFINANCE(""Currency:EURKZT"")*N396)"),238785)</f>
        <v>238785</v>
      </c>
      <c r="R396" s="26">
        <f t="shared" ca="1" si="268"/>
        <v>352676</v>
      </c>
      <c r="S396" s="26">
        <f t="shared" ca="1" si="269"/>
        <v>3769209</v>
      </c>
      <c r="T396" s="26">
        <f ca="1">IFERROR(__xludf.DUMMYFUNCTION("ROUND(GOOGLEFINANCE(""Currency:EURKZT"")*L396+S396)"),4327612)</f>
        <v>4327612</v>
      </c>
      <c r="U396" s="26">
        <f ca="1">IFERROR(__xludf.DUMMYFUNCTION("D396*GOOGLEFINANCE(""RUBKZT"")*1000/F396"),5343777.41517602)</f>
        <v>5343777.41517602</v>
      </c>
      <c r="V396" s="27">
        <f t="shared" ca="1" si="270"/>
        <v>0.23480973229023766</v>
      </c>
    </row>
    <row r="397" spans="1:22" ht="12.75" customHeight="1" x14ac:dyDescent="0.2">
      <c r="A397" s="6" t="s">
        <v>101</v>
      </c>
      <c r="B397" s="6" t="s">
        <v>15</v>
      </c>
      <c r="C397" s="7">
        <v>112461</v>
      </c>
      <c r="D397" s="8">
        <v>273844.8</v>
      </c>
      <c r="E397" s="9" t="s">
        <v>16</v>
      </c>
      <c r="F397" s="23">
        <v>208</v>
      </c>
      <c r="G397" s="25"/>
      <c r="H397" s="14">
        <f t="shared" si="264"/>
        <v>0.55000000000000004</v>
      </c>
      <c r="I397" s="25">
        <f ca="1">IFERROR(__xludf.DUMMYFUNCTION("ROUND(D397*GOOGLEFINANCE(""RUBKZT"")*H397)"),1175325)</f>
        <v>1175325</v>
      </c>
      <c r="J397" s="26">
        <f ca="1">IFERROR(__xludf.DUMMYFUNCTION("ROUND(I397*GOOGLEFINANCE(""KZTEUR""))"),2462)</f>
        <v>2462</v>
      </c>
      <c r="K397" s="26">
        <f t="shared" ca="1" si="265"/>
        <v>11837</v>
      </c>
      <c r="L397" s="26">
        <f t="shared" ca="1" si="266"/>
        <v>2249.0300000000002</v>
      </c>
      <c r="M397" s="26">
        <f t="shared" ref="M397:N397" si="407">M$3</f>
        <v>500</v>
      </c>
      <c r="N397" s="26">
        <f t="shared" si="407"/>
        <v>500</v>
      </c>
      <c r="O397" s="26">
        <f ca="1">IFERROR(__xludf.DUMMYFUNCTION("ROUND(GOOGLEFINANCE(""Currency:EURKZT"")*K397)"),5652992)</f>
        <v>5652992</v>
      </c>
      <c r="P397" s="26">
        <f ca="1">IFERROR(__xludf.DUMMYFUNCTION("ROUND(GOOGLEFINANCE(""Currency:EURKZT"")*M397)"),238785)</f>
        <v>238785</v>
      </c>
      <c r="Q397" s="26">
        <f ca="1">IFERROR(__xludf.DUMMYFUNCTION("ROUND(GOOGLEFINANCE(""Currency:EURKZT"")*N397)"),238785)</f>
        <v>238785</v>
      </c>
      <c r="R397" s="26">
        <f t="shared" ca="1" si="268"/>
        <v>678359</v>
      </c>
      <c r="S397" s="26">
        <f t="shared" ca="1" si="269"/>
        <v>6808921</v>
      </c>
      <c r="T397" s="26">
        <f ca="1">IFERROR(__xludf.DUMMYFUNCTION("ROUND(GOOGLEFINANCE(""Currency:EURKZT"")*L397+S397)"),7882989)</f>
        <v>7882989</v>
      </c>
      <c r="U397" s="26">
        <f ca="1">IFERROR(__xludf.DUMMYFUNCTION("D397*GOOGLEFINANCE(""RUBKZT"")*1000/F397"),10273818.0514488)</f>
        <v>10273818.0514488</v>
      </c>
      <c r="V397" s="27">
        <f t="shared" ca="1" si="270"/>
        <v>0.30328965972790267</v>
      </c>
    </row>
    <row r="398" spans="1:22" ht="12.75" customHeight="1" x14ac:dyDescent="0.2">
      <c r="A398" s="6" t="s">
        <v>102</v>
      </c>
      <c r="B398" s="6" t="s">
        <v>15</v>
      </c>
      <c r="C398" s="7">
        <v>112462</v>
      </c>
      <c r="D398" s="8">
        <v>278094</v>
      </c>
      <c r="E398" s="9" t="s">
        <v>16</v>
      </c>
      <c r="F398" s="23">
        <v>208</v>
      </c>
      <c r="G398" s="25"/>
      <c r="H398" s="14">
        <f t="shared" si="264"/>
        <v>0.55000000000000004</v>
      </c>
      <c r="I398" s="25">
        <f ca="1">IFERROR(__xludf.DUMMYFUNCTION("ROUND(D398*GOOGLEFINANCE(""RUBKZT"")*H398)"),1193562)</f>
        <v>1193562</v>
      </c>
      <c r="J398" s="26">
        <f ca="1">IFERROR(__xludf.DUMMYFUNCTION("ROUND(I398*GOOGLEFINANCE(""KZTEUR""))"),2500)</f>
        <v>2500</v>
      </c>
      <c r="K398" s="26">
        <f t="shared" ca="1" si="265"/>
        <v>12019</v>
      </c>
      <c r="L398" s="26">
        <f t="shared" ca="1" si="266"/>
        <v>2283.61</v>
      </c>
      <c r="M398" s="26">
        <f t="shared" ref="M398:N398" si="408">M$3</f>
        <v>500</v>
      </c>
      <c r="N398" s="26">
        <f t="shared" si="408"/>
        <v>500</v>
      </c>
      <c r="O398" s="26">
        <f ca="1">IFERROR(__xludf.DUMMYFUNCTION("ROUND(GOOGLEFINANCE(""Currency:EURKZT"")*K398)"),5739909)</f>
        <v>5739909</v>
      </c>
      <c r="P398" s="26">
        <f ca="1">IFERROR(__xludf.DUMMYFUNCTION("ROUND(GOOGLEFINANCE(""Currency:EURKZT"")*M398)"),238785)</f>
        <v>238785</v>
      </c>
      <c r="Q398" s="26">
        <f ca="1">IFERROR(__xludf.DUMMYFUNCTION("ROUND(GOOGLEFINANCE(""Currency:EURKZT"")*N398)"),238785)</f>
        <v>238785</v>
      </c>
      <c r="R398" s="26">
        <f t="shared" ca="1" si="268"/>
        <v>688789</v>
      </c>
      <c r="S398" s="26">
        <f t="shared" ca="1" si="269"/>
        <v>6906268</v>
      </c>
      <c r="T398" s="26">
        <f ca="1">IFERROR(__xludf.DUMMYFUNCTION("ROUND(GOOGLEFINANCE(""Currency:EURKZT"")*L398+S398)"),7996851)</f>
        <v>7996851</v>
      </c>
      <c r="U398" s="26">
        <f ca="1">IFERROR(__xludf.DUMMYFUNCTION("D398*GOOGLEFINANCE(""RUBKZT"")*1000/F398"),10433235.0192504)</f>
        <v>10433235.0192504</v>
      </c>
      <c r="V398" s="27">
        <f t="shared" ca="1" si="270"/>
        <v>0.30466792731919107</v>
      </c>
    </row>
    <row r="399" spans="1:22" ht="12.75" customHeight="1" x14ac:dyDescent="0.2">
      <c r="A399" s="6" t="s">
        <v>107</v>
      </c>
      <c r="B399" s="6" t="s">
        <v>15</v>
      </c>
      <c r="C399" s="7">
        <v>112514</v>
      </c>
      <c r="D399" s="8">
        <v>108387.59999999999</v>
      </c>
      <c r="E399" s="9" t="s">
        <v>16</v>
      </c>
      <c r="F399" s="23">
        <v>208</v>
      </c>
      <c r="G399" s="25"/>
      <c r="H399" s="14">
        <f t="shared" si="264"/>
        <v>0.55000000000000004</v>
      </c>
      <c r="I399" s="25">
        <f ca="1">IFERROR(__xludf.DUMMYFUNCTION("ROUND(D399*GOOGLEFINANCE(""RUBKZT"")*H399)"),465193)</f>
        <v>465193</v>
      </c>
      <c r="J399" s="26">
        <f ca="1">IFERROR(__xludf.DUMMYFUNCTION("ROUND(I399*GOOGLEFINANCE(""KZTEUR""))"),974)</f>
        <v>974</v>
      </c>
      <c r="K399" s="26">
        <f t="shared" ca="1" si="265"/>
        <v>4683</v>
      </c>
      <c r="L399" s="26">
        <f t="shared" ca="1" si="266"/>
        <v>889.77</v>
      </c>
      <c r="M399" s="26">
        <f t="shared" ref="M399:N399" si="409">M$3</f>
        <v>500</v>
      </c>
      <c r="N399" s="26">
        <f t="shared" si="409"/>
        <v>500</v>
      </c>
      <c r="O399" s="26">
        <f ca="1">IFERROR(__xludf.DUMMYFUNCTION("ROUND(GOOGLEFINANCE(""Currency:EURKZT"")*K399)"),2236459)</f>
        <v>2236459</v>
      </c>
      <c r="P399" s="26">
        <f ca="1">IFERROR(__xludf.DUMMYFUNCTION("ROUND(GOOGLEFINANCE(""Currency:EURKZT"")*M399)"),238785)</f>
        <v>238785</v>
      </c>
      <c r="Q399" s="26">
        <f ca="1">IFERROR(__xludf.DUMMYFUNCTION("ROUND(GOOGLEFINANCE(""Currency:EURKZT"")*N399)"),238785)</f>
        <v>238785</v>
      </c>
      <c r="R399" s="26">
        <f t="shared" ca="1" si="268"/>
        <v>268375</v>
      </c>
      <c r="S399" s="26">
        <f t="shared" ca="1" si="269"/>
        <v>2982404</v>
      </c>
      <c r="T399" s="26">
        <f ca="1">IFERROR(__xludf.DUMMYFUNCTION("ROUND(GOOGLEFINANCE(""Currency:EURKZT"")*L399+S399)"),3407331)</f>
        <v>3407331</v>
      </c>
      <c r="U399" s="26">
        <f ca="1">IFERROR(__xludf.DUMMYFUNCTION("D399*GOOGLEFINANCE(""RUBKZT"")*1000/F399"),4066370.73785305)</f>
        <v>4066370.7378530502</v>
      </c>
      <c r="V399" s="27">
        <f t="shared" ca="1" si="270"/>
        <v>0.1934181733013465</v>
      </c>
    </row>
    <row r="400" spans="1:22" ht="12.75" customHeight="1" x14ac:dyDescent="0.2">
      <c r="A400" s="6" t="s">
        <v>108</v>
      </c>
      <c r="B400" s="6" t="s">
        <v>15</v>
      </c>
      <c r="C400" s="7">
        <v>112516</v>
      </c>
      <c r="D400" s="8">
        <v>101156.4</v>
      </c>
      <c r="E400" s="9" t="s">
        <v>16</v>
      </c>
      <c r="F400" s="23">
        <v>208</v>
      </c>
      <c r="G400" s="25"/>
      <c r="H400" s="14">
        <f t="shared" si="264"/>
        <v>0.55000000000000004</v>
      </c>
      <c r="I400" s="25">
        <f ca="1">IFERROR(__xludf.DUMMYFUNCTION("ROUND(D400*GOOGLEFINANCE(""RUBKZT"")*H400)"),434157)</f>
        <v>434157</v>
      </c>
      <c r="J400" s="26">
        <f ca="1">IFERROR(__xludf.DUMMYFUNCTION("ROUND(I400*GOOGLEFINANCE(""KZTEUR""))"),909)</f>
        <v>909</v>
      </c>
      <c r="K400" s="26">
        <f t="shared" ca="1" si="265"/>
        <v>4370</v>
      </c>
      <c r="L400" s="26">
        <f t="shared" ca="1" si="266"/>
        <v>830.3</v>
      </c>
      <c r="M400" s="26">
        <f t="shared" ref="M400:N400" si="410">M$3</f>
        <v>500</v>
      </c>
      <c r="N400" s="26">
        <f t="shared" si="410"/>
        <v>500</v>
      </c>
      <c r="O400" s="26">
        <f ca="1">IFERROR(__xludf.DUMMYFUNCTION("ROUND(GOOGLEFINANCE(""Currency:EURKZT"")*K400)"),2086979)</f>
        <v>2086979</v>
      </c>
      <c r="P400" s="26">
        <f ca="1">IFERROR(__xludf.DUMMYFUNCTION("ROUND(GOOGLEFINANCE(""Currency:EURKZT"")*M400)"),238785)</f>
        <v>238785</v>
      </c>
      <c r="Q400" s="26">
        <f ca="1">IFERROR(__xludf.DUMMYFUNCTION("ROUND(GOOGLEFINANCE(""Currency:EURKZT"")*N400)"),238785)</f>
        <v>238785</v>
      </c>
      <c r="R400" s="26">
        <f t="shared" ca="1" si="268"/>
        <v>250437</v>
      </c>
      <c r="S400" s="26">
        <f t="shared" ca="1" si="269"/>
        <v>2814986</v>
      </c>
      <c r="T400" s="26">
        <f ca="1">IFERROR(__xludf.DUMMYFUNCTION("ROUND(GOOGLEFINANCE(""Currency:EURKZT"")*L400+S400)"),3211512)</f>
        <v>3211512</v>
      </c>
      <c r="U400" s="26">
        <f ca="1">IFERROR(__xludf.DUMMYFUNCTION("D400*GOOGLEFINANCE(""RUBKZT"")*1000/F400"),3795078.26454833)</f>
        <v>3795078.2645483301</v>
      </c>
      <c r="V400" s="27">
        <f t="shared" ca="1" si="270"/>
        <v>0.18171075323658453</v>
      </c>
    </row>
    <row r="401" spans="1:22" ht="12.75" customHeight="1" x14ac:dyDescent="0.2">
      <c r="A401" s="6" t="s">
        <v>109</v>
      </c>
      <c r="B401" s="6" t="s">
        <v>15</v>
      </c>
      <c r="C401" s="7">
        <v>112518</v>
      </c>
      <c r="D401" s="8">
        <v>110850</v>
      </c>
      <c r="E401" s="9" t="s">
        <v>16</v>
      </c>
      <c r="F401" s="23">
        <v>208</v>
      </c>
      <c r="G401" s="25"/>
      <c r="H401" s="14">
        <f t="shared" si="264"/>
        <v>0.55000000000000004</v>
      </c>
      <c r="I401" s="25">
        <f ca="1">IFERROR(__xludf.DUMMYFUNCTION("ROUND(D401*GOOGLEFINANCE(""RUBKZT"")*H401)"),475761)</f>
        <v>475761</v>
      </c>
      <c r="J401" s="26">
        <f ca="1">IFERROR(__xludf.DUMMYFUNCTION("ROUND(I401*GOOGLEFINANCE(""KZTEUR""))"),996)</f>
        <v>996</v>
      </c>
      <c r="K401" s="26">
        <f t="shared" ca="1" si="265"/>
        <v>4788</v>
      </c>
      <c r="L401" s="26">
        <f t="shared" ca="1" si="266"/>
        <v>909.72</v>
      </c>
      <c r="M401" s="26">
        <f t="shared" ref="M401:N401" si="411">M$3</f>
        <v>500</v>
      </c>
      <c r="N401" s="26">
        <f t="shared" si="411"/>
        <v>500</v>
      </c>
      <c r="O401" s="26">
        <f ca="1">IFERROR(__xludf.DUMMYFUNCTION("ROUND(GOOGLEFINANCE(""Currency:EURKZT"")*K401)"),2286603)</f>
        <v>2286603</v>
      </c>
      <c r="P401" s="26">
        <f ca="1">IFERROR(__xludf.DUMMYFUNCTION("ROUND(GOOGLEFINANCE(""Currency:EURKZT"")*M401)"),238785)</f>
        <v>238785</v>
      </c>
      <c r="Q401" s="26">
        <f ca="1">IFERROR(__xludf.DUMMYFUNCTION("ROUND(GOOGLEFINANCE(""Currency:EURKZT"")*N401)"),238785)</f>
        <v>238785</v>
      </c>
      <c r="R401" s="26">
        <f t="shared" ca="1" si="268"/>
        <v>274392</v>
      </c>
      <c r="S401" s="26">
        <f t="shared" ca="1" si="269"/>
        <v>3038565</v>
      </c>
      <c r="T401" s="26">
        <f ca="1">IFERROR(__xludf.DUMMYFUNCTION("ROUND(GOOGLEFINANCE(""Currency:EURKZT"")*L401+S401)"),3473020)</f>
        <v>3473020</v>
      </c>
      <c r="U401" s="26">
        <f ca="1">IFERROR(__xludf.DUMMYFUNCTION("D401*GOOGLEFINANCE(""RUBKZT"")*1000/F401"),4158752.44300096)</f>
        <v>4158752.4430009602</v>
      </c>
      <c r="V401" s="27">
        <f t="shared" ca="1" si="270"/>
        <v>0.19744557848816308</v>
      </c>
    </row>
    <row r="402" spans="1:22" ht="12.75" customHeight="1" x14ac:dyDescent="0.2">
      <c r="A402" s="6" t="s">
        <v>110</v>
      </c>
      <c r="B402" s="6" t="s">
        <v>15</v>
      </c>
      <c r="C402" s="7">
        <v>112520</v>
      </c>
      <c r="D402" s="8">
        <v>104667.59999999999</v>
      </c>
      <c r="E402" s="9" t="s">
        <v>16</v>
      </c>
      <c r="F402" s="23">
        <v>208</v>
      </c>
      <c r="G402" s="25"/>
      <c r="H402" s="14">
        <f t="shared" si="264"/>
        <v>0.55000000000000004</v>
      </c>
      <c r="I402" s="25">
        <f ca="1">IFERROR(__xludf.DUMMYFUNCTION("ROUND(D402*GOOGLEFINANCE(""RUBKZT"")*H402)"),449227)</f>
        <v>449227</v>
      </c>
      <c r="J402" s="26">
        <f ca="1">IFERROR(__xludf.DUMMYFUNCTION("ROUND(I402*GOOGLEFINANCE(""KZTEUR""))"),941)</f>
        <v>941</v>
      </c>
      <c r="K402" s="26">
        <f t="shared" ca="1" si="265"/>
        <v>4524</v>
      </c>
      <c r="L402" s="26">
        <f t="shared" ca="1" si="266"/>
        <v>859.56000000000006</v>
      </c>
      <c r="M402" s="26">
        <f t="shared" ref="M402:N402" si="412">M$3</f>
        <v>500</v>
      </c>
      <c r="N402" s="26">
        <f t="shared" si="412"/>
        <v>500</v>
      </c>
      <c r="O402" s="26">
        <f ca="1">IFERROR(__xludf.DUMMYFUNCTION("ROUND(GOOGLEFINANCE(""Currency:EURKZT"")*K402)"),2160525)</f>
        <v>2160525</v>
      </c>
      <c r="P402" s="26">
        <f ca="1">IFERROR(__xludf.DUMMYFUNCTION("ROUND(GOOGLEFINANCE(""Currency:EURKZT"")*M402)"),238785)</f>
        <v>238785</v>
      </c>
      <c r="Q402" s="26">
        <f ca="1">IFERROR(__xludf.DUMMYFUNCTION("ROUND(GOOGLEFINANCE(""Currency:EURKZT"")*N402)"),238785)</f>
        <v>238785</v>
      </c>
      <c r="R402" s="26">
        <f t="shared" ca="1" si="268"/>
        <v>259263</v>
      </c>
      <c r="S402" s="26">
        <f t="shared" ca="1" si="269"/>
        <v>2897358</v>
      </c>
      <c r="T402" s="26">
        <f ca="1">IFERROR(__xludf.DUMMYFUNCTION("ROUND(GOOGLEFINANCE(""Currency:EURKZT"")*L402+S402)"),3307858)</f>
        <v>3307858</v>
      </c>
      <c r="U402" s="26">
        <f ca="1">IFERROR(__xludf.DUMMYFUNCTION("D402*GOOGLEFINANCE(""RUBKZT"")*1000/F402"),3926807.73299997)</f>
        <v>3926807.7329999702</v>
      </c>
      <c r="V402" s="27">
        <f t="shared" ca="1" si="270"/>
        <v>0.18711496472943223</v>
      </c>
    </row>
    <row r="403" spans="1:22" ht="12.75" customHeight="1" x14ac:dyDescent="0.2">
      <c r="A403" s="6" t="s">
        <v>111</v>
      </c>
      <c r="B403" s="6" t="s">
        <v>15</v>
      </c>
      <c r="C403" s="7">
        <v>112522</v>
      </c>
      <c r="D403" s="8">
        <v>109920</v>
      </c>
      <c r="E403" s="9" t="s">
        <v>16</v>
      </c>
      <c r="F403" s="23">
        <v>208</v>
      </c>
      <c r="G403" s="25"/>
      <c r="H403" s="14">
        <f t="shared" si="264"/>
        <v>0.55000000000000004</v>
      </c>
      <c r="I403" s="25">
        <f ca="1">IFERROR(__xludf.DUMMYFUNCTION("ROUND(D403*GOOGLEFINANCE(""RUBKZT"")*H403)"),471770)</f>
        <v>471770</v>
      </c>
      <c r="J403" s="26">
        <f ca="1">IFERROR(__xludf.DUMMYFUNCTION("ROUND(I403*GOOGLEFINANCE(""KZTEUR""))"),988)</f>
        <v>988</v>
      </c>
      <c r="K403" s="26">
        <f t="shared" ca="1" si="265"/>
        <v>4750</v>
      </c>
      <c r="L403" s="26">
        <f t="shared" ca="1" si="266"/>
        <v>902.5</v>
      </c>
      <c r="M403" s="26">
        <f t="shared" ref="M403:N403" si="413">M$3</f>
        <v>500</v>
      </c>
      <c r="N403" s="26">
        <f t="shared" si="413"/>
        <v>500</v>
      </c>
      <c r="O403" s="26">
        <f ca="1">IFERROR(__xludf.DUMMYFUNCTION("ROUND(GOOGLEFINANCE(""Currency:EURKZT"")*K403)"),2268456)</f>
        <v>2268456</v>
      </c>
      <c r="P403" s="26">
        <f ca="1">IFERROR(__xludf.DUMMYFUNCTION("ROUND(GOOGLEFINANCE(""Currency:EURKZT"")*M403)"),238785)</f>
        <v>238785</v>
      </c>
      <c r="Q403" s="26">
        <f ca="1">IFERROR(__xludf.DUMMYFUNCTION("ROUND(GOOGLEFINANCE(""Currency:EURKZT"")*N403)"),238785)</f>
        <v>238785</v>
      </c>
      <c r="R403" s="26">
        <f t="shared" ca="1" si="268"/>
        <v>272215</v>
      </c>
      <c r="S403" s="26">
        <f t="shared" ca="1" si="269"/>
        <v>3018241</v>
      </c>
      <c r="T403" s="26">
        <f ca="1">IFERROR(__xludf.DUMMYFUNCTION("ROUND(GOOGLEFINANCE(""Currency:EURKZT"")*L403+S403)"),3449248)</f>
        <v>3449248</v>
      </c>
      <c r="U403" s="26">
        <f ca="1">IFERROR(__xludf.DUMMYFUNCTION("D403*GOOGLEFINANCE(""RUBKZT"")*1000/F403"),4123861.69178769)</f>
        <v>4123861.6917876899</v>
      </c>
      <c r="V403" s="27">
        <f t="shared" ca="1" si="270"/>
        <v>0.195582831906459</v>
      </c>
    </row>
    <row r="404" spans="1:22" ht="12.75" customHeight="1" x14ac:dyDescent="0.2">
      <c r="A404" s="6" t="s">
        <v>112</v>
      </c>
      <c r="B404" s="6" t="s">
        <v>15</v>
      </c>
      <c r="C404" s="7">
        <v>112524</v>
      </c>
      <c r="D404" s="8">
        <v>109998</v>
      </c>
      <c r="E404" s="9" t="s">
        <v>16</v>
      </c>
      <c r="F404" s="23">
        <v>208</v>
      </c>
      <c r="G404" s="25"/>
      <c r="H404" s="14">
        <f t="shared" si="264"/>
        <v>0.55000000000000004</v>
      </c>
      <c r="I404" s="25">
        <f ca="1">IFERROR(__xludf.DUMMYFUNCTION("ROUND(D404*GOOGLEFINANCE(""RUBKZT"")*H404)"),472105)</f>
        <v>472105</v>
      </c>
      <c r="J404" s="26">
        <f ca="1">IFERROR(__xludf.DUMMYFUNCTION("ROUND(I404*GOOGLEFINANCE(""KZTEUR""))"),989)</f>
        <v>989</v>
      </c>
      <c r="K404" s="26">
        <f t="shared" ca="1" si="265"/>
        <v>4755</v>
      </c>
      <c r="L404" s="26">
        <f t="shared" ca="1" si="266"/>
        <v>903.45</v>
      </c>
      <c r="M404" s="26">
        <f t="shared" ref="M404:N404" si="414">M$3</f>
        <v>500</v>
      </c>
      <c r="N404" s="26">
        <f t="shared" si="414"/>
        <v>500</v>
      </c>
      <c r="O404" s="26">
        <f ca="1">IFERROR(__xludf.DUMMYFUNCTION("ROUND(GOOGLEFINANCE(""Currency:EURKZT"")*K404)"),2270844)</f>
        <v>2270844</v>
      </c>
      <c r="P404" s="26">
        <f ca="1">IFERROR(__xludf.DUMMYFUNCTION("ROUND(GOOGLEFINANCE(""Currency:EURKZT"")*M404)"),238785)</f>
        <v>238785</v>
      </c>
      <c r="Q404" s="26">
        <f ca="1">IFERROR(__xludf.DUMMYFUNCTION("ROUND(GOOGLEFINANCE(""Currency:EURKZT"")*N404)"),238785)</f>
        <v>238785</v>
      </c>
      <c r="R404" s="26">
        <f t="shared" ca="1" si="268"/>
        <v>272501</v>
      </c>
      <c r="S404" s="26">
        <f t="shared" ca="1" si="269"/>
        <v>3020915</v>
      </c>
      <c r="T404" s="26">
        <f ca="1">IFERROR(__xludf.DUMMYFUNCTION("ROUND(GOOGLEFINANCE(""Currency:EURKZT"")*L404+S404)"),3452375)</f>
        <v>3452375</v>
      </c>
      <c r="U404" s="26">
        <f ca="1">IFERROR(__xludf.DUMMYFUNCTION("D404*GOOGLEFINANCE(""RUBKZT"")*1000/F404"),4126788.01285719)</f>
        <v>4126788.0128571899</v>
      </c>
      <c r="V404" s="27">
        <f t="shared" ca="1" si="270"/>
        <v>0.19534755432338313</v>
      </c>
    </row>
    <row r="405" spans="1:22" ht="12.75" customHeight="1" x14ac:dyDescent="0.2">
      <c r="A405" s="6" t="s">
        <v>113</v>
      </c>
      <c r="B405" s="6" t="s">
        <v>15</v>
      </c>
      <c r="C405" s="7">
        <v>112526</v>
      </c>
      <c r="D405" s="8">
        <v>111049.2</v>
      </c>
      <c r="E405" s="9" t="s">
        <v>16</v>
      </c>
      <c r="F405" s="23">
        <v>208</v>
      </c>
      <c r="G405" s="25"/>
      <c r="H405" s="14">
        <f t="shared" si="264"/>
        <v>0.55000000000000004</v>
      </c>
      <c r="I405" s="25">
        <f ca="1">IFERROR(__xludf.DUMMYFUNCTION("ROUND(D405*GOOGLEFINANCE(""RUBKZT"")*H405)"),476616)</f>
        <v>476616</v>
      </c>
      <c r="J405" s="26">
        <f ca="1">IFERROR(__xludf.DUMMYFUNCTION("ROUND(I405*GOOGLEFINANCE(""KZTEUR""))"),998)</f>
        <v>998</v>
      </c>
      <c r="K405" s="26">
        <f t="shared" ca="1" si="265"/>
        <v>4798</v>
      </c>
      <c r="L405" s="26">
        <f t="shared" ca="1" si="266"/>
        <v>911.62</v>
      </c>
      <c r="M405" s="26">
        <f t="shared" ref="M405:N405" si="415">M$3</f>
        <v>500</v>
      </c>
      <c r="N405" s="26">
        <f t="shared" si="415"/>
        <v>500</v>
      </c>
      <c r="O405" s="26">
        <f ca="1">IFERROR(__xludf.DUMMYFUNCTION("ROUND(GOOGLEFINANCE(""Currency:EURKZT"")*K405)"),2291379)</f>
        <v>2291379</v>
      </c>
      <c r="P405" s="26">
        <f ca="1">IFERROR(__xludf.DUMMYFUNCTION("ROUND(GOOGLEFINANCE(""Currency:EURKZT"")*M405)"),238785)</f>
        <v>238785</v>
      </c>
      <c r="Q405" s="26">
        <f ca="1">IFERROR(__xludf.DUMMYFUNCTION("ROUND(GOOGLEFINANCE(""Currency:EURKZT"")*N405)"),238785)</f>
        <v>238785</v>
      </c>
      <c r="R405" s="26">
        <f t="shared" ca="1" si="268"/>
        <v>274965</v>
      </c>
      <c r="S405" s="26">
        <f t="shared" ca="1" si="269"/>
        <v>3043914</v>
      </c>
      <c r="T405" s="26">
        <f ca="1">IFERROR(__xludf.DUMMYFUNCTION("ROUND(GOOGLEFINANCE(""Currency:EURKZT"")*L405+S405)"),3479276)</f>
        <v>3479276</v>
      </c>
      <c r="U405" s="26">
        <f ca="1">IFERROR(__xludf.DUMMYFUNCTION("D405*GOOGLEFINANCE(""RUBKZT"")*1000/F405"),4166225.81680922)</f>
        <v>4166225.8168092198</v>
      </c>
      <c r="V405" s="27">
        <f t="shared" ca="1" si="270"/>
        <v>0.19744044933751154</v>
      </c>
    </row>
    <row r="406" spans="1:22" ht="12.75" customHeight="1" x14ac:dyDescent="0.2">
      <c r="A406" s="6" t="s">
        <v>114</v>
      </c>
      <c r="B406" s="6" t="s">
        <v>15</v>
      </c>
      <c r="C406" s="7">
        <v>112528</v>
      </c>
      <c r="D406" s="8">
        <v>136882.79999999999</v>
      </c>
      <c r="E406" s="9" t="s">
        <v>16</v>
      </c>
      <c r="F406" s="23">
        <v>208</v>
      </c>
      <c r="G406" s="25"/>
      <c r="H406" s="14">
        <f t="shared" si="264"/>
        <v>0.55000000000000004</v>
      </c>
      <c r="I406" s="25">
        <f ca="1">IFERROR(__xludf.DUMMYFUNCTION("ROUND(D406*GOOGLEFINANCE(""RUBKZT"")*H406)"),587492)</f>
        <v>587492</v>
      </c>
      <c r="J406" s="26">
        <f ca="1">IFERROR(__xludf.DUMMYFUNCTION("ROUND(I406*GOOGLEFINANCE(""KZTEUR""))"),1230)</f>
        <v>1230</v>
      </c>
      <c r="K406" s="26">
        <f t="shared" ca="1" si="265"/>
        <v>5913</v>
      </c>
      <c r="L406" s="26">
        <f t="shared" ca="1" si="266"/>
        <v>1123.47</v>
      </c>
      <c r="M406" s="26">
        <f t="shared" ref="M406:N406" si="416">M$3</f>
        <v>500</v>
      </c>
      <c r="N406" s="26">
        <f t="shared" si="416"/>
        <v>500</v>
      </c>
      <c r="O406" s="26">
        <f ca="1">IFERROR(__xludf.DUMMYFUNCTION("ROUND(GOOGLEFINANCE(""Currency:EURKZT"")*K406)"),2823869)</f>
        <v>2823869</v>
      </c>
      <c r="P406" s="26">
        <f ca="1">IFERROR(__xludf.DUMMYFUNCTION("ROUND(GOOGLEFINANCE(""Currency:EURKZT"")*M406)"),238785)</f>
        <v>238785</v>
      </c>
      <c r="Q406" s="26">
        <f ca="1">IFERROR(__xludf.DUMMYFUNCTION("ROUND(GOOGLEFINANCE(""Currency:EURKZT"")*N406)"),238785)</f>
        <v>238785</v>
      </c>
      <c r="R406" s="26">
        <f t="shared" ca="1" si="268"/>
        <v>338864</v>
      </c>
      <c r="S406" s="26">
        <f t="shared" ca="1" si="269"/>
        <v>3640303</v>
      </c>
      <c r="T406" s="26">
        <f ca="1">IFERROR(__xludf.DUMMYFUNCTION("ROUND(GOOGLEFINANCE(""Currency:EURKZT"")*L406+S406)"),4176838)</f>
        <v>4176838</v>
      </c>
      <c r="U406" s="26">
        <f ca="1">IFERROR(__xludf.DUMMYFUNCTION("D406*GOOGLEFINANCE(""RUBKZT"")*1000/F406"),5135423.35502762)</f>
        <v>5135423.3550276197</v>
      </c>
      <c r="V406" s="27">
        <f t="shared" ca="1" si="270"/>
        <v>0.22950024756229945</v>
      </c>
    </row>
    <row r="407" spans="1:22" ht="12.75" customHeight="1" x14ac:dyDescent="0.2">
      <c r="A407" s="6" t="s">
        <v>115</v>
      </c>
      <c r="B407" s="6" t="s">
        <v>15</v>
      </c>
      <c r="C407" s="7">
        <v>112529</v>
      </c>
      <c r="D407" s="8">
        <v>149865.60000000001</v>
      </c>
      <c r="E407" s="9" t="s">
        <v>16</v>
      </c>
      <c r="F407" s="23">
        <v>208</v>
      </c>
      <c r="G407" s="25"/>
      <c r="H407" s="14">
        <f t="shared" si="264"/>
        <v>0.55000000000000004</v>
      </c>
      <c r="I407" s="25">
        <f ca="1">IFERROR(__xludf.DUMMYFUNCTION("ROUND(D407*GOOGLEFINANCE(""RUBKZT"")*H407)"),643214)</f>
        <v>643214</v>
      </c>
      <c r="J407" s="26">
        <f ca="1">IFERROR(__xludf.DUMMYFUNCTION("ROUND(I407*GOOGLEFINANCE(""KZTEUR""))"),1347)</f>
        <v>1347</v>
      </c>
      <c r="K407" s="26">
        <f t="shared" ca="1" si="265"/>
        <v>6476</v>
      </c>
      <c r="L407" s="26">
        <f t="shared" ca="1" si="266"/>
        <v>1230.44</v>
      </c>
      <c r="M407" s="26">
        <f t="shared" ref="M407:N407" si="417">M$3</f>
        <v>500</v>
      </c>
      <c r="N407" s="26">
        <f t="shared" si="417"/>
        <v>500</v>
      </c>
      <c r="O407" s="26">
        <f ca="1">IFERROR(__xludf.DUMMYFUNCTION("ROUND(GOOGLEFINANCE(""Currency:EURKZT"")*K407)"),3092741)</f>
        <v>3092741</v>
      </c>
      <c r="P407" s="26">
        <f ca="1">IFERROR(__xludf.DUMMYFUNCTION("ROUND(GOOGLEFINANCE(""Currency:EURKZT"")*M407)"),238785)</f>
        <v>238785</v>
      </c>
      <c r="Q407" s="26">
        <f ca="1">IFERROR(__xludf.DUMMYFUNCTION("ROUND(GOOGLEFINANCE(""Currency:EURKZT"")*N407)"),238785)</f>
        <v>238785</v>
      </c>
      <c r="R407" s="26">
        <f t="shared" ca="1" si="268"/>
        <v>371129</v>
      </c>
      <c r="S407" s="26">
        <f t="shared" ca="1" si="269"/>
        <v>3941440</v>
      </c>
      <c r="T407" s="26">
        <f ca="1">IFERROR(__xludf.DUMMYFUNCTION("ROUND(GOOGLEFINANCE(""Currency:EURKZT"")*L407+S407)"),4529061)</f>
        <v>4529061</v>
      </c>
      <c r="U407" s="26">
        <f ca="1">IFERROR(__xludf.DUMMYFUNCTION("D407*GOOGLEFINANCE(""RUBKZT"")*1000/F407"),5622498.24196486)</f>
        <v>5622498.2419648599</v>
      </c>
      <c r="V407" s="27">
        <f t="shared" ca="1" si="270"/>
        <v>0.24142691872881816</v>
      </c>
    </row>
    <row r="408" spans="1:22" ht="12.75" customHeight="1" x14ac:dyDescent="0.2">
      <c r="A408" s="6" t="s">
        <v>116</v>
      </c>
      <c r="B408" s="6" t="s">
        <v>15</v>
      </c>
      <c r="C408" s="7">
        <v>112538</v>
      </c>
      <c r="D408" s="8">
        <v>253993.19999999998</v>
      </c>
      <c r="E408" s="9" t="s">
        <v>16</v>
      </c>
      <c r="F408" s="23">
        <v>208</v>
      </c>
      <c r="G408" s="25"/>
      <c r="H408" s="14">
        <f t="shared" si="264"/>
        <v>0.55000000000000004</v>
      </c>
      <c r="I408" s="25">
        <f ca="1">IFERROR(__xludf.DUMMYFUNCTION("ROUND(D408*GOOGLEFINANCE(""RUBKZT"")*H408)"),1090123)</f>
        <v>1090123</v>
      </c>
      <c r="J408" s="26">
        <f ca="1">IFERROR(__xludf.DUMMYFUNCTION("ROUND(I408*GOOGLEFINANCE(""KZTEUR""))"),2283)</f>
        <v>2283</v>
      </c>
      <c r="K408" s="26">
        <f t="shared" ca="1" si="265"/>
        <v>10976</v>
      </c>
      <c r="L408" s="26">
        <f t="shared" ca="1" si="266"/>
        <v>2085.44</v>
      </c>
      <c r="M408" s="26">
        <f t="shared" ref="M408:N408" si="418">M$3</f>
        <v>500</v>
      </c>
      <c r="N408" s="26">
        <f t="shared" si="418"/>
        <v>500</v>
      </c>
      <c r="O408" s="26">
        <f ca="1">IFERROR(__xludf.DUMMYFUNCTION("ROUND(GOOGLEFINANCE(""Currency:EURKZT"")*K408)"),5241804)</f>
        <v>5241804</v>
      </c>
      <c r="P408" s="26">
        <f ca="1">IFERROR(__xludf.DUMMYFUNCTION("ROUND(GOOGLEFINANCE(""Currency:EURKZT"")*M408)"),238785)</f>
        <v>238785</v>
      </c>
      <c r="Q408" s="26">
        <f ca="1">IFERROR(__xludf.DUMMYFUNCTION("ROUND(GOOGLEFINANCE(""Currency:EURKZT"")*N408)"),238785)</f>
        <v>238785</v>
      </c>
      <c r="R408" s="26">
        <f t="shared" ca="1" si="268"/>
        <v>629016</v>
      </c>
      <c r="S408" s="26">
        <f t="shared" ca="1" si="269"/>
        <v>6348390</v>
      </c>
      <c r="T408" s="26">
        <f ca="1">IFERROR(__xludf.DUMMYFUNCTION("ROUND(GOOGLEFINANCE(""Currency:EURKZT"")*L408+S408)"),7344333)</f>
        <v>7344333</v>
      </c>
      <c r="U408" s="26">
        <f ca="1">IFERROR(__xludf.DUMMYFUNCTION("D408*GOOGLEFINANCE(""RUBKZT"")*1000/F408"),9529046.82909907)</f>
        <v>9529046.8290990703</v>
      </c>
      <c r="V408" s="27">
        <f t="shared" ca="1" si="270"/>
        <v>0.29746933167369594</v>
      </c>
    </row>
    <row r="409" spans="1:22" ht="12.75" customHeight="1" x14ac:dyDescent="0.2">
      <c r="A409" s="6" t="s">
        <v>117</v>
      </c>
      <c r="B409" s="6" t="s">
        <v>15</v>
      </c>
      <c r="C409" s="7">
        <v>112542</v>
      </c>
      <c r="D409" s="8">
        <v>117073.2</v>
      </c>
      <c r="E409" s="9" t="s">
        <v>16</v>
      </c>
      <c r="F409" s="23">
        <v>208</v>
      </c>
      <c r="G409" s="25"/>
      <c r="H409" s="14">
        <f t="shared" si="264"/>
        <v>0.55000000000000004</v>
      </c>
      <c r="I409" s="25">
        <f ca="1">IFERROR(__xludf.DUMMYFUNCTION("ROUND(D409*GOOGLEFINANCE(""RUBKZT"")*H409)"),502471)</f>
        <v>502471</v>
      </c>
      <c r="J409" s="26">
        <f ca="1">IFERROR(__xludf.DUMMYFUNCTION("ROUND(I409*GOOGLEFINANCE(""KZTEUR""))"),1052)</f>
        <v>1052</v>
      </c>
      <c r="K409" s="26">
        <f t="shared" ca="1" si="265"/>
        <v>5058</v>
      </c>
      <c r="L409" s="26">
        <f t="shared" ca="1" si="266"/>
        <v>961.02</v>
      </c>
      <c r="M409" s="26">
        <f t="shared" ref="M409:N409" si="419">M$3</f>
        <v>500</v>
      </c>
      <c r="N409" s="26">
        <f t="shared" si="419"/>
        <v>500</v>
      </c>
      <c r="O409" s="26">
        <f ca="1">IFERROR(__xludf.DUMMYFUNCTION("ROUND(GOOGLEFINANCE(""Currency:EURKZT"")*K409)"),2415547)</f>
        <v>2415547</v>
      </c>
      <c r="P409" s="26">
        <f ca="1">IFERROR(__xludf.DUMMYFUNCTION("ROUND(GOOGLEFINANCE(""Currency:EURKZT"")*M409)"),238785)</f>
        <v>238785</v>
      </c>
      <c r="Q409" s="26">
        <f ca="1">IFERROR(__xludf.DUMMYFUNCTION("ROUND(GOOGLEFINANCE(""Currency:EURKZT"")*N409)"),238785)</f>
        <v>238785</v>
      </c>
      <c r="R409" s="26">
        <f t="shared" ca="1" si="268"/>
        <v>289866</v>
      </c>
      <c r="S409" s="26">
        <f t="shared" ca="1" si="269"/>
        <v>3182983</v>
      </c>
      <c r="T409" s="26">
        <f ca="1">IFERROR(__xludf.DUMMYFUNCTION("ROUND(GOOGLEFINANCE(""Currency:EURKZT"")*L409+S409)"),3641937)</f>
        <v>3641937</v>
      </c>
      <c r="U409" s="26">
        <f ca="1">IFERROR(__xludf.DUMMYFUNCTION("D409*GOOGLEFINANCE(""RUBKZT"")*1000/F409"),4392227.84402291)</f>
        <v>4392227.8440229101</v>
      </c>
      <c r="V409" s="27">
        <f t="shared" ca="1" si="270"/>
        <v>0.20601422924748838</v>
      </c>
    </row>
    <row r="410" spans="1:22" ht="12.75" customHeight="1" x14ac:dyDescent="0.2">
      <c r="A410" s="6" t="s">
        <v>121</v>
      </c>
      <c r="B410" s="6" t="s">
        <v>15</v>
      </c>
      <c r="C410" s="7">
        <v>112588</v>
      </c>
      <c r="D410" s="8">
        <v>134144.4</v>
      </c>
      <c r="E410" s="9" t="s">
        <v>16</v>
      </c>
      <c r="F410" s="23">
        <v>208</v>
      </c>
      <c r="G410" s="25"/>
      <c r="H410" s="14">
        <f t="shared" si="264"/>
        <v>0.55000000000000004</v>
      </c>
      <c r="I410" s="25">
        <f ca="1">IFERROR(__xludf.DUMMYFUNCTION("ROUND(D410*GOOGLEFINANCE(""RUBKZT"")*H410)"),575739)</f>
        <v>575739</v>
      </c>
      <c r="J410" s="26">
        <f ca="1">IFERROR(__xludf.DUMMYFUNCTION("ROUND(I410*GOOGLEFINANCE(""KZTEUR""))"),1206)</f>
        <v>1206</v>
      </c>
      <c r="K410" s="26">
        <f t="shared" ca="1" si="265"/>
        <v>5798</v>
      </c>
      <c r="L410" s="26">
        <f t="shared" ca="1" si="266"/>
        <v>1101.6200000000001</v>
      </c>
      <c r="M410" s="26">
        <f t="shared" ref="M410:N410" si="420">M$3</f>
        <v>500</v>
      </c>
      <c r="N410" s="26">
        <f t="shared" si="420"/>
        <v>500</v>
      </c>
      <c r="O410" s="26">
        <f ca="1">IFERROR(__xludf.DUMMYFUNCTION("ROUND(GOOGLEFINANCE(""Currency:EURKZT"")*K410)"),2768949)</f>
        <v>2768949</v>
      </c>
      <c r="P410" s="26">
        <f ca="1">IFERROR(__xludf.DUMMYFUNCTION("ROUND(GOOGLEFINANCE(""Currency:EURKZT"")*M410)"),238785)</f>
        <v>238785</v>
      </c>
      <c r="Q410" s="26">
        <f ca="1">IFERROR(__xludf.DUMMYFUNCTION("ROUND(GOOGLEFINANCE(""Currency:EURKZT"")*N410)"),238785)</f>
        <v>238785</v>
      </c>
      <c r="R410" s="26">
        <f t="shared" ca="1" si="268"/>
        <v>332274</v>
      </c>
      <c r="S410" s="26">
        <f t="shared" ca="1" si="269"/>
        <v>3578793</v>
      </c>
      <c r="T410" s="26">
        <f ca="1">IFERROR(__xludf.DUMMYFUNCTION("ROUND(GOOGLEFINANCE(""Currency:EURKZT"")*L410+S410)"),4104893)</f>
        <v>4104893</v>
      </c>
      <c r="U410" s="26">
        <f ca="1">IFERROR(__xludf.DUMMYFUNCTION("D410*GOOGLEFINANCE(""RUBKZT"")*1000/F410"),5032686.9753261)</f>
        <v>5032686.9753261004</v>
      </c>
      <c r="V410" s="27">
        <f t="shared" ca="1" si="270"/>
        <v>0.22602147615689383</v>
      </c>
    </row>
    <row r="411" spans="1:22" ht="12.75" customHeight="1" x14ac:dyDescent="0.2">
      <c r="A411" s="6" t="s">
        <v>122</v>
      </c>
      <c r="B411" s="6" t="s">
        <v>15</v>
      </c>
      <c r="C411" s="7">
        <v>112589</v>
      </c>
      <c r="D411" s="8">
        <v>124400.4</v>
      </c>
      <c r="E411" s="9" t="s">
        <v>16</v>
      </c>
      <c r="F411" s="23">
        <v>208</v>
      </c>
      <c r="G411" s="25"/>
      <c r="H411" s="14">
        <f t="shared" si="264"/>
        <v>0.55000000000000004</v>
      </c>
      <c r="I411" s="25">
        <f ca="1">IFERROR(__xludf.DUMMYFUNCTION("ROUND(D411*GOOGLEFINANCE(""RUBKZT"")*H411)"),533919)</f>
        <v>533919</v>
      </c>
      <c r="J411" s="26">
        <f ca="1">IFERROR(__xludf.DUMMYFUNCTION("ROUND(I411*GOOGLEFINANCE(""KZTEUR""))"),1118)</f>
        <v>1118</v>
      </c>
      <c r="K411" s="26">
        <f t="shared" ca="1" si="265"/>
        <v>5375</v>
      </c>
      <c r="L411" s="26">
        <f t="shared" ca="1" si="266"/>
        <v>1021.25</v>
      </c>
      <c r="M411" s="26">
        <f t="shared" ref="M411:N411" si="421">M$3</f>
        <v>500</v>
      </c>
      <c r="N411" s="26">
        <f t="shared" si="421"/>
        <v>500</v>
      </c>
      <c r="O411" s="26">
        <f ca="1">IFERROR(__xludf.DUMMYFUNCTION("ROUND(GOOGLEFINANCE(""Currency:EURKZT"")*K411)"),2566937)</f>
        <v>2566937</v>
      </c>
      <c r="P411" s="26">
        <f ca="1">IFERROR(__xludf.DUMMYFUNCTION("ROUND(GOOGLEFINANCE(""Currency:EURKZT"")*M411)"),238785)</f>
        <v>238785</v>
      </c>
      <c r="Q411" s="26">
        <f ca="1">IFERROR(__xludf.DUMMYFUNCTION("ROUND(GOOGLEFINANCE(""Currency:EURKZT"")*N411)"),238785)</f>
        <v>238785</v>
      </c>
      <c r="R411" s="26">
        <f t="shared" ca="1" si="268"/>
        <v>308032</v>
      </c>
      <c r="S411" s="26">
        <f t="shared" ca="1" si="269"/>
        <v>3352539</v>
      </c>
      <c r="T411" s="26">
        <f ca="1">IFERROR(__xludf.DUMMYFUNCTION("ROUND(GOOGLEFINANCE(""Currency:EURKZT"")*L411+S411)"),3840257)</f>
        <v>3840257</v>
      </c>
      <c r="U411" s="26">
        <f ca="1">IFERROR(__xludf.DUMMYFUNCTION("D411*GOOGLEFINANCE(""RUBKZT"")*1000/F411"),4667121.94325933)</f>
        <v>4667121.9432593295</v>
      </c>
      <c r="V411" s="27">
        <f t="shared" ca="1" si="270"/>
        <v>0.21531500190204186</v>
      </c>
    </row>
    <row r="412" spans="1:22" ht="12.75" customHeight="1" x14ac:dyDescent="0.2">
      <c r="A412" s="6" t="s">
        <v>123</v>
      </c>
      <c r="B412" s="6" t="s">
        <v>15</v>
      </c>
      <c r="C412" s="7">
        <v>112595</v>
      </c>
      <c r="D412" s="8">
        <v>184110</v>
      </c>
      <c r="E412" s="9" t="s">
        <v>16</v>
      </c>
      <c r="F412" s="23">
        <v>208</v>
      </c>
      <c r="G412" s="25"/>
      <c r="H412" s="14">
        <f t="shared" si="264"/>
        <v>0.55000000000000004</v>
      </c>
      <c r="I412" s="25">
        <f ca="1">IFERROR(__xludf.DUMMYFUNCTION("ROUND(D412*GOOGLEFINANCE(""RUBKZT"")*H412)"),790189)</f>
        <v>790189</v>
      </c>
      <c r="J412" s="26">
        <f ca="1">IFERROR(__xludf.DUMMYFUNCTION("ROUND(I412*GOOGLEFINANCE(""KZTEUR""))"),1655)</f>
        <v>1655</v>
      </c>
      <c r="K412" s="26">
        <f t="shared" ca="1" si="265"/>
        <v>7957</v>
      </c>
      <c r="L412" s="26">
        <f t="shared" ca="1" si="266"/>
        <v>1511.83</v>
      </c>
      <c r="M412" s="26">
        <f t="shared" ref="M412:N412" si="422">M$3</f>
        <v>500</v>
      </c>
      <c r="N412" s="26">
        <f t="shared" si="422"/>
        <v>500</v>
      </c>
      <c r="O412" s="26">
        <f ca="1">IFERROR(__xludf.DUMMYFUNCTION("ROUND(GOOGLEFINANCE(""Currency:EURKZT"")*K412)"),3800021)</f>
        <v>3800021</v>
      </c>
      <c r="P412" s="26">
        <f ca="1">IFERROR(__xludf.DUMMYFUNCTION("ROUND(GOOGLEFINANCE(""Currency:EURKZT"")*M412)"),238785)</f>
        <v>238785</v>
      </c>
      <c r="Q412" s="26">
        <f ca="1">IFERROR(__xludf.DUMMYFUNCTION("ROUND(GOOGLEFINANCE(""Currency:EURKZT"")*N412)"),238785)</f>
        <v>238785</v>
      </c>
      <c r="R412" s="26">
        <f t="shared" ca="1" si="268"/>
        <v>456003</v>
      </c>
      <c r="S412" s="26">
        <f t="shared" ca="1" si="269"/>
        <v>4733594</v>
      </c>
      <c r="T412" s="26">
        <f ca="1">IFERROR(__xludf.DUMMYFUNCTION("ROUND(GOOGLEFINANCE(""Currency:EURKZT"")*L412+S412)"),5455598)</f>
        <v>5455598</v>
      </c>
      <c r="U412" s="26">
        <f ca="1">IFERROR(__xludf.DUMMYFUNCTION("D412*GOOGLEFINANCE(""RUBKZT"")*1000/F412"),6907243.23212365)</f>
        <v>6907243.2321236497</v>
      </c>
      <c r="V412" s="27">
        <f t="shared" ca="1" si="270"/>
        <v>0.26608361395462965</v>
      </c>
    </row>
    <row r="413" spans="1:22" ht="12.75" customHeight="1" x14ac:dyDescent="0.2">
      <c r="A413" s="6" t="s">
        <v>127</v>
      </c>
      <c r="B413" s="6" t="s">
        <v>15</v>
      </c>
      <c r="C413" s="7">
        <v>112604</v>
      </c>
      <c r="D413" s="8">
        <v>263604</v>
      </c>
      <c r="E413" s="9" t="s">
        <v>16</v>
      </c>
      <c r="F413" s="23">
        <v>208</v>
      </c>
      <c r="G413" s="25"/>
      <c r="H413" s="14">
        <f t="shared" si="264"/>
        <v>0.55000000000000004</v>
      </c>
      <c r="I413" s="25">
        <f ca="1">IFERROR(__xludf.DUMMYFUNCTION("ROUND(D413*GOOGLEFINANCE(""RUBKZT"")*H413)"),1131372)</f>
        <v>1131372</v>
      </c>
      <c r="J413" s="26">
        <f ca="1">IFERROR(__xludf.DUMMYFUNCTION("ROUND(I413*GOOGLEFINANCE(""KZTEUR""))"),2369)</f>
        <v>2369</v>
      </c>
      <c r="K413" s="26">
        <f t="shared" ca="1" si="265"/>
        <v>11389</v>
      </c>
      <c r="L413" s="26">
        <f t="shared" ca="1" si="266"/>
        <v>2163.91</v>
      </c>
      <c r="M413" s="26">
        <f t="shared" ref="M413:N413" si="423">M$3</f>
        <v>500</v>
      </c>
      <c r="N413" s="26">
        <f t="shared" si="423"/>
        <v>500</v>
      </c>
      <c r="O413" s="26">
        <f ca="1">IFERROR(__xludf.DUMMYFUNCTION("ROUND(GOOGLEFINANCE(""Currency:EURKZT"")*K413)"),5439040)</f>
        <v>5439040</v>
      </c>
      <c r="P413" s="26">
        <f ca="1">IFERROR(__xludf.DUMMYFUNCTION("ROUND(GOOGLEFINANCE(""Currency:EURKZT"")*M413)"),238785)</f>
        <v>238785</v>
      </c>
      <c r="Q413" s="26">
        <f ca="1">IFERROR(__xludf.DUMMYFUNCTION("ROUND(GOOGLEFINANCE(""Currency:EURKZT"")*N413)"),238785)</f>
        <v>238785</v>
      </c>
      <c r="R413" s="26">
        <f t="shared" ca="1" si="268"/>
        <v>652685</v>
      </c>
      <c r="S413" s="26">
        <f t="shared" ca="1" si="269"/>
        <v>6569295</v>
      </c>
      <c r="T413" s="26">
        <f ca="1">IFERROR(__xludf.DUMMYFUNCTION("ROUND(GOOGLEFINANCE(""Currency:EURKZT"")*L413+S413)"),7602713)</f>
        <v>7602713</v>
      </c>
      <c r="U413" s="26">
        <f ca="1">IFERROR(__xludf.DUMMYFUNCTION("D413*GOOGLEFINANCE(""RUBKZT"")*1000/F413"),9889614.60518561)</f>
        <v>9889614.6051856093</v>
      </c>
      <c r="V413" s="27">
        <f t="shared" ca="1" si="270"/>
        <v>0.30080072800138702</v>
      </c>
    </row>
    <row r="414" spans="1:22" ht="12.75" customHeight="1" x14ac:dyDescent="0.2">
      <c r="A414" s="6" t="s">
        <v>128</v>
      </c>
      <c r="B414" s="6" t="s">
        <v>15</v>
      </c>
      <c r="C414" s="7">
        <v>112605</v>
      </c>
      <c r="D414" s="8">
        <v>320029.2</v>
      </c>
      <c r="E414" s="9" t="s">
        <v>16</v>
      </c>
      <c r="F414" s="23">
        <v>208</v>
      </c>
      <c r="G414" s="25"/>
      <c r="H414" s="14">
        <f t="shared" si="264"/>
        <v>0.55000000000000004</v>
      </c>
      <c r="I414" s="25">
        <f ca="1">IFERROR(__xludf.DUMMYFUNCTION("ROUND(D414*GOOGLEFINANCE(""RUBKZT"")*H414)"),1373545)</f>
        <v>1373545</v>
      </c>
      <c r="J414" s="26">
        <f ca="1">IFERROR(__xludf.DUMMYFUNCTION("ROUND(I414*GOOGLEFINANCE(""KZTEUR""))"),2877)</f>
        <v>2877</v>
      </c>
      <c r="K414" s="26">
        <f t="shared" ca="1" si="265"/>
        <v>13832</v>
      </c>
      <c r="L414" s="26">
        <f t="shared" ca="1" si="266"/>
        <v>2628.08</v>
      </c>
      <c r="M414" s="26">
        <f t="shared" ref="M414:N414" si="424">M$3</f>
        <v>500</v>
      </c>
      <c r="N414" s="26">
        <f t="shared" si="424"/>
        <v>500</v>
      </c>
      <c r="O414" s="26">
        <f ca="1">IFERROR(__xludf.DUMMYFUNCTION("ROUND(GOOGLEFINANCE(""Currency:EURKZT"")*K414)"),6605743)</f>
        <v>6605743</v>
      </c>
      <c r="P414" s="26">
        <f ca="1">IFERROR(__xludf.DUMMYFUNCTION("ROUND(GOOGLEFINANCE(""Currency:EURKZT"")*M414)"),238785)</f>
        <v>238785</v>
      </c>
      <c r="Q414" s="26">
        <f ca="1">IFERROR(__xludf.DUMMYFUNCTION("ROUND(GOOGLEFINANCE(""Currency:EURKZT"")*N414)"),238785)</f>
        <v>238785</v>
      </c>
      <c r="R414" s="26">
        <f t="shared" ca="1" si="268"/>
        <v>792689</v>
      </c>
      <c r="S414" s="26">
        <f t="shared" ca="1" si="269"/>
        <v>7876002</v>
      </c>
      <c r="T414" s="26">
        <f ca="1">IFERROR(__xludf.DUMMYFUNCTION("ROUND(GOOGLEFINANCE(""Currency:EURKZT"")*L414+S414)"),9131093)</f>
        <v>9131093</v>
      </c>
      <c r="U414" s="26">
        <f ca="1">IFERROR(__xludf.DUMMYFUNCTION("D414*GOOGLEFINANCE(""RUBKZT"")*1000/F414"),12006515.2668619)</f>
        <v>12006515.266861901</v>
      </c>
      <c r="V414" s="27">
        <f t="shared" ca="1" si="270"/>
        <v>0.31490449904101303</v>
      </c>
    </row>
    <row r="415" spans="1:22" ht="12.75" customHeight="1" x14ac:dyDescent="0.2">
      <c r="A415" s="6" t="s">
        <v>129</v>
      </c>
      <c r="B415" s="6" t="s">
        <v>15</v>
      </c>
      <c r="C415" s="7">
        <v>112606</v>
      </c>
      <c r="D415" s="8">
        <v>283472.39999999997</v>
      </c>
      <c r="E415" s="9" t="s">
        <v>16</v>
      </c>
      <c r="F415" s="23">
        <v>208</v>
      </c>
      <c r="G415" s="25"/>
      <c r="H415" s="14">
        <f t="shared" si="264"/>
        <v>0.55000000000000004</v>
      </c>
      <c r="I415" s="25">
        <f ca="1">IFERROR(__xludf.DUMMYFUNCTION("ROUND(D415*GOOGLEFINANCE(""RUBKZT"")*H415)"),1216646)</f>
        <v>1216646</v>
      </c>
      <c r="J415" s="26">
        <f ca="1">IFERROR(__xludf.DUMMYFUNCTION("ROUND(I415*GOOGLEFINANCE(""KZTEUR""))"),2548)</f>
        <v>2548</v>
      </c>
      <c r="K415" s="26">
        <f t="shared" ca="1" si="265"/>
        <v>12250</v>
      </c>
      <c r="L415" s="26">
        <f t="shared" ca="1" si="266"/>
        <v>2327.5</v>
      </c>
      <c r="M415" s="26">
        <f t="shared" ref="M415:N415" si="425">M$3</f>
        <v>500</v>
      </c>
      <c r="N415" s="26">
        <f t="shared" si="425"/>
        <v>500</v>
      </c>
      <c r="O415" s="26">
        <f ca="1">IFERROR(__xludf.DUMMYFUNCTION("ROUND(GOOGLEFINANCE(""Currency:EURKZT"")*K415)"),5850228)</f>
        <v>5850228</v>
      </c>
      <c r="P415" s="26">
        <f ca="1">IFERROR(__xludf.DUMMYFUNCTION("ROUND(GOOGLEFINANCE(""Currency:EURKZT"")*M415)"),238785)</f>
        <v>238785</v>
      </c>
      <c r="Q415" s="26">
        <f ca="1">IFERROR(__xludf.DUMMYFUNCTION("ROUND(GOOGLEFINANCE(""Currency:EURKZT"")*N415)"),238785)</f>
        <v>238785</v>
      </c>
      <c r="R415" s="26">
        <f t="shared" ca="1" si="268"/>
        <v>702027</v>
      </c>
      <c r="S415" s="26">
        <f t="shared" ca="1" si="269"/>
        <v>7029825</v>
      </c>
      <c r="T415" s="26">
        <f ca="1">IFERROR(__xludf.DUMMYFUNCTION("ROUND(GOOGLEFINANCE(""Currency:EURKZT"")*L415+S415)"),8141368)</f>
        <v>8141368</v>
      </c>
      <c r="U415" s="26">
        <f ca="1">IFERROR(__xludf.DUMMYFUNCTION("D415*GOOGLEFINANCE(""RUBKZT"")*1000/F415"),10635016.1120734)</f>
        <v>10635016.112073399</v>
      </c>
      <c r="V415" s="27">
        <f t="shared" ca="1" si="270"/>
        <v>0.30629350154340146</v>
      </c>
    </row>
    <row r="416" spans="1:22" ht="12.75" customHeight="1" x14ac:dyDescent="0.2">
      <c r="A416" s="6" t="s">
        <v>130</v>
      </c>
      <c r="B416" s="6" t="s">
        <v>15</v>
      </c>
      <c r="C416" s="7">
        <v>112607</v>
      </c>
      <c r="D416" s="8">
        <v>264016.8</v>
      </c>
      <c r="E416" s="9" t="s">
        <v>16</v>
      </c>
      <c r="F416" s="23">
        <v>208</v>
      </c>
      <c r="G416" s="25"/>
      <c r="H416" s="14">
        <f t="shared" si="264"/>
        <v>0.55000000000000004</v>
      </c>
      <c r="I416" s="25">
        <f ca="1">IFERROR(__xludf.DUMMYFUNCTION("ROUND(D416*GOOGLEFINANCE(""RUBKZT"")*H416)"),1133144)</f>
        <v>1133144</v>
      </c>
      <c r="J416" s="26">
        <f ca="1">IFERROR(__xludf.DUMMYFUNCTION("ROUND(I416*GOOGLEFINANCE(""KZTEUR""))"),2373)</f>
        <v>2373</v>
      </c>
      <c r="K416" s="26">
        <f t="shared" ca="1" si="265"/>
        <v>11409</v>
      </c>
      <c r="L416" s="26">
        <f t="shared" ca="1" si="266"/>
        <v>2167.71</v>
      </c>
      <c r="M416" s="26">
        <f t="shared" ref="M416:N416" si="426">M$3</f>
        <v>500</v>
      </c>
      <c r="N416" s="26">
        <f t="shared" si="426"/>
        <v>500</v>
      </c>
      <c r="O416" s="26">
        <f ca="1">IFERROR(__xludf.DUMMYFUNCTION("ROUND(GOOGLEFINANCE(""Currency:EURKZT"")*K416)"),5448592)</f>
        <v>5448592</v>
      </c>
      <c r="P416" s="26">
        <f ca="1">IFERROR(__xludf.DUMMYFUNCTION("ROUND(GOOGLEFINANCE(""Currency:EURKZT"")*M416)"),238785)</f>
        <v>238785</v>
      </c>
      <c r="Q416" s="26">
        <f ca="1">IFERROR(__xludf.DUMMYFUNCTION("ROUND(GOOGLEFINANCE(""Currency:EURKZT"")*N416)"),238785)</f>
        <v>238785</v>
      </c>
      <c r="R416" s="26">
        <f t="shared" ca="1" si="268"/>
        <v>653831</v>
      </c>
      <c r="S416" s="26">
        <f t="shared" ca="1" si="269"/>
        <v>6579993</v>
      </c>
      <c r="T416" s="26">
        <f ca="1">IFERROR(__xludf.DUMMYFUNCTION("ROUND(GOOGLEFINANCE(""Currency:EURKZT"")*L416+S416)"),7615225)</f>
        <v>7615225</v>
      </c>
      <c r="U416" s="26">
        <f ca="1">IFERROR(__xludf.DUMMYFUNCTION("D416*GOOGLEFINANCE(""RUBKZT"")*1000/F416"),9905101.59669189)</f>
        <v>9905101.5966918897</v>
      </c>
      <c r="V416" s="27">
        <f t="shared" ca="1" si="270"/>
        <v>0.300697168723431</v>
      </c>
    </row>
    <row r="417" spans="1:22" ht="12.75" customHeight="1" x14ac:dyDescent="0.2">
      <c r="A417" s="6" t="s">
        <v>131</v>
      </c>
      <c r="B417" s="6" t="s">
        <v>15</v>
      </c>
      <c r="C417" s="7">
        <v>112608</v>
      </c>
      <c r="D417" s="8">
        <v>271699.20000000001</v>
      </c>
      <c r="E417" s="9" t="s">
        <v>16</v>
      </c>
      <c r="F417" s="23">
        <v>208</v>
      </c>
      <c r="G417" s="25"/>
      <c r="H417" s="14">
        <f t="shared" si="264"/>
        <v>0.55000000000000004</v>
      </c>
      <c r="I417" s="25">
        <f ca="1">IFERROR(__xludf.DUMMYFUNCTION("ROUND(D417*GOOGLEFINANCE(""RUBKZT"")*H417)"),1166116)</f>
        <v>1166116</v>
      </c>
      <c r="J417" s="26">
        <f ca="1">IFERROR(__xludf.DUMMYFUNCTION("ROUND(I417*GOOGLEFINANCE(""KZTEUR""))"),2442)</f>
        <v>2442</v>
      </c>
      <c r="K417" s="26">
        <f t="shared" ca="1" si="265"/>
        <v>11740</v>
      </c>
      <c r="L417" s="26">
        <f t="shared" ca="1" si="266"/>
        <v>2230.6</v>
      </c>
      <c r="M417" s="26">
        <f t="shared" ref="M417:N417" si="427">M$3</f>
        <v>500</v>
      </c>
      <c r="N417" s="26">
        <f t="shared" si="427"/>
        <v>500</v>
      </c>
      <c r="O417" s="26">
        <f ca="1">IFERROR(__xludf.DUMMYFUNCTION("ROUND(GOOGLEFINANCE(""Currency:EURKZT"")*K417)"),5606667)</f>
        <v>5606667</v>
      </c>
      <c r="P417" s="26">
        <f ca="1">IFERROR(__xludf.DUMMYFUNCTION("ROUND(GOOGLEFINANCE(""Currency:EURKZT"")*M417)"),238785)</f>
        <v>238785</v>
      </c>
      <c r="Q417" s="26">
        <f ca="1">IFERROR(__xludf.DUMMYFUNCTION("ROUND(GOOGLEFINANCE(""Currency:EURKZT"")*N417)"),238785)</f>
        <v>238785</v>
      </c>
      <c r="R417" s="26">
        <f t="shared" ca="1" si="268"/>
        <v>672800</v>
      </c>
      <c r="S417" s="26">
        <f t="shared" ca="1" si="269"/>
        <v>6757037</v>
      </c>
      <c r="T417" s="26">
        <f ca="1">IFERROR(__xludf.DUMMYFUNCTION("ROUND(GOOGLEFINANCE(""Currency:EURKZT"")*L417+S417)"),7822304)</f>
        <v>7822304</v>
      </c>
      <c r="U417" s="26">
        <f ca="1">IFERROR(__xludf.DUMMYFUNCTION("D417*GOOGLEFINANCE(""RUBKZT"")*1000/F417"),10193321.7118755)</f>
        <v>10193321.7118755</v>
      </c>
      <c r="V417" s="27">
        <f t="shared" ca="1" si="270"/>
        <v>0.30310989088067919</v>
      </c>
    </row>
    <row r="418" spans="1:22" ht="12.75" customHeight="1" x14ac:dyDescent="0.2">
      <c r="A418" s="6" t="s">
        <v>132</v>
      </c>
      <c r="B418" s="6" t="s">
        <v>15</v>
      </c>
      <c r="C418" s="7">
        <v>112612</v>
      </c>
      <c r="D418" s="8">
        <v>118807.2</v>
      </c>
      <c r="E418" s="9" t="s">
        <v>16</v>
      </c>
      <c r="F418" s="23">
        <v>208</v>
      </c>
      <c r="G418" s="25"/>
      <c r="H418" s="14">
        <f t="shared" si="264"/>
        <v>0.55000000000000004</v>
      </c>
      <c r="I418" s="25">
        <f ca="1">IFERROR(__xludf.DUMMYFUNCTION("ROUND(D418*GOOGLEFINANCE(""RUBKZT"")*H418)"),509913)</f>
        <v>509913</v>
      </c>
      <c r="J418" s="26">
        <f ca="1">IFERROR(__xludf.DUMMYFUNCTION("ROUND(I418*GOOGLEFINANCE(""KZTEUR""))"),1068)</f>
        <v>1068</v>
      </c>
      <c r="K418" s="26">
        <f t="shared" ca="1" si="265"/>
        <v>5135</v>
      </c>
      <c r="L418" s="26">
        <f t="shared" ca="1" si="266"/>
        <v>975.65</v>
      </c>
      <c r="M418" s="26">
        <f t="shared" ref="M418:N418" si="428">M$3</f>
        <v>500</v>
      </c>
      <c r="N418" s="26">
        <f t="shared" si="428"/>
        <v>500</v>
      </c>
      <c r="O418" s="26">
        <f ca="1">IFERROR(__xludf.DUMMYFUNCTION("ROUND(GOOGLEFINANCE(""Currency:EURKZT"")*K418)"),2452320)</f>
        <v>2452320</v>
      </c>
      <c r="P418" s="26">
        <f ca="1">IFERROR(__xludf.DUMMYFUNCTION("ROUND(GOOGLEFINANCE(""Currency:EURKZT"")*M418)"),238785)</f>
        <v>238785</v>
      </c>
      <c r="Q418" s="26">
        <f ca="1">IFERROR(__xludf.DUMMYFUNCTION("ROUND(GOOGLEFINANCE(""Currency:EURKZT"")*N418)"),238785)</f>
        <v>238785</v>
      </c>
      <c r="R418" s="26">
        <f t="shared" ca="1" si="268"/>
        <v>294278</v>
      </c>
      <c r="S418" s="26">
        <f t="shared" ca="1" si="269"/>
        <v>3224168</v>
      </c>
      <c r="T418" s="26">
        <f ca="1">IFERROR(__xludf.DUMMYFUNCTION("ROUND(GOOGLEFINANCE(""Currency:EURKZT"")*L418+S418)"),3690109)</f>
        <v>3690109</v>
      </c>
      <c r="U418" s="26">
        <f ca="1">IFERROR(__xludf.DUMMYFUNCTION("D418*GOOGLEFINANCE(""RUBKZT"")*1000/F418"),4457282.2124141)</f>
        <v>4457282.2124140998</v>
      </c>
      <c r="V418" s="27">
        <f t="shared" ca="1" si="270"/>
        <v>0.20789987840849683</v>
      </c>
    </row>
    <row r="419" spans="1:22" ht="12.75" customHeight="1" x14ac:dyDescent="0.2">
      <c r="A419" s="6" t="s">
        <v>135</v>
      </c>
      <c r="B419" s="6" t="s">
        <v>15</v>
      </c>
      <c r="C419" s="7">
        <v>112669</v>
      </c>
      <c r="D419" s="8">
        <v>124404</v>
      </c>
      <c r="E419" s="9" t="s">
        <v>16</v>
      </c>
      <c r="F419" s="23">
        <v>208</v>
      </c>
      <c r="G419" s="25"/>
      <c r="H419" s="14">
        <f t="shared" si="264"/>
        <v>0.55000000000000004</v>
      </c>
      <c r="I419" s="25">
        <f ca="1">IFERROR(__xludf.DUMMYFUNCTION("ROUND(D419*GOOGLEFINANCE(""RUBKZT"")*H419)"),533934)</f>
        <v>533934</v>
      </c>
      <c r="J419" s="26">
        <f ca="1">IFERROR(__xludf.DUMMYFUNCTION("ROUND(I419*GOOGLEFINANCE(""KZTEUR""))"),1118)</f>
        <v>1118</v>
      </c>
      <c r="K419" s="26">
        <f t="shared" ca="1" si="265"/>
        <v>5375</v>
      </c>
      <c r="L419" s="26">
        <f t="shared" ca="1" si="266"/>
        <v>1021.25</v>
      </c>
      <c r="M419" s="26">
        <f t="shared" ref="M419:N419" si="429">M$3</f>
        <v>500</v>
      </c>
      <c r="N419" s="26">
        <f t="shared" si="429"/>
        <v>500</v>
      </c>
      <c r="O419" s="26">
        <f ca="1">IFERROR(__xludf.DUMMYFUNCTION("ROUND(GOOGLEFINANCE(""Currency:EURKZT"")*K419)"),2566937)</f>
        <v>2566937</v>
      </c>
      <c r="P419" s="26">
        <f ca="1">IFERROR(__xludf.DUMMYFUNCTION("ROUND(GOOGLEFINANCE(""Currency:EURKZT"")*M419)"),238785)</f>
        <v>238785</v>
      </c>
      <c r="Q419" s="26">
        <f ca="1">IFERROR(__xludf.DUMMYFUNCTION("ROUND(GOOGLEFINANCE(""Currency:EURKZT"")*N419)"),238785)</f>
        <v>238785</v>
      </c>
      <c r="R419" s="26">
        <f t="shared" ca="1" si="268"/>
        <v>308032</v>
      </c>
      <c r="S419" s="26">
        <f t="shared" ca="1" si="269"/>
        <v>3352539</v>
      </c>
      <c r="T419" s="26">
        <f ca="1">IFERROR(__xludf.DUMMYFUNCTION("ROUND(GOOGLEFINANCE(""Currency:EURKZT"")*L419+S419)"),3840257)</f>
        <v>3840257</v>
      </c>
      <c r="U419" s="26">
        <f ca="1">IFERROR(__xludf.DUMMYFUNCTION("D419*GOOGLEFINANCE(""RUBKZT"")*1000/F419"),4667257.00423177)</f>
        <v>4667257.0042317696</v>
      </c>
      <c r="V419" s="27">
        <f t="shared" ca="1" si="270"/>
        <v>0.21535017167647102</v>
      </c>
    </row>
    <row r="420" spans="1:22" ht="12.75" customHeight="1" x14ac:dyDescent="0.2">
      <c r="A420" s="6" t="s">
        <v>104</v>
      </c>
      <c r="B420" s="6" t="s">
        <v>15</v>
      </c>
      <c r="C420" s="7">
        <v>114364</v>
      </c>
      <c r="D420" s="8">
        <v>107486.39999999999</v>
      </c>
      <c r="E420" s="9" t="s">
        <v>16</v>
      </c>
      <c r="F420" s="23">
        <v>208</v>
      </c>
      <c r="G420" s="25"/>
      <c r="H420" s="14">
        <f t="shared" si="264"/>
        <v>0.55000000000000004</v>
      </c>
      <c r="I420" s="25">
        <f ca="1">IFERROR(__xludf.DUMMYFUNCTION("ROUND(D420*GOOGLEFINANCE(""RUBKZT"")*H420)"),461325)</f>
        <v>461325</v>
      </c>
      <c r="J420" s="26">
        <f ca="1">IFERROR(__xludf.DUMMYFUNCTION("ROUND(I420*GOOGLEFINANCE(""KZTEUR""))"),966)</f>
        <v>966</v>
      </c>
      <c r="K420" s="26">
        <f t="shared" ca="1" si="265"/>
        <v>4644</v>
      </c>
      <c r="L420" s="26">
        <f t="shared" ca="1" si="266"/>
        <v>882.36</v>
      </c>
      <c r="M420" s="26">
        <f t="shared" ref="M420:N420" si="430">M$3</f>
        <v>500</v>
      </c>
      <c r="N420" s="26">
        <f t="shared" si="430"/>
        <v>500</v>
      </c>
      <c r="O420" s="26">
        <f ca="1">IFERROR(__xludf.DUMMYFUNCTION("ROUND(GOOGLEFINANCE(""Currency:EURKZT"")*K420)"),2217833)</f>
        <v>2217833</v>
      </c>
      <c r="P420" s="26">
        <f ca="1">IFERROR(__xludf.DUMMYFUNCTION("ROUND(GOOGLEFINANCE(""Currency:EURKZT"")*M420)"),238785)</f>
        <v>238785</v>
      </c>
      <c r="Q420" s="26">
        <f ca="1">IFERROR(__xludf.DUMMYFUNCTION("ROUND(GOOGLEFINANCE(""Currency:EURKZT"")*N420)"),238785)</f>
        <v>238785</v>
      </c>
      <c r="R420" s="26">
        <f t="shared" ca="1" si="268"/>
        <v>266140</v>
      </c>
      <c r="S420" s="26">
        <f t="shared" ca="1" si="269"/>
        <v>2961543</v>
      </c>
      <c r="T420" s="26">
        <f ca="1">IFERROR(__xludf.DUMMYFUNCTION("ROUND(GOOGLEFINANCE(""Currency:EURKZT"")*L420+S420)"),3382931)</f>
        <v>3382931</v>
      </c>
      <c r="U420" s="26">
        <f ca="1">IFERROR(__xludf.DUMMYFUNCTION("D420*GOOGLEFINANCE(""RUBKZT"")*1000/F420"),4032560.47441929)</f>
        <v>4032560.4744192902</v>
      </c>
      <c r="V420" s="27">
        <f t="shared" ca="1" si="270"/>
        <v>0.19203154732369362</v>
      </c>
    </row>
    <row r="421" spans="1:22" ht="12.75" customHeight="1" x14ac:dyDescent="0.2">
      <c r="A421" s="6" t="s">
        <v>139</v>
      </c>
      <c r="B421" s="6" t="s">
        <v>15</v>
      </c>
      <c r="C421" s="7">
        <v>115803</v>
      </c>
      <c r="D421" s="8">
        <v>146217.60000000001</v>
      </c>
      <c r="E421" s="9" t="s">
        <v>16</v>
      </c>
      <c r="F421" s="23">
        <v>208</v>
      </c>
      <c r="G421" s="25"/>
      <c r="H421" s="14">
        <f t="shared" si="264"/>
        <v>0.55000000000000004</v>
      </c>
      <c r="I421" s="25">
        <f ca="1">IFERROR(__xludf.DUMMYFUNCTION("ROUND(D421*GOOGLEFINANCE(""RUBKZT"")*H421)"),627557)</f>
        <v>627557</v>
      </c>
      <c r="J421" s="26">
        <f ca="1">IFERROR(__xludf.DUMMYFUNCTION("ROUND(I421*GOOGLEFINANCE(""KZTEUR""))"),1314)</f>
        <v>1314</v>
      </c>
      <c r="K421" s="26">
        <f t="shared" ca="1" si="265"/>
        <v>6317</v>
      </c>
      <c r="L421" s="26">
        <f t="shared" ca="1" si="266"/>
        <v>1200.23</v>
      </c>
      <c r="M421" s="26">
        <f t="shared" ref="M421:N421" si="431">M$3</f>
        <v>500</v>
      </c>
      <c r="N421" s="26">
        <f t="shared" si="431"/>
        <v>500</v>
      </c>
      <c r="O421" s="26">
        <f ca="1">IFERROR(__xludf.DUMMYFUNCTION("ROUND(GOOGLEFINANCE(""Currency:EURKZT"")*K421)"),3016807)</f>
        <v>3016807</v>
      </c>
      <c r="P421" s="26">
        <f ca="1">IFERROR(__xludf.DUMMYFUNCTION("ROUND(GOOGLEFINANCE(""Currency:EURKZT"")*M421)"),238785)</f>
        <v>238785</v>
      </c>
      <c r="Q421" s="26">
        <f ca="1">IFERROR(__xludf.DUMMYFUNCTION("ROUND(GOOGLEFINANCE(""Currency:EURKZT"")*N421)"),238785)</f>
        <v>238785</v>
      </c>
      <c r="R421" s="26">
        <f t="shared" ca="1" si="268"/>
        <v>362017</v>
      </c>
      <c r="S421" s="26">
        <f t="shared" ca="1" si="269"/>
        <v>3856394</v>
      </c>
      <c r="T421" s="26">
        <f ca="1">IFERROR(__xludf.DUMMYFUNCTION("ROUND(GOOGLEFINANCE(""Currency:EURKZT"")*L421+S421)"),4429587)</f>
        <v>4429587</v>
      </c>
      <c r="U421" s="26">
        <f ca="1">IFERROR(__xludf.DUMMYFUNCTION("D421*GOOGLEFINANCE(""RUBKZT"")*1000/F421"),5485636.45656055)</f>
        <v>5485636.4565605503</v>
      </c>
      <c r="V421" s="27">
        <f t="shared" ca="1" si="270"/>
        <v>0.2384081081510647</v>
      </c>
    </row>
    <row r="422" spans="1:22" ht="12.75" customHeight="1" x14ac:dyDescent="0.2">
      <c r="A422" s="6" t="s">
        <v>140</v>
      </c>
      <c r="B422" s="6" t="s">
        <v>15</v>
      </c>
      <c r="C422" s="7">
        <v>119663</v>
      </c>
      <c r="D422" s="8">
        <v>106210.8</v>
      </c>
      <c r="E422" s="9" t="s">
        <v>16</v>
      </c>
      <c r="F422" s="23">
        <v>208</v>
      </c>
      <c r="G422" s="25"/>
      <c r="H422" s="14">
        <f t="shared" si="264"/>
        <v>0.55000000000000004</v>
      </c>
      <c r="I422" s="25">
        <f ca="1">IFERROR(__xludf.DUMMYFUNCTION("ROUND(D422*GOOGLEFINANCE(""RUBKZT"")*H422)"),455850)</f>
        <v>455850</v>
      </c>
      <c r="J422" s="26">
        <f ca="1">IFERROR(__xludf.DUMMYFUNCTION("ROUND(I422*GOOGLEFINANCE(""KZTEUR""))"),955)</f>
        <v>955</v>
      </c>
      <c r="K422" s="26">
        <f t="shared" ca="1" si="265"/>
        <v>4591</v>
      </c>
      <c r="L422" s="26">
        <f t="shared" ca="1" si="266"/>
        <v>872.29</v>
      </c>
      <c r="M422" s="26">
        <f t="shared" ref="M422:N422" si="432">M$3</f>
        <v>500</v>
      </c>
      <c r="N422" s="26">
        <f t="shared" si="432"/>
        <v>500</v>
      </c>
      <c r="O422" s="26">
        <f ca="1">IFERROR(__xludf.DUMMYFUNCTION("ROUND(GOOGLEFINANCE(""Currency:EURKZT"")*K422)"),2192522)</f>
        <v>2192522</v>
      </c>
      <c r="P422" s="26">
        <f ca="1">IFERROR(__xludf.DUMMYFUNCTION("ROUND(GOOGLEFINANCE(""Currency:EURKZT"")*M422)"),238785)</f>
        <v>238785</v>
      </c>
      <c r="Q422" s="26">
        <f ca="1">IFERROR(__xludf.DUMMYFUNCTION("ROUND(GOOGLEFINANCE(""Currency:EURKZT"")*N422)"),238785)</f>
        <v>238785</v>
      </c>
      <c r="R422" s="26">
        <f t="shared" ca="1" si="268"/>
        <v>263103</v>
      </c>
      <c r="S422" s="26">
        <f t="shared" ca="1" si="269"/>
        <v>2933195</v>
      </c>
      <c r="T422" s="26">
        <f ca="1">IFERROR(__xludf.DUMMYFUNCTION("ROUND(GOOGLEFINANCE(""Currency:EURKZT"")*L422+S422)"),3349774)</f>
        <v>3349774</v>
      </c>
      <c r="U422" s="26">
        <f ca="1">IFERROR(__xludf.DUMMYFUNCTION("D422*GOOGLEFINANCE(""RUBKZT"")*1000/F422"),3984703.86985193)</f>
        <v>3984703.8698519301</v>
      </c>
      <c r="V422" s="27">
        <f t="shared" ca="1" si="270"/>
        <v>0.18954409158705335</v>
      </c>
    </row>
    <row r="423" spans="1:22" ht="12.75" customHeight="1" x14ac:dyDescent="0.2">
      <c r="A423" s="6" t="s">
        <v>141</v>
      </c>
      <c r="B423" s="6" t="s">
        <v>15</v>
      </c>
      <c r="C423" s="7">
        <v>120612</v>
      </c>
      <c r="D423" s="8">
        <v>127032</v>
      </c>
      <c r="E423" s="9" t="s">
        <v>16</v>
      </c>
      <c r="F423" s="23">
        <v>208</v>
      </c>
      <c r="G423" s="25"/>
      <c r="H423" s="14">
        <f t="shared" si="264"/>
        <v>0.55000000000000004</v>
      </c>
      <c r="I423" s="25">
        <f ca="1">IFERROR(__xludf.DUMMYFUNCTION("ROUND(D423*GOOGLEFINANCE(""RUBKZT"")*H423)"),545213)</f>
        <v>545213</v>
      </c>
      <c r="J423" s="26">
        <f ca="1">IFERROR(__xludf.DUMMYFUNCTION("ROUND(I423*GOOGLEFINANCE(""KZTEUR""))"),1142)</f>
        <v>1142</v>
      </c>
      <c r="K423" s="26">
        <f t="shared" ca="1" si="265"/>
        <v>5490</v>
      </c>
      <c r="L423" s="26">
        <f t="shared" ca="1" si="266"/>
        <v>1043.0999999999999</v>
      </c>
      <c r="M423" s="26">
        <f t="shared" ref="M423:N423" si="433">M$3</f>
        <v>500</v>
      </c>
      <c r="N423" s="26">
        <f t="shared" si="433"/>
        <v>500</v>
      </c>
      <c r="O423" s="26">
        <f ca="1">IFERROR(__xludf.DUMMYFUNCTION("ROUND(GOOGLEFINANCE(""Currency:EURKZT"")*K423)"),2621857)</f>
        <v>2621857</v>
      </c>
      <c r="P423" s="26">
        <f ca="1">IFERROR(__xludf.DUMMYFUNCTION("ROUND(GOOGLEFINANCE(""Currency:EURKZT"")*M423)"),238785)</f>
        <v>238785</v>
      </c>
      <c r="Q423" s="26">
        <f ca="1">IFERROR(__xludf.DUMMYFUNCTION("ROUND(GOOGLEFINANCE(""Currency:EURKZT"")*N423)"),238785)</f>
        <v>238785</v>
      </c>
      <c r="R423" s="26">
        <f t="shared" ca="1" si="268"/>
        <v>314623</v>
      </c>
      <c r="S423" s="26">
        <f t="shared" ca="1" si="269"/>
        <v>3414050</v>
      </c>
      <c r="T423" s="26">
        <f ca="1">IFERROR(__xludf.DUMMYFUNCTION("ROUND(GOOGLEFINANCE(""Currency:EURKZT"")*L423+S423)"),3912203)</f>
        <v>3912203</v>
      </c>
      <c r="U423" s="26">
        <f ca="1">IFERROR(__xludf.DUMMYFUNCTION("D423*GOOGLEFINANCE(""RUBKZT"")*1000/F423"),4765851.51411184)</f>
        <v>4765851.5141118402</v>
      </c>
      <c r="V423" s="27">
        <f t="shared" ca="1" si="270"/>
        <v>0.21820148752808588</v>
      </c>
    </row>
    <row r="424" spans="1:22" ht="12.75" customHeight="1" x14ac:dyDescent="0.2">
      <c r="A424" s="6" t="s">
        <v>120</v>
      </c>
      <c r="B424" s="6" t="s">
        <v>15</v>
      </c>
      <c r="C424" s="7">
        <v>120615</v>
      </c>
      <c r="D424" s="8">
        <v>344852.39999999997</v>
      </c>
      <c r="E424" s="9" t="s">
        <v>16</v>
      </c>
      <c r="F424" s="23">
        <v>208</v>
      </c>
      <c r="G424" s="25"/>
      <c r="H424" s="14">
        <f t="shared" si="264"/>
        <v>0.55000000000000004</v>
      </c>
      <c r="I424" s="25">
        <f ca="1">IFERROR(__xludf.DUMMYFUNCTION("ROUND(D424*GOOGLEFINANCE(""RUBKZT"")*H424)"),1480085)</f>
        <v>1480085</v>
      </c>
      <c r="J424" s="26">
        <f ca="1">IFERROR(__xludf.DUMMYFUNCTION("ROUND(I424*GOOGLEFINANCE(""KZTEUR""))"),3100)</f>
        <v>3100</v>
      </c>
      <c r="K424" s="26">
        <f t="shared" ca="1" si="265"/>
        <v>14904</v>
      </c>
      <c r="L424" s="26">
        <f t="shared" ca="1" si="266"/>
        <v>2831.76</v>
      </c>
      <c r="M424" s="26">
        <f t="shared" ref="M424:N424" si="434">M$3</f>
        <v>500</v>
      </c>
      <c r="N424" s="26">
        <f t="shared" si="434"/>
        <v>500</v>
      </c>
      <c r="O424" s="26">
        <f ca="1">IFERROR(__xludf.DUMMYFUNCTION("ROUND(GOOGLEFINANCE(""Currency:EURKZT"")*K424)"),7117698)</f>
        <v>7117698</v>
      </c>
      <c r="P424" s="26">
        <f ca="1">IFERROR(__xludf.DUMMYFUNCTION("ROUND(GOOGLEFINANCE(""Currency:EURKZT"")*M424)"),238785)</f>
        <v>238785</v>
      </c>
      <c r="Q424" s="26">
        <f ca="1">IFERROR(__xludf.DUMMYFUNCTION("ROUND(GOOGLEFINANCE(""Currency:EURKZT"")*N424)"),238785)</f>
        <v>238785</v>
      </c>
      <c r="R424" s="26">
        <f t="shared" ca="1" si="268"/>
        <v>854124</v>
      </c>
      <c r="S424" s="26">
        <f t="shared" ca="1" si="269"/>
        <v>8449392</v>
      </c>
      <c r="T424" s="26">
        <f ca="1">IFERROR(__xludf.DUMMYFUNCTION("ROUND(GOOGLEFINANCE(""Currency:EURKZT"")*L424+S424)"),9801755)</f>
        <v>9801755</v>
      </c>
      <c r="U424" s="26">
        <f ca="1">IFERROR(__xludf.DUMMYFUNCTION("D424*GOOGLEFINANCE(""RUBKZT"")*1000/F424"),12937805.6921492)</f>
        <v>12937805.6921492</v>
      </c>
      <c r="V424" s="27">
        <f t="shared" ca="1" si="270"/>
        <v>0.31994787588030915</v>
      </c>
    </row>
    <row r="425" spans="1:22" ht="12.75" customHeight="1" x14ac:dyDescent="0.2">
      <c r="A425" s="6" t="s">
        <v>118</v>
      </c>
      <c r="B425" s="6" t="s">
        <v>15</v>
      </c>
      <c r="C425" s="7">
        <v>120616</v>
      </c>
      <c r="D425" s="8">
        <v>263516.39999999997</v>
      </c>
      <c r="E425" s="9" t="s">
        <v>16</v>
      </c>
      <c r="F425" s="23">
        <v>208</v>
      </c>
      <c r="G425" s="25"/>
      <c r="H425" s="14">
        <f t="shared" si="264"/>
        <v>0.55000000000000004</v>
      </c>
      <c r="I425" s="25">
        <f ca="1">IFERROR(__xludf.DUMMYFUNCTION("ROUND(D425*GOOGLEFINANCE(""RUBKZT"")*H425)"),1130996)</f>
        <v>1130996</v>
      </c>
      <c r="J425" s="26">
        <f ca="1">IFERROR(__xludf.DUMMYFUNCTION("ROUND(I425*GOOGLEFINANCE(""KZTEUR""))"),2369)</f>
        <v>2369</v>
      </c>
      <c r="K425" s="26">
        <f t="shared" ca="1" si="265"/>
        <v>11389</v>
      </c>
      <c r="L425" s="26">
        <f t="shared" ca="1" si="266"/>
        <v>2163.91</v>
      </c>
      <c r="M425" s="26">
        <f t="shared" ref="M425:N425" si="435">M$3</f>
        <v>500</v>
      </c>
      <c r="N425" s="26">
        <f t="shared" si="435"/>
        <v>500</v>
      </c>
      <c r="O425" s="26">
        <f ca="1">IFERROR(__xludf.DUMMYFUNCTION("ROUND(GOOGLEFINANCE(""Currency:EURKZT"")*K425)"),5439040)</f>
        <v>5439040</v>
      </c>
      <c r="P425" s="26">
        <f ca="1">IFERROR(__xludf.DUMMYFUNCTION("ROUND(GOOGLEFINANCE(""Currency:EURKZT"")*M425)"),238785)</f>
        <v>238785</v>
      </c>
      <c r="Q425" s="26">
        <f ca="1">IFERROR(__xludf.DUMMYFUNCTION("ROUND(GOOGLEFINANCE(""Currency:EURKZT"")*N425)"),238785)</f>
        <v>238785</v>
      </c>
      <c r="R425" s="26">
        <f t="shared" ca="1" si="268"/>
        <v>652685</v>
      </c>
      <c r="S425" s="26">
        <f t="shared" ca="1" si="269"/>
        <v>6569295</v>
      </c>
      <c r="T425" s="26">
        <f ca="1">IFERROR(__xludf.DUMMYFUNCTION("ROUND(GOOGLEFINANCE(""Currency:EURKZT"")*L425+S425)"),7602713)</f>
        <v>7602713</v>
      </c>
      <c r="U425" s="26">
        <f ca="1">IFERROR(__xludf.DUMMYFUNCTION("D425*GOOGLEFINANCE(""RUBKZT"")*1000/F425"),9886328.12152294)</f>
        <v>9886328.1215229407</v>
      </c>
      <c r="V425" s="27">
        <f t="shared" ca="1" si="270"/>
        <v>0.30036845025229031</v>
      </c>
    </row>
    <row r="426" spans="1:22" ht="12.75" customHeight="1" x14ac:dyDescent="0.2">
      <c r="A426" s="6" t="s">
        <v>142</v>
      </c>
      <c r="B426" s="6" t="s">
        <v>15</v>
      </c>
      <c r="C426" s="7">
        <v>120658</v>
      </c>
      <c r="D426" s="8">
        <v>302890.8</v>
      </c>
      <c r="E426" s="9" t="s">
        <v>16</v>
      </c>
      <c r="F426" s="23">
        <v>208</v>
      </c>
      <c r="G426" s="25"/>
      <c r="H426" s="14">
        <f t="shared" si="264"/>
        <v>0.55000000000000004</v>
      </c>
      <c r="I426" s="25">
        <f ca="1">IFERROR(__xludf.DUMMYFUNCTION("ROUND(D426*GOOGLEFINANCE(""RUBKZT"")*H426)"),1299988)</f>
        <v>1299988</v>
      </c>
      <c r="J426" s="26">
        <f ca="1">IFERROR(__xludf.DUMMYFUNCTION("ROUND(I426*GOOGLEFINANCE(""KZTEUR""))"),2723)</f>
        <v>2723</v>
      </c>
      <c r="K426" s="26">
        <f t="shared" ca="1" si="265"/>
        <v>13091</v>
      </c>
      <c r="L426" s="26">
        <f t="shared" ca="1" si="266"/>
        <v>2487.29</v>
      </c>
      <c r="M426" s="26">
        <f t="shared" ref="M426:N426" si="436">M$3</f>
        <v>500</v>
      </c>
      <c r="N426" s="26">
        <f t="shared" si="436"/>
        <v>500</v>
      </c>
      <c r="O426" s="26">
        <f ca="1">IFERROR(__xludf.DUMMYFUNCTION("ROUND(GOOGLEFINANCE(""Currency:EURKZT"")*K426)"),6251864)</f>
        <v>6251864</v>
      </c>
      <c r="P426" s="26">
        <f ca="1">IFERROR(__xludf.DUMMYFUNCTION("ROUND(GOOGLEFINANCE(""Currency:EURKZT"")*M426)"),238785)</f>
        <v>238785</v>
      </c>
      <c r="Q426" s="26">
        <f ca="1">IFERROR(__xludf.DUMMYFUNCTION("ROUND(GOOGLEFINANCE(""Currency:EURKZT"")*N426)"),238785)</f>
        <v>238785</v>
      </c>
      <c r="R426" s="26">
        <f t="shared" ca="1" si="268"/>
        <v>750224</v>
      </c>
      <c r="S426" s="26">
        <f t="shared" ca="1" si="269"/>
        <v>7479658</v>
      </c>
      <c r="T426" s="26">
        <f ca="1">IFERROR(__xludf.DUMMYFUNCTION("ROUND(GOOGLEFINANCE(""Currency:EURKZT"")*L426+S426)"),8667512)</f>
        <v>8667512</v>
      </c>
      <c r="U426" s="26">
        <f ca="1">IFERROR(__xludf.DUMMYFUNCTION("D426*GOOGLEFINANCE(""RUBKZT"")*1000/F426"),11363534.9974065)</f>
        <v>11363534.997406499</v>
      </c>
      <c r="V426" s="27">
        <f t="shared" ca="1" si="270"/>
        <v>0.3110492373597521</v>
      </c>
    </row>
    <row r="427" spans="1:22" ht="12.75" customHeight="1" x14ac:dyDescent="0.2">
      <c r="A427" s="6" t="s">
        <v>143</v>
      </c>
      <c r="B427" s="6" t="s">
        <v>15</v>
      </c>
      <c r="C427" s="7">
        <v>120661</v>
      </c>
      <c r="D427" s="8">
        <v>115662</v>
      </c>
      <c r="E427" s="9" t="s">
        <v>16</v>
      </c>
      <c r="F427" s="23">
        <v>208</v>
      </c>
      <c r="G427" s="25"/>
      <c r="H427" s="14">
        <f t="shared" si="264"/>
        <v>0.55000000000000004</v>
      </c>
      <c r="I427" s="25">
        <f ca="1">IFERROR(__xludf.DUMMYFUNCTION("ROUND(D427*GOOGLEFINANCE(""RUBKZT"")*H427)"),496414)</f>
        <v>496414</v>
      </c>
      <c r="J427" s="26">
        <f ca="1">IFERROR(__xludf.DUMMYFUNCTION("ROUND(I427*GOOGLEFINANCE(""KZTEUR""))"),1040)</f>
        <v>1040</v>
      </c>
      <c r="K427" s="26">
        <f t="shared" ca="1" si="265"/>
        <v>5000</v>
      </c>
      <c r="L427" s="26">
        <f t="shared" ca="1" si="266"/>
        <v>950</v>
      </c>
      <c r="M427" s="26">
        <f t="shared" ref="M427:N427" si="437">M$3</f>
        <v>500</v>
      </c>
      <c r="N427" s="26">
        <f t="shared" si="437"/>
        <v>500</v>
      </c>
      <c r="O427" s="26">
        <f ca="1">IFERROR(__xludf.DUMMYFUNCTION("ROUND(GOOGLEFINANCE(""Currency:EURKZT"")*K427)"),2387848)</f>
        <v>2387848</v>
      </c>
      <c r="P427" s="26">
        <f ca="1">IFERROR(__xludf.DUMMYFUNCTION("ROUND(GOOGLEFINANCE(""Currency:EURKZT"")*M427)"),238785)</f>
        <v>238785</v>
      </c>
      <c r="Q427" s="26">
        <f ca="1">IFERROR(__xludf.DUMMYFUNCTION("ROUND(GOOGLEFINANCE(""Currency:EURKZT"")*N427)"),238785)</f>
        <v>238785</v>
      </c>
      <c r="R427" s="26">
        <f t="shared" ca="1" si="268"/>
        <v>286542</v>
      </c>
      <c r="S427" s="26">
        <f t="shared" ca="1" si="269"/>
        <v>3151960</v>
      </c>
      <c r="T427" s="26">
        <f ca="1">IFERROR(__xludf.DUMMYFUNCTION("ROUND(GOOGLEFINANCE(""Currency:EURKZT"")*L427+S427)"),3605651)</f>
        <v>3605651</v>
      </c>
      <c r="U427" s="26">
        <f ca="1">IFERROR(__xludf.DUMMYFUNCTION("D427*GOOGLEFINANCE(""RUBKZT"")*1000/F427"),4339283.94282703)</f>
        <v>4339283.9428270301</v>
      </c>
      <c r="V427" s="27">
        <f t="shared" ca="1" si="270"/>
        <v>0.20346754104238876</v>
      </c>
    </row>
    <row r="428" spans="1:22" ht="12.75" customHeight="1" x14ac:dyDescent="0.2">
      <c r="A428" s="6" t="s">
        <v>144</v>
      </c>
      <c r="B428" s="6" t="s">
        <v>15</v>
      </c>
      <c r="C428" s="7">
        <v>120790</v>
      </c>
      <c r="D428" s="8">
        <v>161846.39999999999</v>
      </c>
      <c r="E428" s="9" t="s">
        <v>16</v>
      </c>
      <c r="F428" s="23">
        <v>208</v>
      </c>
      <c r="G428" s="25"/>
      <c r="H428" s="14">
        <f t="shared" si="264"/>
        <v>0.55000000000000004</v>
      </c>
      <c r="I428" s="25">
        <f ca="1">IFERROR(__xludf.DUMMYFUNCTION("ROUND(D428*GOOGLEFINANCE(""RUBKZT"")*H428)"),694635)</f>
        <v>694635</v>
      </c>
      <c r="J428" s="26">
        <f ca="1">IFERROR(__xludf.DUMMYFUNCTION("ROUND(I428*GOOGLEFINANCE(""KZTEUR""))"),1455)</f>
        <v>1455</v>
      </c>
      <c r="K428" s="26">
        <f t="shared" ca="1" si="265"/>
        <v>6995</v>
      </c>
      <c r="L428" s="26">
        <f t="shared" ca="1" si="266"/>
        <v>1329.05</v>
      </c>
      <c r="M428" s="26">
        <f t="shared" ref="M428:N428" si="438">M$3</f>
        <v>500</v>
      </c>
      <c r="N428" s="26">
        <f t="shared" si="438"/>
        <v>500</v>
      </c>
      <c r="O428" s="26">
        <f ca="1">IFERROR(__xludf.DUMMYFUNCTION("ROUND(GOOGLEFINANCE(""Currency:EURKZT"")*K428)"),3340599)</f>
        <v>3340599</v>
      </c>
      <c r="P428" s="26">
        <f ca="1">IFERROR(__xludf.DUMMYFUNCTION("ROUND(GOOGLEFINANCE(""Currency:EURKZT"")*M428)"),238785)</f>
        <v>238785</v>
      </c>
      <c r="Q428" s="26">
        <f ca="1">IFERROR(__xludf.DUMMYFUNCTION("ROUND(GOOGLEFINANCE(""Currency:EURKZT"")*N428)"),238785)</f>
        <v>238785</v>
      </c>
      <c r="R428" s="26">
        <f t="shared" ca="1" si="268"/>
        <v>400872</v>
      </c>
      <c r="S428" s="26">
        <f t="shared" ca="1" si="269"/>
        <v>4219041</v>
      </c>
      <c r="T428" s="26">
        <f ca="1">IFERROR(__xludf.DUMMYFUNCTION("ROUND(GOOGLEFINANCE(""Currency:EURKZT"")*L428+S428)"),4853755)</f>
        <v>4853755</v>
      </c>
      <c r="U428" s="26">
        <f ca="1">IFERROR(__xludf.DUMMYFUNCTION("D428*GOOGLEFINANCE(""RUBKZT"")*1000/F428"),6071981.15824006)</f>
        <v>6071981.1582400603</v>
      </c>
      <c r="V428" s="27">
        <f t="shared" ca="1" si="270"/>
        <v>0.25098633083871358</v>
      </c>
    </row>
    <row r="429" spans="1:22" ht="12.75" customHeight="1" x14ac:dyDescent="0.2">
      <c r="A429" s="6" t="s">
        <v>133</v>
      </c>
      <c r="B429" s="6" t="s">
        <v>15</v>
      </c>
      <c r="C429" s="7">
        <v>121890</v>
      </c>
      <c r="D429" s="8">
        <v>304114.8</v>
      </c>
      <c r="E429" s="9" t="s">
        <v>16</v>
      </c>
      <c r="F429" s="23">
        <v>208</v>
      </c>
      <c r="G429" s="25"/>
      <c r="H429" s="14">
        <f t="shared" si="264"/>
        <v>0.55000000000000004</v>
      </c>
      <c r="I429" s="25">
        <f ca="1">IFERROR(__xludf.DUMMYFUNCTION("ROUND(D429*GOOGLEFINANCE(""RUBKZT"")*H429)"),1305242)</f>
        <v>1305242</v>
      </c>
      <c r="J429" s="26">
        <f ca="1">IFERROR(__xludf.DUMMYFUNCTION("ROUND(I429*GOOGLEFINANCE(""KZTEUR""))"),2734)</f>
        <v>2734</v>
      </c>
      <c r="K429" s="26">
        <f t="shared" ca="1" si="265"/>
        <v>13144</v>
      </c>
      <c r="L429" s="26">
        <f t="shared" ca="1" si="266"/>
        <v>2497.36</v>
      </c>
      <c r="M429" s="26">
        <f t="shared" ref="M429:N429" si="439">M$3</f>
        <v>500</v>
      </c>
      <c r="N429" s="26">
        <f t="shared" si="439"/>
        <v>500</v>
      </c>
      <c r="O429" s="26">
        <f ca="1">IFERROR(__xludf.DUMMYFUNCTION("ROUND(GOOGLEFINANCE(""Currency:EURKZT"")*K429)"),6277175)</f>
        <v>6277175</v>
      </c>
      <c r="P429" s="26">
        <f ca="1">IFERROR(__xludf.DUMMYFUNCTION("ROUND(GOOGLEFINANCE(""Currency:EURKZT"")*M429)"),238785)</f>
        <v>238785</v>
      </c>
      <c r="Q429" s="26">
        <f ca="1">IFERROR(__xludf.DUMMYFUNCTION("ROUND(GOOGLEFINANCE(""Currency:EURKZT"")*N429)"),238785)</f>
        <v>238785</v>
      </c>
      <c r="R429" s="26">
        <f t="shared" ca="1" si="268"/>
        <v>753261</v>
      </c>
      <c r="S429" s="26">
        <f t="shared" ca="1" si="269"/>
        <v>7508006</v>
      </c>
      <c r="T429" s="26">
        <f ca="1">IFERROR(__xludf.DUMMYFUNCTION("ROUND(GOOGLEFINANCE(""Currency:EURKZT"")*L429+S429)"),8700669)</f>
        <v>8700669</v>
      </c>
      <c r="U429" s="26">
        <f ca="1">IFERROR(__xludf.DUMMYFUNCTION("D429*GOOGLEFINANCE(""RUBKZT"")*1000/F429"),11409455.7280356)</f>
        <v>11409455.728035601</v>
      </c>
      <c r="V429" s="27">
        <f t="shared" ca="1" si="270"/>
        <v>0.31133085605665506</v>
      </c>
    </row>
    <row r="430" spans="1:22" ht="12.75" customHeight="1" x14ac:dyDescent="0.2">
      <c r="A430" s="6" t="s">
        <v>5</v>
      </c>
      <c r="B430" s="6" t="s">
        <v>15</v>
      </c>
      <c r="C430" s="7">
        <v>123828</v>
      </c>
      <c r="D430" s="8">
        <v>87714</v>
      </c>
      <c r="E430" s="9" t="s">
        <v>7</v>
      </c>
      <c r="F430" s="23">
        <v>208</v>
      </c>
      <c r="G430" s="25"/>
      <c r="H430" s="14">
        <f t="shared" si="264"/>
        <v>0.55000000000000004</v>
      </c>
      <c r="I430" s="25">
        <f ca="1">IFERROR(__xludf.DUMMYFUNCTION("ROUND(D430*GOOGLEFINANCE(""RUBKZT"")*H430)"),376463)</f>
        <v>376463</v>
      </c>
      <c r="J430" s="26">
        <f ca="1">IFERROR(__xludf.DUMMYFUNCTION("ROUND(I430*GOOGLEFINANCE(""KZTEUR""))"),788)</f>
        <v>788</v>
      </c>
      <c r="K430" s="26">
        <f t="shared" ca="1" si="265"/>
        <v>3788</v>
      </c>
      <c r="L430" s="26">
        <f t="shared" ca="1" si="266"/>
        <v>719.72</v>
      </c>
      <c r="M430" s="26">
        <f t="shared" ref="M430:N430" si="440">M$3</f>
        <v>500</v>
      </c>
      <c r="N430" s="26">
        <f t="shared" si="440"/>
        <v>500</v>
      </c>
      <c r="O430" s="26">
        <f ca="1">IFERROR(__xludf.DUMMYFUNCTION("ROUND(GOOGLEFINANCE(""Currency:EURKZT"")*K430)"),1809034)</f>
        <v>1809034</v>
      </c>
      <c r="P430" s="26">
        <f ca="1">IFERROR(__xludf.DUMMYFUNCTION("ROUND(GOOGLEFINANCE(""Currency:EURKZT"")*M430)"),238785)</f>
        <v>238785</v>
      </c>
      <c r="Q430" s="26">
        <f ca="1">IFERROR(__xludf.DUMMYFUNCTION("ROUND(GOOGLEFINANCE(""Currency:EURKZT"")*N430)"),238785)</f>
        <v>238785</v>
      </c>
      <c r="R430" s="26">
        <f t="shared" ca="1" si="268"/>
        <v>217084</v>
      </c>
      <c r="S430" s="26">
        <f t="shared" ca="1" si="269"/>
        <v>2503688</v>
      </c>
      <c r="T430" s="26">
        <f ca="1">IFERROR(__xludf.DUMMYFUNCTION("ROUND(GOOGLEFINANCE(""Currency:EURKZT"")*L430+S430)"),2847404)</f>
        <v>2847404</v>
      </c>
      <c r="U430" s="26">
        <f ca="1">IFERROR(__xludf.DUMMYFUNCTION("D430*GOOGLEFINANCE(""RUBKZT"")*1000/F430"),3290760.59346311)</f>
        <v>3290760.5934631098</v>
      </c>
      <c r="V430" s="27">
        <f t="shared" ca="1" si="270"/>
        <v>0.15570554563493968</v>
      </c>
    </row>
    <row r="431" spans="1:22" ht="12.75" customHeight="1" x14ac:dyDescent="0.2">
      <c r="A431" s="6" t="s">
        <v>13</v>
      </c>
      <c r="B431" s="6" t="s">
        <v>15</v>
      </c>
      <c r="C431" s="7">
        <v>123959</v>
      </c>
      <c r="D431" s="8">
        <v>183993.60000000001</v>
      </c>
      <c r="E431" s="9" t="s">
        <v>7</v>
      </c>
      <c r="F431" s="23">
        <v>208</v>
      </c>
      <c r="G431" s="25"/>
      <c r="H431" s="14">
        <f t="shared" si="264"/>
        <v>0.55000000000000004</v>
      </c>
      <c r="I431" s="25">
        <f ca="1">IFERROR(__xludf.DUMMYFUNCTION("ROUND(D431*GOOGLEFINANCE(""RUBKZT"")*H431)"),789689)</f>
        <v>789689</v>
      </c>
      <c r="J431" s="26">
        <f ca="1">IFERROR(__xludf.DUMMYFUNCTION("ROUND(I431*GOOGLEFINANCE(""KZTEUR""))"),1654)</f>
        <v>1654</v>
      </c>
      <c r="K431" s="26">
        <f t="shared" ca="1" si="265"/>
        <v>7952</v>
      </c>
      <c r="L431" s="26">
        <f t="shared" ca="1" si="266"/>
        <v>1510.88</v>
      </c>
      <c r="M431" s="26">
        <f t="shared" ref="M431:N431" si="441">M$3</f>
        <v>500</v>
      </c>
      <c r="N431" s="26">
        <f t="shared" si="441"/>
        <v>500</v>
      </c>
      <c r="O431" s="26">
        <f ca="1">IFERROR(__xludf.DUMMYFUNCTION("ROUND(GOOGLEFINANCE(""Currency:EURKZT"")*K431)"),3797634)</f>
        <v>3797634</v>
      </c>
      <c r="P431" s="26">
        <f ca="1">IFERROR(__xludf.DUMMYFUNCTION("ROUND(GOOGLEFINANCE(""Currency:EURKZT"")*M431)"),238785)</f>
        <v>238785</v>
      </c>
      <c r="Q431" s="26">
        <f ca="1">IFERROR(__xludf.DUMMYFUNCTION("ROUND(GOOGLEFINANCE(""Currency:EURKZT"")*N431)"),238785)</f>
        <v>238785</v>
      </c>
      <c r="R431" s="26">
        <f t="shared" ca="1" si="268"/>
        <v>455716</v>
      </c>
      <c r="S431" s="26">
        <f t="shared" ca="1" si="269"/>
        <v>4730920</v>
      </c>
      <c r="T431" s="26">
        <f ca="1">IFERROR(__xludf.DUMMYFUNCTION("ROUND(GOOGLEFINANCE(""Currency:EURKZT"")*L431+S431)"),5452470)</f>
        <v>5452470</v>
      </c>
      <c r="U431" s="26">
        <f ca="1">IFERROR(__xludf.DUMMYFUNCTION("D431*GOOGLEFINANCE(""RUBKZT"")*1000/F431"),6902876.26068147)</f>
        <v>6902876.2606814699</v>
      </c>
      <c r="V431" s="27">
        <f t="shared" ca="1" si="270"/>
        <v>0.26600903089452488</v>
      </c>
    </row>
    <row r="432" spans="1:22" ht="12.75" customHeight="1" x14ac:dyDescent="0.2">
      <c r="A432" s="6" t="s">
        <v>145</v>
      </c>
      <c r="B432" s="6" t="s">
        <v>15</v>
      </c>
      <c r="C432" s="7">
        <v>124540</v>
      </c>
      <c r="D432" s="8">
        <v>309753.59999999998</v>
      </c>
      <c r="E432" s="9" t="s">
        <v>16</v>
      </c>
      <c r="F432" s="23">
        <v>208</v>
      </c>
      <c r="G432" s="25"/>
      <c r="H432" s="14">
        <f t="shared" si="264"/>
        <v>0.55000000000000004</v>
      </c>
      <c r="I432" s="25">
        <f ca="1">IFERROR(__xludf.DUMMYFUNCTION("ROUND(D432*GOOGLEFINANCE(""RUBKZT"")*H432)"),1329443)</f>
        <v>1329443</v>
      </c>
      <c r="J432" s="26">
        <f ca="1">IFERROR(__xludf.DUMMYFUNCTION("ROUND(I432*GOOGLEFINANCE(""KZTEUR""))"),2784)</f>
        <v>2784</v>
      </c>
      <c r="K432" s="26">
        <f t="shared" ca="1" si="265"/>
        <v>13385</v>
      </c>
      <c r="L432" s="26">
        <f t="shared" ca="1" si="266"/>
        <v>2543.15</v>
      </c>
      <c r="M432" s="26">
        <f t="shared" ref="M432:N432" si="442">M$3</f>
        <v>500</v>
      </c>
      <c r="N432" s="26">
        <f t="shared" si="442"/>
        <v>500</v>
      </c>
      <c r="O432" s="26">
        <f ca="1">IFERROR(__xludf.DUMMYFUNCTION("ROUND(GOOGLEFINANCE(""Currency:EURKZT"")*K432)"),6392269)</f>
        <v>6392269</v>
      </c>
      <c r="P432" s="26">
        <f ca="1">IFERROR(__xludf.DUMMYFUNCTION("ROUND(GOOGLEFINANCE(""Currency:EURKZT"")*M432)"),238785)</f>
        <v>238785</v>
      </c>
      <c r="Q432" s="26">
        <f ca="1">IFERROR(__xludf.DUMMYFUNCTION("ROUND(GOOGLEFINANCE(""Currency:EURKZT"")*N432)"),238785)</f>
        <v>238785</v>
      </c>
      <c r="R432" s="26">
        <f t="shared" ca="1" si="268"/>
        <v>767072</v>
      </c>
      <c r="S432" s="26">
        <f t="shared" ca="1" si="269"/>
        <v>7636911</v>
      </c>
      <c r="T432" s="26">
        <f ca="1">IFERROR(__xludf.DUMMYFUNCTION("ROUND(GOOGLEFINANCE(""Currency:EURKZT"")*L432+S432)"),8851442)</f>
        <v>8851442</v>
      </c>
      <c r="U432" s="26">
        <f ca="1">IFERROR(__xludf.DUMMYFUNCTION("D432*GOOGLEFINANCE(""RUBKZT"")*1000/F432"),11621006.2311984)</f>
        <v>11621006.2311984</v>
      </c>
      <c r="V432" s="27">
        <f t="shared" ca="1" si="270"/>
        <v>0.31289412857231624</v>
      </c>
    </row>
    <row r="433" spans="1:22" ht="12.75" customHeight="1" x14ac:dyDescent="0.2">
      <c r="A433" s="6" t="s">
        <v>146</v>
      </c>
      <c r="B433" s="6" t="s">
        <v>15</v>
      </c>
      <c r="C433" s="7">
        <v>124542</v>
      </c>
      <c r="D433" s="8">
        <v>319934.39999999997</v>
      </c>
      <c r="E433" s="9" t="s">
        <v>16</v>
      </c>
      <c r="F433" s="23">
        <v>208</v>
      </c>
      <c r="G433" s="25"/>
      <c r="H433" s="14">
        <f t="shared" si="264"/>
        <v>0.55000000000000004</v>
      </c>
      <c r="I433" s="25">
        <f ca="1">IFERROR(__xludf.DUMMYFUNCTION("ROUND(D433*GOOGLEFINANCE(""RUBKZT"")*H433)"),1373138)</f>
        <v>1373138</v>
      </c>
      <c r="J433" s="26">
        <f ca="1">IFERROR(__xludf.DUMMYFUNCTION("ROUND(I433*GOOGLEFINANCE(""KZTEUR""))"),2876)</f>
        <v>2876</v>
      </c>
      <c r="K433" s="26">
        <f t="shared" ca="1" si="265"/>
        <v>13827</v>
      </c>
      <c r="L433" s="26">
        <f t="shared" ca="1" si="266"/>
        <v>2627.13</v>
      </c>
      <c r="M433" s="26">
        <f t="shared" ref="M433:N433" si="443">M$3</f>
        <v>500</v>
      </c>
      <c r="N433" s="26">
        <f t="shared" si="443"/>
        <v>500</v>
      </c>
      <c r="O433" s="26">
        <f ca="1">IFERROR(__xludf.DUMMYFUNCTION("ROUND(GOOGLEFINANCE(""Currency:EURKZT"")*K433)"),6603355)</f>
        <v>6603355</v>
      </c>
      <c r="P433" s="26">
        <f ca="1">IFERROR(__xludf.DUMMYFUNCTION("ROUND(GOOGLEFINANCE(""Currency:EURKZT"")*M433)"),238785)</f>
        <v>238785</v>
      </c>
      <c r="Q433" s="26">
        <f ca="1">IFERROR(__xludf.DUMMYFUNCTION("ROUND(GOOGLEFINANCE(""Currency:EURKZT"")*N433)"),238785)</f>
        <v>238785</v>
      </c>
      <c r="R433" s="26">
        <f t="shared" ca="1" si="268"/>
        <v>792403</v>
      </c>
      <c r="S433" s="26">
        <f t="shared" ca="1" si="269"/>
        <v>7873328</v>
      </c>
      <c r="T433" s="26">
        <f ca="1">IFERROR(__xludf.DUMMYFUNCTION("ROUND(GOOGLEFINANCE(""Currency:EURKZT"")*L433+S433)"),9127965)</f>
        <v>9127965</v>
      </c>
      <c r="U433" s="26">
        <f ca="1">IFERROR(__xludf.DUMMYFUNCTION("D433*GOOGLEFINANCE(""RUBKZT"")*1000/F433"),12002958.6612543)</f>
        <v>12002958.6612543</v>
      </c>
      <c r="V433" s="27">
        <f t="shared" ca="1" si="270"/>
        <v>0.31496545629330303</v>
      </c>
    </row>
    <row r="434" spans="1:22" ht="12.75" customHeight="1" x14ac:dyDescent="0.2">
      <c r="A434" s="6" t="s">
        <v>9</v>
      </c>
      <c r="B434" s="6" t="s">
        <v>15</v>
      </c>
      <c r="C434" s="7">
        <v>124786</v>
      </c>
      <c r="D434" s="8">
        <v>111223.2</v>
      </c>
      <c r="E434" s="9" t="s">
        <v>7</v>
      </c>
      <c r="F434" s="23">
        <v>208</v>
      </c>
      <c r="G434" s="25"/>
      <c r="H434" s="14">
        <f t="shared" si="264"/>
        <v>0.55000000000000004</v>
      </c>
      <c r="I434" s="25">
        <f ca="1">IFERROR(__xludf.DUMMYFUNCTION("ROUND(D434*GOOGLEFINANCE(""RUBKZT"")*H434)"),477363)</f>
        <v>477363</v>
      </c>
      <c r="J434" s="26">
        <f ca="1">IFERROR(__xludf.DUMMYFUNCTION("ROUND(I434*GOOGLEFINANCE(""KZTEUR""))"),1000)</f>
        <v>1000</v>
      </c>
      <c r="K434" s="26">
        <f t="shared" ca="1" si="265"/>
        <v>4808</v>
      </c>
      <c r="L434" s="26">
        <f t="shared" ca="1" si="266"/>
        <v>913.52</v>
      </c>
      <c r="M434" s="26">
        <f t="shared" ref="M434:N434" si="444">M$3</f>
        <v>500</v>
      </c>
      <c r="N434" s="26">
        <f t="shared" si="444"/>
        <v>500</v>
      </c>
      <c r="O434" s="26">
        <f ca="1">IFERROR(__xludf.DUMMYFUNCTION("ROUND(GOOGLEFINANCE(""Currency:EURKZT"")*K434)"),2296155)</f>
        <v>2296155</v>
      </c>
      <c r="P434" s="26">
        <f ca="1">IFERROR(__xludf.DUMMYFUNCTION("ROUND(GOOGLEFINANCE(""Currency:EURKZT"")*M434)"),238785)</f>
        <v>238785</v>
      </c>
      <c r="Q434" s="26">
        <f ca="1">IFERROR(__xludf.DUMMYFUNCTION("ROUND(GOOGLEFINANCE(""Currency:EURKZT"")*N434)"),238785)</f>
        <v>238785</v>
      </c>
      <c r="R434" s="26">
        <f t="shared" ca="1" si="268"/>
        <v>275539</v>
      </c>
      <c r="S434" s="26">
        <f t="shared" ca="1" si="269"/>
        <v>3049264</v>
      </c>
      <c r="T434" s="26">
        <f ca="1">IFERROR(__xludf.DUMMYFUNCTION("ROUND(GOOGLEFINANCE(""Currency:EURKZT"")*L434+S434)"),3485533)</f>
        <v>3485533</v>
      </c>
      <c r="U434" s="26">
        <f ca="1">IFERROR(__xludf.DUMMYFUNCTION("D434*GOOGLEFINANCE(""RUBKZT"")*1000/F434"),4172753.76381041)</f>
        <v>4172753.7638104102</v>
      </c>
      <c r="V434" s="27">
        <f t="shared" ca="1" si="270"/>
        <v>0.19716375194565944</v>
      </c>
    </row>
    <row r="435" spans="1:22" ht="12.75" customHeight="1" x14ac:dyDescent="0.2">
      <c r="A435" s="6" t="s">
        <v>147</v>
      </c>
      <c r="B435" s="6" t="s">
        <v>15</v>
      </c>
      <c r="C435" s="7">
        <v>126428</v>
      </c>
      <c r="D435" s="8">
        <v>116524.8</v>
      </c>
      <c r="E435" s="9" t="s">
        <v>16</v>
      </c>
      <c r="F435" s="23">
        <v>208</v>
      </c>
      <c r="G435" s="25"/>
      <c r="H435" s="14">
        <f t="shared" si="264"/>
        <v>0.55000000000000004</v>
      </c>
      <c r="I435" s="25">
        <f ca="1">IFERROR(__xludf.DUMMYFUNCTION("ROUND(D435*GOOGLEFINANCE(""RUBKZT"")*H435)"),500117)</f>
        <v>500117</v>
      </c>
      <c r="J435" s="26">
        <f ca="1">IFERROR(__xludf.DUMMYFUNCTION("ROUND(I435*GOOGLEFINANCE(""KZTEUR""))"),1047)</f>
        <v>1047</v>
      </c>
      <c r="K435" s="26">
        <f t="shared" ca="1" si="265"/>
        <v>5034</v>
      </c>
      <c r="L435" s="26">
        <f t="shared" ca="1" si="266"/>
        <v>956.46</v>
      </c>
      <c r="M435" s="26">
        <f t="shared" ref="M435:N435" si="445">M$3</f>
        <v>500</v>
      </c>
      <c r="N435" s="26">
        <f t="shared" si="445"/>
        <v>500</v>
      </c>
      <c r="O435" s="26">
        <f ca="1">IFERROR(__xludf.DUMMYFUNCTION("ROUND(GOOGLEFINANCE(""Currency:EURKZT"")*K435)"),2404085)</f>
        <v>2404085</v>
      </c>
      <c r="P435" s="26">
        <f ca="1">IFERROR(__xludf.DUMMYFUNCTION("ROUND(GOOGLEFINANCE(""Currency:EURKZT"")*M435)"),238785)</f>
        <v>238785</v>
      </c>
      <c r="Q435" s="26">
        <f ca="1">IFERROR(__xludf.DUMMYFUNCTION("ROUND(GOOGLEFINANCE(""Currency:EURKZT"")*N435)"),238785)</f>
        <v>238785</v>
      </c>
      <c r="R435" s="26">
        <f t="shared" ca="1" si="268"/>
        <v>288490</v>
      </c>
      <c r="S435" s="26">
        <f t="shared" ca="1" si="269"/>
        <v>3170145</v>
      </c>
      <c r="T435" s="26">
        <f ca="1">IFERROR(__xludf.DUMMYFUNCTION("ROUND(GOOGLEFINANCE(""Currency:EURKZT"")*L435+S435)"),3626921)</f>
        <v>3626921</v>
      </c>
      <c r="U435" s="26">
        <f ca="1">IFERROR(__xludf.DUMMYFUNCTION("D435*GOOGLEFINANCE(""RUBKZT"")*1000/F435"),4371653.55588812)</f>
        <v>4371653.5558881201</v>
      </c>
      <c r="V435" s="27">
        <f t="shared" ca="1" si="270"/>
        <v>0.20533465048952543</v>
      </c>
    </row>
    <row r="436" spans="1:22" ht="12.75" customHeight="1" x14ac:dyDescent="0.2">
      <c r="A436" s="6" t="s">
        <v>124</v>
      </c>
      <c r="B436" s="6" t="s">
        <v>15</v>
      </c>
      <c r="C436" s="7">
        <v>126851</v>
      </c>
      <c r="D436" s="8">
        <v>230236.79999999999</v>
      </c>
      <c r="E436" s="9" t="s">
        <v>16</v>
      </c>
      <c r="F436" s="23">
        <v>208</v>
      </c>
      <c r="G436" s="25"/>
      <c r="H436" s="14">
        <f t="shared" si="264"/>
        <v>0.55000000000000004</v>
      </c>
      <c r="I436" s="25">
        <f ca="1">IFERROR(__xludf.DUMMYFUNCTION("ROUND(D436*GOOGLEFINANCE(""RUBKZT"")*H436)"),988162)</f>
        <v>988162</v>
      </c>
      <c r="J436" s="26">
        <f ca="1">IFERROR(__xludf.DUMMYFUNCTION("ROUND(I436*GOOGLEFINANCE(""KZTEUR""))"),2070)</f>
        <v>2070</v>
      </c>
      <c r="K436" s="26">
        <f t="shared" ca="1" si="265"/>
        <v>9952</v>
      </c>
      <c r="L436" s="26">
        <f t="shared" ca="1" si="266"/>
        <v>1890.88</v>
      </c>
      <c r="M436" s="26">
        <f t="shared" ref="M436:N436" si="446">M$3</f>
        <v>500</v>
      </c>
      <c r="N436" s="26">
        <f t="shared" si="446"/>
        <v>500</v>
      </c>
      <c r="O436" s="26">
        <f ca="1">IFERROR(__xludf.DUMMYFUNCTION("ROUND(GOOGLEFINANCE(""Currency:EURKZT"")*K436)"),4752773)</f>
        <v>4752773</v>
      </c>
      <c r="P436" s="26">
        <f ca="1">IFERROR(__xludf.DUMMYFUNCTION("ROUND(GOOGLEFINANCE(""Currency:EURKZT"")*M436)"),238785)</f>
        <v>238785</v>
      </c>
      <c r="Q436" s="26">
        <f ca="1">IFERROR(__xludf.DUMMYFUNCTION("ROUND(GOOGLEFINANCE(""Currency:EURKZT"")*N436)"),238785)</f>
        <v>238785</v>
      </c>
      <c r="R436" s="26">
        <f t="shared" ca="1" si="268"/>
        <v>570333</v>
      </c>
      <c r="S436" s="26">
        <f t="shared" ca="1" si="269"/>
        <v>5800676</v>
      </c>
      <c r="T436" s="26">
        <f ca="1">IFERROR(__xludf.DUMMYFUNCTION("ROUND(GOOGLEFINANCE(""Currency:EURKZT"")*L436+S436)"),6703703)</f>
        <v>6703703</v>
      </c>
      <c r="U436" s="26">
        <f ca="1">IFERROR(__xludf.DUMMYFUNCTION("D436*GOOGLEFINANCE(""RUBKZT"")*1000/F436"),8637779.47197766)</f>
        <v>8637779.4719776604</v>
      </c>
      <c r="V436" s="27">
        <f t="shared" ca="1" si="270"/>
        <v>0.28850867527658375</v>
      </c>
    </row>
    <row r="437" spans="1:22" ht="12.75" customHeight="1" x14ac:dyDescent="0.2">
      <c r="A437" s="6" t="s">
        <v>148</v>
      </c>
      <c r="B437" s="6" t="s">
        <v>15</v>
      </c>
      <c r="C437" s="7">
        <v>127480</v>
      </c>
      <c r="D437" s="8">
        <v>102826.8</v>
      </c>
      <c r="E437" s="9" t="s">
        <v>16</v>
      </c>
      <c r="F437" s="23">
        <v>208</v>
      </c>
      <c r="G437" s="25"/>
      <c r="H437" s="14">
        <f t="shared" si="264"/>
        <v>0.55000000000000004</v>
      </c>
      <c r="I437" s="25">
        <f ca="1">IFERROR(__xludf.DUMMYFUNCTION("ROUND(D437*GOOGLEFINANCE(""RUBKZT"")*H437)"),441326)</f>
        <v>441326</v>
      </c>
      <c r="J437" s="26">
        <f ca="1">IFERROR(__xludf.DUMMYFUNCTION("ROUND(I437*GOOGLEFINANCE(""KZTEUR""))"),924)</f>
        <v>924</v>
      </c>
      <c r="K437" s="26">
        <f t="shared" ca="1" si="265"/>
        <v>4442</v>
      </c>
      <c r="L437" s="26">
        <f t="shared" ca="1" si="266"/>
        <v>843.98</v>
      </c>
      <c r="M437" s="26">
        <f t="shared" ref="M437:N437" si="447">M$3</f>
        <v>500</v>
      </c>
      <c r="N437" s="26">
        <f t="shared" si="447"/>
        <v>500</v>
      </c>
      <c r="O437" s="26">
        <f ca="1">IFERROR(__xludf.DUMMYFUNCTION("ROUND(GOOGLEFINANCE(""Currency:EURKZT"")*K437)"),2121364)</f>
        <v>2121364</v>
      </c>
      <c r="P437" s="26">
        <f ca="1">IFERROR(__xludf.DUMMYFUNCTION("ROUND(GOOGLEFINANCE(""Currency:EURKZT"")*M437)"),238785)</f>
        <v>238785</v>
      </c>
      <c r="Q437" s="26">
        <f ca="1">IFERROR(__xludf.DUMMYFUNCTION("ROUND(GOOGLEFINANCE(""Currency:EURKZT"")*N437)"),238785)</f>
        <v>238785</v>
      </c>
      <c r="R437" s="26">
        <f t="shared" ca="1" si="268"/>
        <v>254564</v>
      </c>
      <c r="S437" s="26">
        <f t="shared" ca="1" si="269"/>
        <v>2853498</v>
      </c>
      <c r="T437" s="26">
        <f ca="1">IFERROR(__xludf.DUMMYFUNCTION("ROUND(GOOGLEFINANCE(""Currency:EURKZT"")*L437+S437)"),3256557)</f>
        <v>3256557</v>
      </c>
      <c r="U437" s="26">
        <f ca="1">IFERROR(__xludf.DUMMYFUNCTION("D437*GOOGLEFINANCE(""RUBKZT"")*1000/F437"),3857746.55575977)</f>
        <v>3857746.5557597699</v>
      </c>
      <c r="V437" s="27">
        <f t="shared" ca="1" si="270"/>
        <v>0.18460894612308948</v>
      </c>
    </row>
    <row r="438" spans="1:22" ht="12.75" customHeight="1" x14ac:dyDescent="0.2">
      <c r="A438" s="6" t="s">
        <v>153</v>
      </c>
      <c r="B438" s="6" t="s">
        <v>15</v>
      </c>
      <c r="C438" s="7">
        <v>128321</v>
      </c>
      <c r="D438" s="8">
        <v>80930.399999999994</v>
      </c>
      <c r="E438" s="9" t="s">
        <v>16</v>
      </c>
      <c r="F438" s="23">
        <v>208</v>
      </c>
      <c r="G438" s="25"/>
      <c r="H438" s="14">
        <f t="shared" si="264"/>
        <v>0.55000000000000004</v>
      </c>
      <c r="I438" s="25">
        <f ca="1">IFERROR(__xludf.DUMMYFUNCTION("ROUND(D438*GOOGLEFINANCE(""RUBKZT"")*H438)"),347348)</f>
        <v>347348</v>
      </c>
      <c r="J438" s="26">
        <f ca="1">IFERROR(__xludf.DUMMYFUNCTION("ROUND(I438*GOOGLEFINANCE(""KZTEUR""))"),727)</f>
        <v>727</v>
      </c>
      <c r="K438" s="26">
        <f t="shared" ca="1" si="265"/>
        <v>3495</v>
      </c>
      <c r="L438" s="26">
        <f t="shared" ca="1" si="266"/>
        <v>664.05</v>
      </c>
      <c r="M438" s="26">
        <f t="shared" ref="M438:N438" si="448">M$3</f>
        <v>500</v>
      </c>
      <c r="N438" s="26">
        <f t="shared" si="448"/>
        <v>500</v>
      </c>
      <c r="O438" s="26">
        <f ca="1">IFERROR(__xludf.DUMMYFUNCTION("ROUND(GOOGLEFINANCE(""Currency:EURKZT"")*K438)"),1669106)</f>
        <v>1669106</v>
      </c>
      <c r="P438" s="26">
        <f ca="1">IFERROR(__xludf.DUMMYFUNCTION("ROUND(GOOGLEFINANCE(""Currency:EURKZT"")*M438)"),238785)</f>
        <v>238785</v>
      </c>
      <c r="Q438" s="26">
        <f ca="1">IFERROR(__xludf.DUMMYFUNCTION("ROUND(GOOGLEFINANCE(""Currency:EURKZT"")*N438)"),238785)</f>
        <v>238785</v>
      </c>
      <c r="R438" s="26">
        <f t="shared" ca="1" si="268"/>
        <v>200293</v>
      </c>
      <c r="S438" s="26">
        <f t="shared" ca="1" si="269"/>
        <v>2346969</v>
      </c>
      <c r="T438" s="26">
        <f ca="1">IFERROR(__xludf.DUMMYFUNCTION("ROUND(GOOGLEFINANCE(""Currency:EURKZT"")*L438+S438)"),2664099)</f>
        <v>2664099</v>
      </c>
      <c r="U438" s="26">
        <f ca="1">IFERROR(__xludf.DUMMYFUNCTION("D438*GOOGLEFINANCE(""RUBKZT"")*1000/F438"),3036260.7010649)</f>
        <v>3036260.7010649</v>
      </c>
      <c r="V438" s="27">
        <f t="shared" ca="1" si="270"/>
        <v>0.13969514686387408</v>
      </c>
    </row>
    <row r="439" spans="1:22" ht="12.75" customHeight="1" x14ac:dyDescent="0.2">
      <c r="A439" s="6" t="s">
        <v>155</v>
      </c>
      <c r="B439" s="6" t="s">
        <v>15</v>
      </c>
      <c r="C439" s="7">
        <v>133623</v>
      </c>
      <c r="D439" s="8">
        <v>85782</v>
      </c>
      <c r="E439" s="9" t="s">
        <v>16</v>
      </c>
      <c r="F439" s="23">
        <v>208</v>
      </c>
      <c r="G439" s="25"/>
      <c r="H439" s="14">
        <f t="shared" si="264"/>
        <v>0.55000000000000004</v>
      </c>
      <c r="I439" s="25">
        <f ca="1">IFERROR(__xludf.DUMMYFUNCTION("ROUND(D439*GOOGLEFINANCE(""RUBKZT"")*H439)"),368171)</f>
        <v>368171</v>
      </c>
      <c r="J439" s="26">
        <f ca="1">IFERROR(__xludf.DUMMYFUNCTION("ROUND(I439*GOOGLEFINANCE(""KZTEUR""))"),771)</f>
        <v>771</v>
      </c>
      <c r="K439" s="26">
        <f t="shared" ca="1" si="265"/>
        <v>3707</v>
      </c>
      <c r="L439" s="26">
        <f t="shared" ca="1" si="266"/>
        <v>704.33</v>
      </c>
      <c r="M439" s="26">
        <f t="shared" ref="M439:N439" si="449">M$3</f>
        <v>500</v>
      </c>
      <c r="N439" s="26">
        <f t="shared" si="449"/>
        <v>500</v>
      </c>
      <c r="O439" s="26">
        <f ca="1">IFERROR(__xludf.DUMMYFUNCTION("ROUND(GOOGLEFINANCE(""Currency:EURKZT"")*K439)"),1770351)</f>
        <v>1770351</v>
      </c>
      <c r="P439" s="26">
        <f ca="1">IFERROR(__xludf.DUMMYFUNCTION("ROUND(GOOGLEFINANCE(""Currency:EURKZT"")*M439)"),238785)</f>
        <v>238785</v>
      </c>
      <c r="Q439" s="26">
        <f ca="1">IFERROR(__xludf.DUMMYFUNCTION("ROUND(GOOGLEFINANCE(""Currency:EURKZT"")*N439)"),238785)</f>
        <v>238785</v>
      </c>
      <c r="R439" s="26">
        <f t="shared" ca="1" si="268"/>
        <v>212442</v>
      </c>
      <c r="S439" s="26">
        <f t="shared" ca="1" si="269"/>
        <v>2460363</v>
      </c>
      <c r="T439" s="26">
        <f ca="1">IFERROR(__xludf.DUMMYFUNCTION("ROUND(GOOGLEFINANCE(""Currency:EURKZT"")*L439+S439)"),2796730)</f>
        <v>2796730</v>
      </c>
      <c r="U439" s="26">
        <f ca="1">IFERROR(__xludf.DUMMYFUNCTION("D439*GOOGLEFINANCE(""RUBKZT"")*1000/F439"),3218277.8715878)</f>
        <v>3218277.8715877999</v>
      </c>
      <c r="V439" s="27">
        <f t="shared" ca="1" si="270"/>
        <v>0.1507288410349944</v>
      </c>
    </row>
    <row r="440" spans="1:22" ht="12.75" customHeight="1" x14ac:dyDescent="0.2">
      <c r="A440" s="6" t="s">
        <v>160</v>
      </c>
      <c r="B440" s="6" t="s">
        <v>15</v>
      </c>
      <c r="C440" s="7">
        <v>134130</v>
      </c>
      <c r="D440" s="8">
        <v>98462.399999999994</v>
      </c>
      <c r="E440" s="9" t="s">
        <v>16</v>
      </c>
      <c r="F440" s="23">
        <v>208</v>
      </c>
      <c r="G440" s="25"/>
      <c r="H440" s="14">
        <f t="shared" si="264"/>
        <v>0.55000000000000004</v>
      </c>
      <c r="I440" s="25">
        <f ca="1">IFERROR(__xludf.DUMMYFUNCTION("ROUND(D440*GOOGLEFINANCE(""RUBKZT"")*H440)"),422594)</f>
        <v>422594</v>
      </c>
      <c r="J440" s="26">
        <f ca="1">IFERROR(__xludf.DUMMYFUNCTION("ROUND(I440*GOOGLEFINANCE(""KZTEUR""))"),885)</f>
        <v>885</v>
      </c>
      <c r="K440" s="26">
        <f t="shared" ca="1" si="265"/>
        <v>4255</v>
      </c>
      <c r="L440" s="26">
        <f t="shared" ca="1" si="266"/>
        <v>808.45</v>
      </c>
      <c r="M440" s="26">
        <f t="shared" ref="M440:N440" si="450">M$3</f>
        <v>500</v>
      </c>
      <c r="N440" s="26">
        <f t="shared" si="450"/>
        <v>500</v>
      </c>
      <c r="O440" s="26">
        <f ca="1">IFERROR(__xludf.DUMMYFUNCTION("ROUND(GOOGLEFINANCE(""Currency:EURKZT"")*K440)"),2032059)</f>
        <v>2032059</v>
      </c>
      <c r="P440" s="26">
        <f ca="1">IFERROR(__xludf.DUMMYFUNCTION("ROUND(GOOGLEFINANCE(""Currency:EURKZT"")*M440)"),238785)</f>
        <v>238785</v>
      </c>
      <c r="Q440" s="26">
        <f ca="1">IFERROR(__xludf.DUMMYFUNCTION("ROUND(GOOGLEFINANCE(""Currency:EURKZT"")*N440)"),238785)</f>
        <v>238785</v>
      </c>
      <c r="R440" s="26">
        <f t="shared" ca="1" si="268"/>
        <v>243847</v>
      </c>
      <c r="S440" s="26">
        <f t="shared" ca="1" si="269"/>
        <v>2753476</v>
      </c>
      <c r="T440" s="26">
        <f ca="1">IFERROR(__xludf.DUMMYFUNCTION("ROUND(GOOGLEFINANCE(""Currency:EURKZT"")*L440+S440)"),3139567)</f>
        <v>3139567</v>
      </c>
      <c r="U440" s="26">
        <f ca="1">IFERROR(__xludf.DUMMYFUNCTION("D440*GOOGLEFINANCE(""RUBKZT"")*1000/F440"),3694007.63684021)</f>
        <v>3694007.6368402098</v>
      </c>
      <c r="V440" s="27">
        <f t="shared" ca="1" si="270"/>
        <v>0.17659780372268208</v>
      </c>
    </row>
    <row r="441" spans="1:22" ht="12.75" customHeight="1" x14ac:dyDescent="0.2">
      <c r="A441" s="6" t="s">
        <v>177</v>
      </c>
      <c r="B441" s="6" t="s">
        <v>15</v>
      </c>
      <c r="C441" s="7">
        <v>140215</v>
      </c>
      <c r="D441" s="8">
        <v>89706</v>
      </c>
      <c r="E441" s="9" t="s">
        <v>16</v>
      </c>
      <c r="F441" s="23">
        <v>208</v>
      </c>
      <c r="G441" s="25"/>
      <c r="H441" s="14">
        <f t="shared" si="264"/>
        <v>0.55000000000000004</v>
      </c>
      <c r="I441" s="25">
        <f ca="1">IFERROR(__xludf.DUMMYFUNCTION("ROUND(D441*GOOGLEFINANCE(""RUBKZT"")*H441)"),385013)</f>
        <v>385013</v>
      </c>
      <c r="J441" s="26">
        <f ca="1">IFERROR(__xludf.DUMMYFUNCTION("ROUND(I441*GOOGLEFINANCE(""KZTEUR""))"),806)</f>
        <v>806</v>
      </c>
      <c r="K441" s="26">
        <f t="shared" ca="1" si="265"/>
        <v>3875</v>
      </c>
      <c r="L441" s="26">
        <f t="shared" ca="1" si="266"/>
        <v>736.25</v>
      </c>
      <c r="M441" s="26">
        <f t="shared" ref="M441:N441" si="451">M$3</f>
        <v>500</v>
      </c>
      <c r="N441" s="26">
        <f t="shared" si="451"/>
        <v>500</v>
      </c>
      <c r="O441" s="26">
        <f ca="1">IFERROR(__xludf.DUMMYFUNCTION("ROUND(GOOGLEFINANCE(""Currency:EURKZT"")*K441)"),1850582)</f>
        <v>1850582</v>
      </c>
      <c r="P441" s="26">
        <f ca="1">IFERROR(__xludf.DUMMYFUNCTION("ROUND(GOOGLEFINANCE(""Currency:EURKZT"")*M441)"),238785)</f>
        <v>238785</v>
      </c>
      <c r="Q441" s="26">
        <f ca="1">IFERROR(__xludf.DUMMYFUNCTION("ROUND(GOOGLEFINANCE(""Currency:EURKZT"")*N441)"),238785)</f>
        <v>238785</v>
      </c>
      <c r="R441" s="26">
        <f t="shared" ca="1" si="268"/>
        <v>222070</v>
      </c>
      <c r="S441" s="26">
        <f t="shared" ca="1" si="269"/>
        <v>2550222</v>
      </c>
      <c r="T441" s="26">
        <f ca="1">IFERROR(__xludf.DUMMYFUNCTION("ROUND(GOOGLEFINANCE(""Currency:EURKZT"")*L441+S441)"),2901833)</f>
        <v>2901833</v>
      </c>
      <c r="U441" s="26">
        <f ca="1">IFERROR(__xludf.DUMMYFUNCTION("D441*GOOGLEFINANCE(""RUBKZT"")*1000/F441"),3365494.33154573)</f>
        <v>3365494.3315457301</v>
      </c>
      <c r="V441" s="27">
        <f t="shared" ca="1" si="270"/>
        <v>0.15978222438911202</v>
      </c>
    </row>
    <row r="442" spans="1:22" ht="12.75" customHeight="1" x14ac:dyDescent="0.2">
      <c r="A442" s="6" t="s">
        <v>179</v>
      </c>
      <c r="B442" s="6" t="s">
        <v>15</v>
      </c>
      <c r="C442" s="7">
        <v>146193</v>
      </c>
      <c r="D442" s="8">
        <v>120126</v>
      </c>
      <c r="E442" s="9" t="s">
        <v>16</v>
      </c>
      <c r="F442" s="23">
        <v>208</v>
      </c>
      <c r="G442" s="25"/>
      <c r="H442" s="14">
        <f t="shared" si="264"/>
        <v>0.55000000000000004</v>
      </c>
      <c r="I442" s="25">
        <f ca="1">IFERROR(__xludf.DUMMYFUNCTION("ROUND(D442*GOOGLEFINANCE(""RUBKZT"")*H442)"),515573)</f>
        <v>515573</v>
      </c>
      <c r="J442" s="26">
        <f ca="1">IFERROR(__xludf.DUMMYFUNCTION("ROUND(I442*GOOGLEFINANCE(""KZTEUR""))"),1080)</f>
        <v>1080</v>
      </c>
      <c r="K442" s="26">
        <f t="shared" ca="1" si="265"/>
        <v>5192</v>
      </c>
      <c r="L442" s="26">
        <f t="shared" ca="1" si="266"/>
        <v>986.48</v>
      </c>
      <c r="M442" s="26">
        <f t="shared" ref="M442:N442" si="452">M$3</f>
        <v>500</v>
      </c>
      <c r="N442" s="26">
        <f t="shared" si="452"/>
        <v>500</v>
      </c>
      <c r="O442" s="26">
        <f ca="1">IFERROR(__xludf.DUMMYFUNCTION("ROUND(GOOGLEFINANCE(""Currency:EURKZT"")*K442)"),2479541)</f>
        <v>2479541</v>
      </c>
      <c r="P442" s="26">
        <f ca="1">IFERROR(__xludf.DUMMYFUNCTION("ROUND(GOOGLEFINANCE(""Currency:EURKZT"")*M442)"),238785)</f>
        <v>238785</v>
      </c>
      <c r="Q442" s="26">
        <f ca="1">IFERROR(__xludf.DUMMYFUNCTION("ROUND(GOOGLEFINANCE(""Currency:EURKZT"")*N442)"),238785)</f>
        <v>238785</v>
      </c>
      <c r="R442" s="26">
        <f t="shared" ca="1" si="268"/>
        <v>297545</v>
      </c>
      <c r="S442" s="26">
        <f t="shared" ca="1" si="269"/>
        <v>3254656</v>
      </c>
      <c r="T442" s="26">
        <f ca="1">IFERROR(__xludf.DUMMYFUNCTION("ROUND(GOOGLEFINANCE(""Currency:EURKZT"")*L442+S442)"),3725769)</f>
        <v>3725769</v>
      </c>
      <c r="U442" s="26">
        <f ca="1">IFERROR(__xludf.DUMMYFUNCTION("D442*GOOGLEFINANCE(""RUBKZT"")*1000/F442"),4506759.54865073)</f>
        <v>4506759.5486507304</v>
      </c>
      <c r="V442" s="27">
        <f t="shared" ca="1" si="270"/>
        <v>0.20961861796872819</v>
      </c>
    </row>
    <row r="443" spans="1:22" ht="12.75" customHeight="1" x14ac:dyDescent="0.2">
      <c r="A443" s="6" t="s">
        <v>181</v>
      </c>
      <c r="B443" s="6" t="s">
        <v>15</v>
      </c>
      <c r="C443" s="7">
        <v>147627</v>
      </c>
      <c r="D443" s="8">
        <v>87560.4</v>
      </c>
      <c r="E443" s="9" t="s">
        <v>16</v>
      </c>
      <c r="F443" s="23">
        <v>208</v>
      </c>
      <c r="G443" s="25"/>
      <c r="H443" s="14">
        <f t="shared" si="264"/>
        <v>0.55000000000000004</v>
      </c>
      <c r="I443" s="25">
        <f ca="1">IFERROR(__xludf.DUMMYFUNCTION("ROUND(D443*GOOGLEFINANCE(""RUBKZT"")*H443)"),375804)</f>
        <v>375804</v>
      </c>
      <c r="J443" s="26">
        <f ca="1">IFERROR(__xludf.DUMMYFUNCTION("ROUND(I443*GOOGLEFINANCE(""KZTEUR""))"),787)</f>
        <v>787</v>
      </c>
      <c r="K443" s="26">
        <f t="shared" ca="1" si="265"/>
        <v>3784</v>
      </c>
      <c r="L443" s="26">
        <f t="shared" ca="1" si="266"/>
        <v>718.96</v>
      </c>
      <c r="M443" s="26">
        <f t="shared" ref="M443:N443" si="453">M$3</f>
        <v>500</v>
      </c>
      <c r="N443" s="26">
        <f t="shared" si="453"/>
        <v>500</v>
      </c>
      <c r="O443" s="26">
        <f ca="1">IFERROR(__xludf.DUMMYFUNCTION("ROUND(GOOGLEFINANCE(""Currency:EURKZT"")*K443)"),1807123)</f>
        <v>1807123</v>
      </c>
      <c r="P443" s="26">
        <f ca="1">IFERROR(__xludf.DUMMYFUNCTION("ROUND(GOOGLEFINANCE(""Currency:EURKZT"")*M443)"),238785)</f>
        <v>238785</v>
      </c>
      <c r="Q443" s="26">
        <f ca="1">IFERROR(__xludf.DUMMYFUNCTION("ROUND(GOOGLEFINANCE(""Currency:EURKZT"")*N443)"),238785)</f>
        <v>238785</v>
      </c>
      <c r="R443" s="26">
        <f t="shared" ca="1" si="268"/>
        <v>216855</v>
      </c>
      <c r="S443" s="26">
        <f t="shared" ca="1" si="269"/>
        <v>2501548</v>
      </c>
      <c r="T443" s="26">
        <f ca="1">IFERROR(__xludf.DUMMYFUNCTION("ROUND(GOOGLEFINANCE(""Currency:EURKZT"")*L443+S443)"),2844901)</f>
        <v>2844901</v>
      </c>
      <c r="U443" s="26">
        <f ca="1">IFERROR(__xludf.DUMMYFUNCTION("D443*GOOGLEFINANCE(""RUBKZT"")*1000/F443"),3284997.9919724)</f>
        <v>3284997.9919723999</v>
      </c>
      <c r="V443" s="27">
        <f t="shared" ca="1" si="270"/>
        <v>0.15469676870035193</v>
      </c>
    </row>
    <row r="444" spans="1:22" ht="12.75" customHeight="1" x14ac:dyDescent="0.2">
      <c r="A444" s="6" t="s">
        <v>187</v>
      </c>
      <c r="B444" s="6" t="s">
        <v>15</v>
      </c>
      <c r="C444" s="7">
        <v>148005</v>
      </c>
      <c r="D444" s="8">
        <v>103201.2</v>
      </c>
      <c r="E444" s="9" t="s">
        <v>16</v>
      </c>
      <c r="F444" s="23">
        <v>208</v>
      </c>
      <c r="G444" s="25"/>
      <c r="H444" s="14">
        <f t="shared" si="264"/>
        <v>0.55000000000000004</v>
      </c>
      <c r="I444" s="25">
        <f ca="1">IFERROR(__xludf.DUMMYFUNCTION("ROUND(D444*GOOGLEFINANCE(""RUBKZT"")*H444)"),442933)</f>
        <v>442933</v>
      </c>
      <c r="J444" s="26">
        <f ca="1">IFERROR(__xludf.DUMMYFUNCTION("ROUND(I444*GOOGLEFINANCE(""KZTEUR""))"),928)</f>
        <v>928</v>
      </c>
      <c r="K444" s="26">
        <f t="shared" ca="1" si="265"/>
        <v>4462</v>
      </c>
      <c r="L444" s="26">
        <f t="shared" ca="1" si="266"/>
        <v>847.78</v>
      </c>
      <c r="M444" s="26">
        <f t="shared" ref="M444:N444" si="454">M$3</f>
        <v>500</v>
      </c>
      <c r="N444" s="26">
        <f t="shared" si="454"/>
        <v>500</v>
      </c>
      <c r="O444" s="26">
        <f ca="1">IFERROR(__xludf.DUMMYFUNCTION("ROUND(GOOGLEFINANCE(""Currency:EURKZT"")*K444)"),2130916)</f>
        <v>2130916</v>
      </c>
      <c r="P444" s="26">
        <f ca="1">IFERROR(__xludf.DUMMYFUNCTION("ROUND(GOOGLEFINANCE(""Currency:EURKZT"")*M444)"),238785)</f>
        <v>238785</v>
      </c>
      <c r="Q444" s="26">
        <f ca="1">IFERROR(__xludf.DUMMYFUNCTION("ROUND(GOOGLEFINANCE(""Currency:EURKZT"")*N444)"),238785)</f>
        <v>238785</v>
      </c>
      <c r="R444" s="26">
        <f t="shared" ca="1" si="268"/>
        <v>255710</v>
      </c>
      <c r="S444" s="26">
        <f t="shared" ca="1" si="269"/>
        <v>2864196</v>
      </c>
      <c r="T444" s="26">
        <f ca="1">IFERROR(__xludf.DUMMYFUNCTION("ROUND(GOOGLEFINANCE(""Currency:EURKZT"")*L444+S444)"),3269070)</f>
        <v>3269070</v>
      </c>
      <c r="U444" s="26">
        <f ca="1">IFERROR(__xludf.DUMMYFUNCTION("D444*GOOGLEFINANCE(""RUBKZT"")*1000/F444"),3871792.89689337)</f>
        <v>3871792.89689337</v>
      </c>
      <c r="V444" s="27">
        <f t="shared" ca="1" si="270"/>
        <v>0.18437136460625497</v>
      </c>
    </row>
    <row r="445" spans="1:22" ht="12.75" customHeight="1" x14ac:dyDescent="0.2">
      <c r="A445" s="6" t="s">
        <v>188</v>
      </c>
      <c r="B445" s="6" t="s">
        <v>15</v>
      </c>
      <c r="C445" s="7">
        <v>148014</v>
      </c>
      <c r="D445" s="8">
        <v>81262.8</v>
      </c>
      <c r="E445" s="9" t="s">
        <v>16</v>
      </c>
      <c r="F445" s="23">
        <v>208</v>
      </c>
      <c r="G445" s="25"/>
      <c r="H445" s="14">
        <f t="shared" si="264"/>
        <v>0.55000000000000004</v>
      </c>
      <c r="I445" s="25">
        <f ca="1">IFERROR(__xludf.DUMMYFUNCTION("ROUND(D445*GOOGLEFINANCE(""RUBKZT"")*H445)"),348775)</f>
        <v>348775</v>
      </c>
      <c r="J445" s="26">
        <f ca="1">IFERROR(__xludf.DUMMYFUNCTION("ROUND(I445*GOOGLEFINANCE(""KZTEUR""))"),730)</f>
        <v>730</v>
      </c>
      <c r="K445" s="26">
        <f t="shared" ca="1" si="265"/>
        <v>3510</v>
      </c>
      <c r="L445" s="26">
        <f t="shared" ca="1" si="266"/>
        <v>666.9</v>
      </c>
      <c r="M445" s="26">
        <f t="shared" ref="M445:N445" si="455">M$3</f>
        <v>500</v>
      </c>
      <c r="N445" s="26">
        <f t="shared" si="455"/>
        <v>500</v>
      </c>
      <c r="O445" s="26">
        <f ca="1">IFERROR(__xludf.DUMMYFUNCTION("ROUND(GOOGLEFINANCE(""Currency:EURKZT"")*K445)"),1676269)</f>
        <v>1676269</v>
      </c>
      <c r="P445" s="26">
        <f ca="1">IFERROR(__xludf.DUMMYFUNCTION("ROUND(GOOGLEFINANCE(""Currency:EURKZT"")*M445)"),238785)</f>
        <v>238785</v>
      </c>
      <c r="Q445" s="26">
        <f ca="1">IFERROR(__xludf.DUMMYFUNCTION("ROUND(GOOGLEFINANCE(""Currency:EURKZT"")*N445)"),238785)</f>
        <v>238785</v>
      </c>
      <c r="R445" s="26">
        <f t="shared" ca="1" si="268"/>
        <v>201152</v>
      </c>
      <c r="S445" s="26">
        <f t="shared" ca="1" si="269"/>
        <v>2354991</v>
      </c>
      <c r="T445" s="26">
        <f ca="1">IFERROR(__xludf.DUMMYFUNCTION("ROUND(GOOGLEFINANCE(""Currency:EURKZT"")*L445+S445)"),2673482)</f>
        <v>2673482</v>
      </c>
      <c r="U445" s="26">
        <f ca="1">IFERROR(__xludf.DUMMYFUNCTION("D445*GOOGLEFINANCE(""RUBKZT"")*1000/F445"),3048731.33085339)</f>
        <v>3048731.33085339</v>
      </c>
      <c r="V445" s="27">
        <f t="shared" ca="1" si="270"/>
        <v>0.14035977457614829</v>
      </c>
    </row>
    <row r="446" spans="1:22" ht="12.75" customHeight="1" x14ac:dyDescent="0.2">
      <c r="A446" s="6" t="s">
        <v>189</v>
      </c>
      <c r="B446" s="6" t="s">
        <v>15</v>
      </c>
      <c r="C446" s="7">
        <v>148017</v>
      </c>
      <c r="D446" s="8">
        <v>101928</v>
      </c>
      <c r="E446" s="9" t="s">
        <v>16</v>
      </c>
      <c r="F446" s="23">
        <v>208</v>
      </c>
      <c r="G446" s="25"/>
      <c r="H446" s="14">
        <f t="shared" si="264"/>
        <v>0.55000000000000004</v>
      </c>
      <c r="I446" s="25">
        <f ca="1">IFERROR(__xludf.DUMMYFUNCTION("ROUND(D446*GOOGLEFINANCE(""RUBKZT"")*H446)"),437469)</f>
        <v>437469</v>
      </c>
      <c r="J446" s="26">
        <f ca="1">IFERROR(__xludf.DUMMYFUNCTION("ROUND(I446*GOOGLEFINANCE(""KZTEUR""))"),916)</f>
        <v>916</v>
      </c>
      <c r="K446" s="26">
        <f t="shared" ca="1" si="265"/>
        <v>4404</v>
      </c>
      <c r="L446" s="26">
        <f t="shared" ca="1" si="266"/>
        <v>836.76</v>
      </c>
      <c r="M446" s="26">
        <f t="shared" ref="M446:N446" si="456">M$3</f>
        <v>500</v>
      </c>
      <c r="N446" s="26">
        <f t="shared" si="456"/>
        <v>500</v>
      </c>
      <c r="O446" s="26">
        <f ca="1">IFERROR(__xludf.DUMMYFUNCTION("ROUND(GOOGLEFINANCE(""Currency:EURKZT"")*K446)"),2103217)</f>
        <v>2103217</v>
      </c>
      <c r="P446" s="26">
        <f ca="1">IFERROR(__xludf.DUMMYFUNCTION("ROUND(GOOGLEFINANCE(""Currency:EURKZT"")*M446)"),238785)</f>
        <v>238785</v>
      </c>
      <c r="Q446" s="26">
        <f ca="1">IFERROR(__xludf.DUMMYFUNCTION("ROUND(GOOGLEFINANCE(""Currency:EURKZT"")*N446)"),238785)</f>
        <v>238785</v>
      </c>
      <c r="R446" s="26">
        <f t="shared" ca="1" si="268"/>
        <v>252386</v>
      </c>
      <c r="S446" s="26">
        <f t="shared" ca="1" si="269"/>
        <v>2833173</v>
      </c>
      <c r="T446" s="26">
        <f ca="1">IFERROR(__xludf.DUMMYFUNCTION("ROUND(GOOGLEFINANCE(""Currency:EURKZT"")*L446+S446)"),3232784)</f>
        <v>3232784</v>
      </c>
      <c r="U446" s="26">
        <f ca="1">IFERROR(__xludf.DUMMYFUNCTION("D446*GOOGLEFINANCE(""RUBKZT"")*1000/F446"),3824026.3329743)</f>
        <v>3824026.3329742998</v>
      </c>
      <c r="V446" s="27">
        <f t="shared" ca="1" si="270"/>
        <v>0.18288952586201238</v>
      </c>
    </row>
    <row r="447" spans="1:22" ht="12.75" customHeight="1" x14ac:dyDescent="0.2">
      <c r="A447" s="6" t="s">
        <v>190</v>
      </c>
      <c r="B447" s="6" t="s">
        <v>15</v>
      </c>
      <c r="C447" s="7">
        <v>148018</v>
      </c>
      <c r="D447" s="8">
        <v>77042.399999999994</v>
      </c>
      <c r="E447" s="9" t="s">
        <v>16</v>
      </c>
      <c r="F447" s="23">
        <v>208</v>
      </c>
      <c r="G447" s="25"/>
      <c r="H447" s="14">
        <f t="shared" si="264"/>
        <v>0.55000000000000004</v>
      </c>
      <c r="I447" s="25">
        <f ca="1">IFERROR(__xludf.DUMMYFUNCTION("ROUND(D447*GOOGLEFINANCE(""RUBKZT"")*H447)"),330661)</f>
        <v>330661</v>
      </c>
      <c r="J447" s="26">
        <f ca="1">IFERROR(__xludf.DUMMYFUNCTION("ROUND(I447*GOOGLEFINANCE(""KZTEUR""))"),693)</f>
        <v>693</v>
      </c>
      <c r="K447" s="26">
        <f t="shared" ca="1" si="265"/>
        <v>3332</v>
      </c>
      <c r="L447" s="26">
        <f t="shared" ca="1" si="266"/>
        <v>633.08000000000004</v>
      </c>
      <c r="M447" s="26">
        <f t="shared" ref="M447:N447" si="457">M$3</f>
        <v>500</v>
      </c>
      <c r="N447" s="26">
        <f t="shared" si="457"/>
        <v>500</v>
      </c>
      <c r="O447" s="26">
        <f ca="1">IFERROR(__xludf.DUMMYFUNCTION("ROUND(GOOGLEFINANCE(""Currency:EURKZT"")*K447)"),1591262)</f>
        <v>1591262</v>
      </c>
      <c r="P447" s="26">
        <f ca="1">IFERROR(__xludf.DUMMYFUNCTION("ROUND(GOOGLEFINANCE(""Currency:EURKZT"")*M447)"),238785)</f>
        <v>238785</v>
      </c>
      <c r="Q447" s="26">
        <f ca="1">IFERROR(__xludf.DUMMYFUNCTION("ROUND(GOOGLEFINANCE(""Currency:EURKZT"")*N447)"),238785)</f>
        <v>238785</v>
      </c>
      <c r="R447" s="26">
        <f t="shared" ca="1" si="268"/>
        <v>190951</v>
      </c>
      <c r="S447" s="26">
        <f t="shared" ca="1" si="269"/>
        <v>2259783</v>
      </c>
      <c r="T447" s="26">
        <f ca="1">IFERROR(__xludf.DUMMYFUNCTION("ROUND(GOOGLEFINANCE(""Currency:EURKZT"")*L447+S447)"),2562123)</f>
        <v>2562123</v>
      </c>
      <c r="U447" s="26">
        <f ca="1">IFERROR(__xludf.DUMMYFUNCTION("D447*GOOGLEFINANCE(""RUBKZT"")*1000/F447"),2890394.85083136)</f>
        <v>2890394.8508313601</v>
      </c>
      <c r="V447" s="27">
        <f t="shared" ca="1" si="270"/>
        <v>0.12812493812020737</v>
      </c>
    </row>
    <row r="448" spans="1:22" ht="12.75" customHeight="1" x14ac:dyDescent="0.2">
      <c r="A448" s="6" t="s">
        <v>191</v>
      </c>
      <c r="B448" s="6" t="s">
        <v>15</v>
      </c>
      <c r="C448" s="7">
        <v>148019</v>
      </c>
      <c r="D448" s="8">
        <v>140757.6</v>
      </c>
      <c r="E448" s="9" t="s">
        <v>16</v>
      </c>
      <c r="F448" s="23">
        <v>208</v>
      </c>
      <c r="G448" s="25"/>
      <c r="H448" s="14">
        <f t="shared" si="264"/>
        <v>0.55000000000000004</v>
      </c>
      <c r="I448" s="25">
        <f ca="1">IFERROR(__xludf.DUMMYFUNCTION("ROUND(D448*GOOGLEFINANCE(""RUBKZT"")*H448)"),604123)</f>
        <v>604123</v>
      </c>
      <c r="J448" s="26">
        <f ca="1">IFERROR(__xludf.DUMMYFUNCTION("ROUND(I448*GOOGLEFINANCE(""KZTEUR""))"),1265)</f>
        <v>1265</v>
      </c>
      <c r="K448" s="26">
        <f t="shared" ca="1" si="265"/>
        <v>6082</v>
      </c>
      <c r="L448" s="26">
        <f t="shared" ca="1" si="266"/>
        <v>1155.58</v>
      </c>
      <c r="M448" s="26">
        <f t="shared" ref="M448:N448" si="458">M$3</f>
        <v>500</v>
      </c>
      <c r="N448" s="26">
        <f t="shared" si="458"/>
        <v>500</v>
      </c>
      <c r="O448" s="26">
        <f ca="1">IFERROR(__xludf.DUMMYFUNCTION("ROUND(GOOGLEFINANCE(""Currency:EURKZT"")*K448)"),2904578)</f>
        <v>2904578</v>
      </c>
      <c r="P448" s="26">
        <f ca="1">IFERROR(__xludf.DUMMYFUNCTION("ROUND(GOOGLEFINANCE(""Currency:EURKZT"")*M448)"),238785)</f>
        <v>238785</v>
      </c>
      <c r="Q448" s="26">
        <f ca="1">IFERROR(__xludf.DUMMYFUNCTION("ROUND(GOOGLEFINANCE(""Currency:EURKZT"")*N448)"),238785)</f>
        <v>238785</v>
      </c>
      <c r="R448" s="26">
        <f t="shared" ca="1" si="268"/>
        <v>348549</v>
      </c>
      <c r="S448" s="26">
        <f t="shared" ca="1" si="269"/>
        <v>3730697</v>
      </c>
      <c r="T448" s="26">
        <f ca="1">IFERROR(__xludf.DUMMYFUNCTION("ROUND(GOOGLEFINANCE(""Currency:EURKZT"")*L448+S448)"),4282567)</f>
        <v>4282567</v>
      </c>
      <c r="U448" s="26">
        <f ca="1">IFERROR(__xludf.DUMMYFUNCTION("D448*GOOGLEFINANCE(""RUBKZT"")*1000/F448"),5280793.98169555)</f>
        <v>5280793.9816955496</v>
      </c>
      <c r="V448" s="27">
        <f t="shared" ca="1" si="270"/>
        <v>0.23309080317845571</v>
      </c>
    </row>
    <row r="449" spans="1:22" ht="12.75" customHeight="1" x14ac:dyDescent="0.2">
      <c r="A449" s="6" t="s">
        <v>192</v>
      </c>
      <c r="B449" s="6" t="s">
        <v>15</v>
      </c>
      <c r="C449" s="7">
        <v>148020</v>
      </c>
      <c r="D449" s="8">
        <v>71968.800000000003</v>
      </c>
      <c r="E449" s="9" t="s">
        <v>16</v>
      </c>
      <c r="F449" s="23">
        <v>208</v>
      </c>
      <c r="G449" s="25"/>
      <c r="H449" s="14">
        <f t="shared" si="264"/>
        <v>0.55000000000000004</v>
      </c>
      <c r="I449" s="25">
        <f ca="1">IFERROR(__xludf.DUMMYFUNCTION("ROUND(D449*GOOGLEFINANCE(""RUBKZT"")*H449)"),308886)</f>
        <v>308886</v>
      </c>
      <c r="J449" s="26">
        <f ca="1">IFERROR(__xludf.DUMMYFUNCTION("ROUND(I449*GOOGLEFINANCE(""KZTEUR""))"),647)</f>
        <v>647</v>
      </c>
      <c r="K449" s="26">
        <f t="shared" ca="1" si="265"/>
        <v>3111</v>
      </c>
      <c r="L449" s="26">
        <f t="shared" ca="1" si="266"/>
        <v>591.09</v>
      </c>
      <c r="M449" s="26">
        <f t="shared" ref="M449:N449" si="459">M$3</f>
        <v>500</v>
      </c>
      <c r="N449" s="26">
        <f t="shared" si="459"/>
        <v>500</v>
      </c>
      <c r="O449" s="26">
        <f ca="1">IFERROR(__xludf.DUMMYFUNCTION("ROUND(GOOGLEFINANCE(""Currency:EURKZT"")*K449)"),1485719)</f>
        <v>1485719</v>
      </c>
      <c r="P449" s="26">
        <f ca="1">IFERROR(__xludf.DUMMYFUNCTION("ROUND(GOOGLEFINANCE(""Currency:EURKZT"")*M449)"),238785)</f>
        <v>238785</v>
      </c>
      <c r="Q449" s="26">
        <f ca="1">IFERROR(__xludf.DUMMYFUNCTION("ROUND(GOOGLEFINANCE(""Currency:EURKZT"")*N449)"),238785)</f>
        <v>238785</v>
      </c>
      <c r="R449" s="26">
        <f t="shared" ca="1" si="268"/>
        <v>178286</v>
      </c>
      <c r="S449" s="26">
        <f t="shared" ca="1" si="269"/>
        <v>2141575</v>
      </c>
      <c r="T449" s="26">
        <f ca="1">IFERROR(__xludf.DUMMYFUNCTION("ROUND(GOOGLEFINANCE(""Currency:EURKZT"")*L449+S449)"),2423862)</f>
        <v>2423862</v>
      </c>
      <c r="U449" s="26">
        <f ca="1">IFERROR(__xludf.DUMMYFUNCTION("D449*GOOGLEFINANCE(""RUBKZT"")*1000/F449"),2700048.92034143)</f>
        <v>2700048.9203414302</v>
      </c>
      <c r="V449" s="27">
        <f t="shared" ca="1" si="270"/>
        <v>0.11394498545768292</v>
      </c>
    </row>
    <row r="450" spans="1:22" ht="12.75" customHeight="1" x14ac:dyDescent="0.2">
      <c r="A450" s="6" t="s">
        <v>193</v>
      </c>
      <c r="B450" s="6" t="s">
        <v>15</v>
      </c>
      <c r="C450" s="7">
        <v>148022</v>
      </c>
      <c r="D450" s="8">
        <v>77316</v>
      </c>
      <c r="E450" s="9" t="s">
        <v>16</v>
      </c>
      <c r="F450" s="23">
        <v>208</v>
      </c>
      <c r="G450" s="25"/>
      <c r="H450" s="14">
        <f t="shared" si="264"/>
        <v>0.55000000000000004</v>
      </c>
      <c r="I450" s="25">
        <f ca="1">IFERROR(__xludf.DUMMYFUNCTION("ROUND(D450*GOOGLEFINANCE(""RUBKZT"")*H450)"),331835)</f>
        <v>331835</v>
      </c>
      <c r="J450" s="26">
        <f ca="1">IFERROR(__xludf.DUMMYFUNCTION("ROUND(I450*GOOGLEFINANCE(""KZTEUR""))"),695)</f>
        <v>695</v>
      </c>
      <c r="K450" s="26">
        <f t="shared" ca="1" si="265"/>
        <v>3341</v>
      </c>
      <c r="L450" s="26">
        <f t="shared" ca="1" si="266"/>
        <v>634.79</v>
      </c>
      <c r="M450" s="26">
        <f t="shared" ref="M450:N450" si="460">M$3</f>
        <v>500</v>
      </c>
      <c r="N450" s="26">
        <f t="shared" si="460"/>
        <v>500</v>
      </c>
      <c r="O450" s="26">
        <f ca="1">IFERROR(__xludf.DUMMYFUNCTION("ROUND(GOOGLEFINANCE(""Currency:EURKZT"")*K450)"),1595560)</f>
        <v>1595560</v>
      </c>
      <c r="P450" s="26">
        <f ca="1">IFERROR(__xludf.DUMMYFUNCTION("ROUND(GOOGLEFINANCE(""Currency:EURKZT"")*M450)"),238785)</f>
        <v>238785</v>
      </c>
      <c r="Q450" s="26">
        <f ca="1">IFERROR(__xludf.DUMMYFUNCTION("ROUND(GOOGLEFINANCE(""Currency:EURKZT"")*N450)"),238785)</f>
        <v>238785</v>
      </c>
      <c r="R450" s="26">
        <f t="shared" ca="1" si="268"/>
        <v>191467</v>
      </c>
      <c r="S450" s="26">
        <f t="shared" ca="1" si="269"/>
        <v>2264597</v>
      </c>
      <c r="T450" s="26">
        <f ca="1">IFERROR(__xludf.DUMMYFUNCTION("ROUND(GOOGLEFINANCE(""Currency:EURKZT"")*L450+S450)"),2567753)</f>
        <v>2567753</v>
      </c>
      <c r="U450" s="26">
        <f ca="1">IFERROR(__xludf.DUMMYFUNCTION("D450*GOOGLEFINANCE(""RUBKZT"")*1000/F450"),2900659.48473669)</f>
        <v>2900659.4847366898</v>
      </c>
      <c r="V450" s="27">
        <f t="shared" ca="1" si="270"/>
        <v>0.12964895172420784</v>
      </c>
    </row>
    <row r="451" spans="1:22" ht="12.75" customHeight="1" x14ac:dyDescent="0.2">
      <c r="A451" s="6" t="s">
        <v>194</v>
      </c>
      <c r="B451" s="6" t="s">
        <v>15</v>
      </c>
      <c r="C451" s="7">
        <v>148070</v>
      </c>
      <c r="D451" s="8">
        <v>138856.79999999999</v>
      </c>
      <c r="E451" s="9" t="s">
        <v>16</v>
      </c>
      <c r="F451" s="23">
        <v>208</v>
      </c>
      <c r="G451" s="25"/>
      <c r="H451" s="14">
        <f t="shared" si="264"/>
        <v>0.55000000000000004</v>
      </c>
      <c r="I451" s="25">
        <f ca="1">IFERROR(__xludf.DUMMYFUNCTION("ROUND(D451*GOOGLEFINANCE(""RUBKZT"")*H451)"),595965)</f>
        <v>595965</v>
      </c>
      <c r="J451" s="26">
        <f ca="1">IFERROR(__xludf.DUMMYFUNCTION("ROUND(I451*GOOGLEFINANCE(""KZTEUR""))"),1248)</f>
        <v>1248</v>
      </c>
      <c r="K451" s="26">
        <f t="shared" ca="1" si="265"/>
        <v>6000</v>
      </c>
      <c r="L451" s="26">
        <f t="shared" ca="1" si="266"/>
        <v>1140</v>
      </c>
      <c r="M451" s="26">
        <f t="shared" ref="M451:N451" si="461">M$3</f>
        <v>500</v>
      </c>
      <c r="N451" s="26">
        <f t="shared" si="461"/>
        <v>500</v>
      </c>
      <c r="O451" s="26">
        <f ca="1">IFERROR(__xludf.DUMMYFUNCTION("ROUND(GOOGLEFINANCE(""Currency:EURKZT"")*K451)"),2865418)</f>
        <v>2865418</v>
      </c>
      <c r="P451" s="26">
        <f ca="1">IFERROR(__xludf.DUMMYFUNCTION("ROUND(GOOGLEFINANCE(""Currency:EURKZT"")*M451)"),238785)</f>
        <v>238785</v>
      </c>
      <c r="Q451" s="26">
        <f ca="1">IFERROR(__xludf.DUMMYFUNCTION("ROUND(GOOGLEFINANCE(""Currency:EURKZT"")*N451)"),238785)</f>
        <v>238785</v>
      </c>
      <c r="R451" s="26">
        <f t="shared" ca="1" si="268"/>
        <v>343850</v>
      </c>
      <c r="S451" s="26">
        <f t="shared" ca="1" si="269"/>
        <v>3686838</v>
      </c>
      <c r="T451" s="26">
        <f ca="1">IFERROR(__xludf.DUMMYFUNCTION("ROUND(GOOGLEFINANCE(""Currency:EURKZT"")*L451+S451)"),4231267)</f>
        <v>4231267</v>
      </c>
      <c r="U451" s="26">
        <f ca="1">IFERROR(__xludf.DUMMYFUNCTION("D451*GOOGLEFINANCE(""RUBKZT"")*1000/F451"),5209481.78824804)</f>
        <v>5209481.7882480398</v>
      </c>
      <c r="V451" s="27">
        <f t="shared" ca="1" si="270"/>
        <v>0.23118720426955797</v>
      </c>
    </row>
    <row r="452" spans="1:22" ht="12.75" customHeight="1" x14ac:dyDescent="0.2">
      <c r="A452" s="6" t="s">
        <v>195</v>
      </c>
      <c r="B452" s="6" t="s">
        <v>15</v>
      </c>
      <c r="C452" s="7">
        <v>148073</v>
      </c>
      <c r="D452" s="8">
        <v>118388.4</v>
      </c>
      <c r="E452" s="9" t="s">
        <v>16</v>
      </c>
      <c r="F452" s="23">
        <v>208</v>
      </c>
      <c r="G452" s="25"/>
      <c r="H452" s="14">
        <f t="shared" si="264"/>
        <v>0.55000000000000004</v>
      </c>
      <c r="I452" s="25">
        <f ca="1">IFERROR(__xludf.DUMMYFUNCTION("ROUND(D452*GOOGLEFINANCE(""RUBKZT"")*H452)"),508116)</f>
        <v>508116</v>
      </c>
      <c r="J452" s="26">
        <f ca="1">IFERROR(__xludf.DUMMYFUNCTION("ROUND(I452*GOOGLEFINANCE(""KZTEUR""))"),1064)</f>
        <v>1064</v>
      </c>
      <c r="K452" s="26">
        <f t="shared" ca="1" si="265"/>
        <v>5115</v>
      </c>
      <c r="L452" s="26">
        <f t="shared" ca="1" si="266"/>
        <v>971.85</v>
      </c>
      <c r="M452" s="26">
        <f t="shared" ref="M452:N452" si="462">M$3</f>
        <v>500</v>
      </c>
      <c r="N452" s="26">
        <f t="shared" si="462"/>
        <v>500</v>
      </c>
      <c r="O452" s="26">
        <f ca="1">IFERROR(__xludf.DUMMYFUNCTION("ROUND(GOOGLEFINANCE(""Currency:EURKZT"")*K452)"),2442769)</f>
        <v>2442769</v>
      </c>
      <c r="P452" s="26">
        <f ca="1">IFERROR(__xludf.DUMMYFUNCTION("ROUND(GOOGLEFINANCE(""Currency:EURKZT"")*M452)"),238785)</f>
        <v>238785</v>
      </c>
      <c r="Q452" s="26">
        <f ca="1">IFERROR(__xludf.DUMMYFUNCTION("ROUND(GOOGLEFINANCE(""Currency:EURKZT"")*N452)"),238785)</f>
        <v>238785</v>
      </c>
      <c r="R452" s="26">
        <f t="shared" ca="1" si="268"/>
        <v>293132</v>
      </c>
      <c r="S452" s="26">
        <f t="shared" ca="1" si="269"/>
        <v>3213471</v>
      </c>
      <c r="T452" s="26">
        <f ca="1">IFERROR(__xludf.DUMMYFUNCTION("ROUND(GOOGLEFINANCE(""Currency:EURKZT"")*L452+S452)"),3677597)</f>
        <v>3677597</v>
      </c>
      <c r="U452" s="26">
        <f ca="1">IFERROR(__xludf.DUMMYFUNCTION("D452*GOOGLEFINANCE(""RUBKZT"")*1000/F452"),4441570.1192871)</f>
        <v>4441570.1192870997</v>
      </c>
      <c r="V452" s="27">
        <f t="shared" ca="1" si="270"/>
        <v>0.20773704114047833</v>
      </c>
    </row>
    <row r="453" spans="1:22" ht="12.75" customHeight="1" x14ac:dyDescent="0.2">
      <c r="A453" s="6" t="s">
        <v>198</v>
      </c>
      <c r="B453" s="6" t="s">
        <v>15</v>
      </c>
      <c r="C453" s="7">
        <v>150050</v>
      </c>
      <c r="D453" s="8">
        <v>58870.799999999996</v>
      </c>
      <c r="E453" s="9" t="s">
        <v>16</v>
      </c>
      <c r="F453" s="23">
        <v>208</v>
      </c>
      <c r="G453" s="25"/>
      <c r="H453" s="14">
        <f t="shared" si="264"/>
        <v>0.55000000000000004</v>
      </c>
      <c r="I453" s="25">
        <f ca="1">IFERROR(__xludf.DUMMYFUNCTION("ROUND(D453*GOOGLEFINANCE(""RUBKZT"")*H453)"),252670)</f>
        <v>252670</v>
      </c>
      <c r="J453" s="26">
        <f ca="1">IFERROR(__xludf.DUMMYFUNCTION("ROUND(I453*GOOGLEFINANCE(""KZTEUR""))"),529)</f>
        <v>529</v>
      </c>
      <c r="K453" s="26">
        <f t="shared" ca="1" si="265"/>
        <v>2543</v>
      </c>
      <c r="L453" s="26">
        <f t="shared" ca="1" si="266"/>
        <v>483.17</v>
      </c>
      <c r="M453" s="26">
        <f t="shared" ref="M453:N453" si="463">M$3</f>
        <v>500</v>
      </c>
      <c r="N453" s="26">
        <f t="shared" si="463"/>
        <v>500</v>
      </c>
      <c r="O453" s="26">
        <f ca="1">IFERROR(__xludf.DUMMYFUNCTION("ROUND(GOOGLEFINANCE(""Currency:EURKZT"")*K453)"),1214460)</f>
        <v>1214460</v>
      </c>
      <c r="P453" s="26">
        <f ca="1">IFERROR(__xludf.DUMMYFUNCTION("ROUND(GOOGLEFINANCE(""Currency:EURKZT"")*M453)"),238785)</f>
        <v>238785</v>
      </c>
      <c r="Q453" s="26">
        <f ca="1">IFERROR(__xludf.DUMMYFUNCTION("ROUND(GOOGLEFINANCE(""Currency:EURKZT"")*N453)"),238785)</f>
        <v>238785</v>
      </c>
      <c r="R453" s="26">
        <f t="shared" ca="1" si="268"/>
        <v>145735</v>
      </c>
      <c r="S453" s="26">
        <f t="shared" ca="1" si="269"/>
        <v>1837765</v>
      </c>
      <c r="T453" s="26">
        <f ca="1">IFERROR(__xludf.DUMMYFUNCTION("ROUND(GOOGLEFINANCE(""Currency:EURKZT"")*L453+S453)"),2068512)</f>
        <v>2068512</v>
      </c>
      <c r="U453" s="26">
        <f ca="1">IFERROR(__xludf.DUMMYFUNCTION("D453*GOOGLEFINANCE(""RUBKZT"")*1000/F453"),2208652.08228616)</f>
        <v>2208652.08228616</v>
      </c>
      <c r="V453" s="27">
        <f t="shared" ca="1" si="270"/>
        <v>6.7749223734819994E-2</v>
      </c>
    </row>
    <row r="454" spans="1:22" ht="12.75" customHeight="1" x14ac:dyDescent="0.2">
      <c r="A454" s="6" t="s">
        <v>199</v>
      </c>
      <c r="B454" s="6" t="s">
        <v>15</v>
      </c>
      <c r="C454" s="7">
        <v>150841</v>
      </c>
      <c r="D454" s="8">
        <v>91968</v>
      </c>
      <c r="E454" s="9" t="s">
        <v>16</v>
      </c>
      <c r="F454" s="23">
        <v>208</v>
      </c>
      <c r="G454" s="25"/>
      <c r="H454" s="14">
        <f t="shared" si="264"/>
        <v>0.55000000000000004</v>
      </c>
      <c r="I454" s="25">
        <f ca="1">IFERROR(__xludf.DUMMYFUNCTION("ROUND(D454*GOOGLEFINANCE(""RUBKZT"")*H454)"),394721)</f>
        <v>394721</v>
      </c>
      <c r="J454" s="26">
        <f ca="1">IFERROR(__xludf.DUMMYFUNCTION("ROUND(I454*GOOGLEFINANCE(""KZTEUR""))"),827)</f>
        <v>827</v>
      </c>
      <c r="K454" s="26">
        <f t="shared" ca="1" si="265"/>
        <v>3976</v>
      </c>
      <c r="L454" s="26">
        <f t="shared" ca="1" si="266"/>
        <v>755.44</v>
      </c>
      <c r="M454" s="26">
        <f t="shared" ref="M454:N454" si="464">M$3</f>
        <v>500</v>
      </c>
      <c r="N454" s="26">
        <f t="shared" si="464"/>
        <v>500</v>
      </c>
      <c r="O454" s="26">
        <f ca="1">IFERROR(__xludf.DUMMYFUNCTION("ROUND(GOOGLEFINANCE(""Currency:EURKZT"")*K454)"),1898817)</f>
        <v>1898817</v>
      </c>
      <c r="P454" s="26">
        <f ca="1">IFERROR(__xludf.DUMMYFUNCTION("ROUND(GOOGLEFINANCE(""Currency:EURKZT"")*M454)"),238785)</f>
        <v>238785</v>
      </c>
      <c r="Q454" s="26">
        <f ca="1">IFERROR(__xludf.DUMMYFUNCTION("ROUND(GOOGLEFINANCE(""Currency:EURKZT"")*N454)"),238785)</f>
        <v>238785</v>
      </c>
      <c r="R454" s="26">
        <f t="shared" ca="1" si="268"/>
        <v>227858</v>
      </c>
      <c r="S454" s="26">
        <f t="shared" ca="1" si="269"/>
        <v>2604245</v>
      </c>
      <c r="T454" s="26">
        <f ca="1">IFERROR(__xludf.DUMMYFUNCTION("ROUND(GOOGLEFINANCE(""Currency:EURKZT"")*L454+S454)"),2965020)</f>
        <v>2965020</v>
      </c>
      <c r="U454" s="26">
        <f ca="1">IFERROR(__xludf.DUMMYFUNCTION("D454*GOOGLEFINANCE(""RUBKZT"")*1000/F454"),3450357.64256123)</f>
        <v>3450357.6425612299</v>
      </c>
      <c r="V454" s="27">
        <f t="shared" ca="1" si="270"/>
        <v>0.16368781409947653</v>
      </c>
    </row>
    <row r="455" spans="1:22" ht="12.75" customHeight="1" x14ac:dyDescent="0.2">
      <c r="A455" s="6" t="s">
        <v>200</v>
      </c>
      <c r="B455" s="6" t="s">
        <v>15</v>
      </c>
      <c r="C455" s="7">
        <v>150895</v>
      </c>
      <c r="D455" s="8">
        <v>96504</v>
      </c>
      <c r="E455" s="9" t="s">
        <v>16</v>
      </c>
      <c r="F455" s="23">
        <v>208</v>
      </c>
      <c r="G455" s="25"/>
      <c r="H455" s="14">
        <f t="shared" si="264"/>
        <v>0.55000000000000004</v>
      </c>
      <c r="I455" s="25">
        <f ca="1">IFERROR(__xludf.DUMMYFUNCTION("ROUND(D455*GOOGLEFINANCE(""RUBKZT"")*H455)"),414189)</f>
        <v>414189</v>
      </c>
      <c r="J455" s="26">
        <f ca="1">IFERROR(__xludf.DUMMYFUNCTION("ROUND(I455*GOOGLEFINANCE(""KZTEUR""))"),867)</f>
        <v>867</v>
      </c>
      <c r="K455" s="26">
        <f t="shared" ca="1" si="265"/>
        <v>4168</v>
      </c>
      <c r="L455" s="26">
        <f t="shared" ca="1" si="266"/>
        <v>791.92</v>
      </c>
      <c r="M455" s="26">
        <f t="shared" ref="M455:N455" si="465">M$3</f>
        <v>500</v>
      </c>
      <c r="N455" s="26">
        <f t="shared" si="465"/>
        <v>500</v>
      </c>
      <c r="O455" s="26">
        <f ca="1">IFERROR(__xludf.DUMMYFUNCTION("ROUND(GOOGLEFINANCE(""Currency:EURKZT"")*K455)"),1990510)</f>
        <v>1990510</v>
      </c>
      <c r="P455" s="26">
        <f ca="1">IFERROR(__xludf.DUMMYFUNCTION("ROUND(GOOGLEFINANCE(""Currency:EURKZT"")*M455)"),238785)</f>
        <v>238785</v>
      </c>
      <c r="Q455" s="26">
        <f ca="1">IFERROR(__xludf.DUMMYFUNCTION("ROUND(GOOGLEFINANCE(""Currency:EURKZT"")*N455)"),238785)</f>
        <v>238785</v>
      </c>
      <c r="R455" s="26">
        <f t="shared" ca="1" si="268"/>
        <v>238861</v>
      </c>
      <c r="S455" s="26">
        <f t="shared" ca="1" si="269"/>
        <v>2706941</v>
      </c>
      <c r="T455" s="26">
        <f ca="1">IFERROR(__xludf.DUMMYFUNCTION("ROUND(GOOGLEFINANCE(""Currency:EURKZT"")*L455+S455)"),3085138)</f>
        <v>3085138</v>
      </c>
      <c r="U455" s="26">
        <f ca="1">IFERROR(__xludf.DUMMYFUNCTION("D455*GOOGLEFINANCE(""RUBKZT"")*1000/F455"),3620534.46783369)</f>
        <v>3620534.4678336899</v>
      </c>
      <c r="V455" s="27">
        <f t="shared" ca="1" si="270"/>
        <v>0.17354052487561006</v>
      </c>
    </row>
    <row r="456" spans="1:22" ht="12.75" customHeight="1" x14ac:dyDescent="0.2">
      <c r="A456" s="6" t="s">
        <v>201</v>
      </c>
      <c r="B456" s="6" t="s">
        <v>15</v>
      </c>
      <c r="C456" s="7">
        <v>150896</v>
      </c>
      <c r="D456" s="8">
        <v>123226.79999999999</v>
      </c>
      <c r="E456" s="9" t="s">
        <v>16</v>
      </c>
      <c r="F456" s="23">
        <v>208</v>
      </c>
      <c r="G456" s="25"/>
      <c r="H456" s="14">
        <f t="shared" si="264"/>
        <v>0.55000000000000004</v>
      </c>
      <c r="I456" s="25">
        <f ca="1">IFERROR(__xludf.DUMMYFUNCTION("ROUND(D456*GOOGLEFINANCE(""RUBKZT"")*H456)"),528882)</f>
        <v>528882</v>
      </c>
      <c r="J456" s="26">
        <f ca="1">IFERROR(__xludf.DUMMYFUNCTION("ROUND(I456*GOOGLEFINANCE(""KZTEUR""))"),1108)</f>
        <v>1108</v>
      </c>
      <c r="K456" s="26">
        <f t="shared" ca="1" si="265"/>
        <v>5327</v>
      </c>
      <c r="L456" s="26">
        <f t="shared" ca="1" si="266"/>
        <v>1012.13</v>
      </c>
      <c r="M456" s="26">
        <f t="shared" ref="M456:N456" si="466">M$3</f>
        <v>500</v>
      </c>
      <c r="N456" s="26">
        <f t="shared" si="466"/>
        <v>500</v>
      </c>
      <c r="O456" s="26">
        <f ca="1">IFERROR(__xludf.DUMMYFUNCTION("ROUND(GOOGLEFINANCE(""Currency:EURKZT"")*K456)"),2544013)</f>
        <v>2544013</v>
      </c>
      <c r="P456" s="26">
        <f ca="1">IFERROR(__xludf.DUMMYFUNCTION("ROUND(GOOGLEFINANCE(""Currency:EURKZT"")*M456)"),238785)</f>
        <v>238785</v>
      </c>
      <c r="Q456" s="26">
        <f ca="1">IFERROR(__xludf.DUMMYFUNCTION("ROUND(GOOGLEFINANCE(""Currency:EURKZT"")*N456)"),238785)</f>
        <v>238785</v>
      </c>
      <c r="R456" s="26">
        <f t="shared" ca="1" si="268"/>
        <v>305282</v>
      </c>
      <c r="S456" s="26">
        <f t="shared" ca="1" si="269"/>
        <v>3326865</v>
      </c>
      <c r="T456" s="26">
        <f ca="1">IFERROR(__xludf.DUMMYFUNCTION("ROUND(GOOGLEFINANCE(""Currency:EURKZT"")*L456+S456)"),3810228)</f>
        <v>3810228</v>
      </c>
      <c r="U456" s="26">
        <f ca="1">IFERROR(__xludf.DUMMYFUNCTION("D456*GOOGLEFINANCE(""RUBKZT"")*1000/F456"),4623092.06624439)</f>
        <v>4623092.0662443899</v>
      </c>
      <c r="V456" s="27">
        <f t="shared" ca="1" si="270"/>
        <v>0.21333738197409444</v>
      </c>
    </row>
    <row r="457" spans="1:22" ht="12.75" customHeight="1" x14ac:dyDescent="0.2">
      <c r="A457" s="6" t="s">
        <v>202</v>
      </c>
      <c r="B457" s="6" t="s">
        <v>15</v>
      </c>
      <c r="C457" s="7">
        <v>151170</v>
      </c>
      <c r="D457" s="8">
        <v>245654.39999999999</v>
      </c>
      <c r="E457" s="9" t="s">
        <v>16</v>
      </c>
      <c r="F457" s="23">
        <v>208</v>
      </c>
      <c r="G457" s="25"/>
      <c r="H457" s="14">
        <f t="shared" si="264"/>
        <v>0.55000000000000004</v>
      </c>
      <c r="I457" s="25">
        <f ca="1">IFERROR(__xludf.DUMMYFUNCTION("ROUND(D457*GOOGLEFINANCE(""RUBKZT"")*H457)"),1054333)</f>
        <v>1054333</v>
      </c>
      <c r="J457" s="26">
        <f ca="1">IFERROR(__xludf.DUMMYFUNCTION("ROUND(I457*GOOGLEFINANCE(""KZTEUR""))"),2208)</f>
        <v>2208</v>
      </c>
      <c r="K457" s="26">
        <f t="shared" ca="1" si="265"/>
        <v>10615</v>
      </c>
      <c r="L457" s="26">
        <f t="shared" ca="1" si="266"/>
        <v>2016.8500000000001</v>
      </c>
      <c r="M457" s="26">
        <f t="shared" ref="M457:N457" si="467">M$3</f>
        <v>500</v>
      </c>
      <c r="N457" s="26">
        <f t="shared" si="467"/>
        <v>500</v>
      </c>
      <c r="O457" s="26">
        <f ca="1">IFERROR(__xludf.DUMMYFUNCTION("ROUND(GOOGLEFINANCE(""Currency:EURKZT"")*K457)"),5069401)</f>
        <v>5069401</v>
      </c>
      <c r="P457" s="26">
        <f ca="1">IFERROR(__xludf.DUMMYFUNCTION("ROUND(GOOGLEFINANCE(""Currency:EURKZT"")*M457)"),238785)</f>
        <v>238785</v>
      </c>
      <c r="Q457" s="26">
        <f ca="1">IFERROR(__xludf.DUMMYFUNCTION("ROUND(GOOGLEFINANCE(""Currency:EURKZT"")*N457)"),238785)</f>
        <v>238785</v>
      </c>
      <c r="R457" s="26">
        <f t="shared" ca="1" si="268"/>
        <v>608328</v>
      </c>
      <c r="S457" s="26">
        <f t="shared" ca="1" si="269"/>
        <v>6155299</v>
      </c>
      <c r="T457" s="26">
        <f ca="1">IFERROR(__xludf.DUMMYFUNCTION("ROUND(GOOGLEFINANCE(""Currency:EURKZT"")*L457+S457)"),7118485)</f>
        <v>7118485</v>
      </c>
      <c r="U457" s="26">
        <f ca="1">IFERROR(__xludf.DUMMYFUNCTION("D457*GOOGLEFINANCE(""RUBKZT"")*1000/F457"),9216200.59660744)</f>
        <v>9216200.5966074392</v>
      </c>
      <c r="V457" s="27">
        <f t="shared" ca="1" si="270"/>
        <v>0.29468568053559702</v>
      </c>
    </row>
    <row r="458" spans="1:22" ht="12.75" customHeight="1" x14ac:dyDescent="0.2">
      <c r="A458" s="6" t="s">
        <v>203</v>
      </c>
      <c r="B458" s="6" t="s">
        <v>15</v>
      </c>
      <c r="C458" s="7">
        <v>151260</v>
      </c>
      <c r="D458" s="8">
        <v>126194.4</v>
      </c>
      <c r="E458" s="9" t="s">
        <v>16</v>
      </c>
      <c r="F458" s="23">
        <v>208</v>
      </c>
      <c r="G458" s="25"/>
      <c r="H458" s="14">
        <f t="shared" si="264"/>
        <v>0.55000000000000004</v>
      </c>
      <c r="I458" s="25">
        <f ca="1">IFERROR(__xludf.DUMMYFUNCTION("ROUND(D458*GOOGLEFINANCE(""RUBKZT"")*H458)"),541618)</f>
        <v>541618</v>
      </c>
      <c r="J458" s="26">
        <f ca="1">IFERROR(__xludf.DUMMYFUNCTION("ROUND(I458*GOOGLEFINANCE(""KZTEUR""))"),1134)</f>
        <v>1134</v>
      </c>
      <c r="K458" s="26">
        <f t="shared" ca="1" si="265"/>
        <v>5452</v>
      </c>
      <c r="L458" s="26">
        <f t="shared" ca="1" si="266"/>
        <v>1035.8800000000001</v>
      </c>
      <c r="M458" s="26">
        <f t="shared" ref="M458:N458" si="468">M$3</f>
        <v>500</v>
      </c>
      <c r="N458" s="26">
        <f t="shared" si="468"/>
        <v>500</v>
      </c>
      <c r="O458" s="26">
        <f ca="1">IFERROR(__xludf.DUMMYFUNCTION("ROUND(GOOGLEFINANCE(""Currency:EURKZT"")*K458)"),2603710)</f>
        <v>2603710</v>
      </c>
      <c r="P458" s="26">
        <f ca="1">IFERROR(__xludf.DUMMYFUNCTION("ROUND(GOOGLEFINANCE(""Currency:EURKZT"")*M458)"),238785)</f>
        <v>238785</v>
      </c>
      <c r="Q458" s="26">
        <f ca="1">IFERROR(__xludf.DUMMYFUNCTION("ROUND(GOOGLEFINANCE(""Currency:EURKZT"")*N458)"),238785)</f>
        <v>238785</v>
      </c>
      <c r="R458" s="26">
        <f t="shared" ca="1" si="268"/>
        <v>312445</v>
      </c>
      <c r="S458" s="26">
        <f t="shared" ca="1" si="269"/>
        <v>3393725</v>
      </c>
      <c r="T458" s="26">
        <f ca="1">IFERROR(__xludf.DUMMYFUNCTION("ROUND(GOOGLEFINANCE(""Currency:EURKZT"")*L458+S458)"),3888430)</f>
        <v>3888430</v>
      </c>
      <c r="U458" s="26">
        <f ca="1">IFERROR(__xludf.DUMMYFUNCTION("D458*GOOGLEFINANCE(""RUBKZT"")*1000/F458"),4734427.32785783)</f>
        <v>4734427.3278578296</v>
      </c>
      <c r="V458" s="27">
        <f t="shared" ca="1" si="270"/>
        <v>0.21756784302606183</v>
      </c>
    </row>
    <row r="459" spans="1:22" ht="12.75" customHeight="1" x14ac:dyDescent="0.2">
      <c r="A459" s="6" t="s">
        <v>204</v>
      </c>
      <c r="B459" s="6" t="s">
        <v>15</v>
      </c>
      <c r="C459" s="7">
        <v>151263</v>
      </c>
      <c r="D459" s="8">
        <v>140845.19999999998</v>
      </c>
      <c r="E459" s="9" t="s">
        <v>16</v>
      </c>
      <c r="F459" s="23">
        <v>208</v>
      </c>
      <c r="G459" s="25"/>
      <c r="H459" s="14">
        <f t="shared" si="264"/>
        <v>0.55000000000000004</v>
      </c>
      <c r="I459" s="25">
        <f ca="1">IFERROR(__xludf.DUMMYFUNCTION("ROUND(D459*GOOGLEFINANCE(""RUBKZT"")*H459)"),604499)</f>
        <v>604499</v>
      </c>
      <c r="J459" s="26">
        <f ca="1">IFERROR(__xludf.DUMMYFUNCTION("ROUND(I459*GOOGLEFINANCE(""KZTEUR""))"),1266)</f>
        <v>1266</v>
      </c>
      <c r="K459" s="26">
        <f t="shared" ca="1" si="265"/>
        <v>6087</v>
      </c>
      <c r="L459" s="26">
        <f t="shared" ca="1" si="266"/>
        <v>1156.53</v>
      </c>
      <c r="M459" s="26">
        <f t="shared" ref="M459:N459" si="469">M$3</f>
        <v>500</v>
      </c>
      <c r="N459" s="26">
        <f t="shared" si="469"/>
        <v>500</v>
      </c>
      <c r="O459" s="26">
        <f ca="1">IFERROR(__xludf.DUMMYFUNCTION("ROUND(GOOGLEFINANCE(""Currency:EURKZT"")*K459)"),2906966)</f>
        <v>2906966</v>
      </c>
      <c r="P459" s="26">
        <f ca="1">IFERROR(__xludf.DUMMYFUNCTION("ROUND(GOOGLEFINANCE(""Currency:EURKZT"")*M459)"),238785)</f>
        <v>238785</v>
      </c>
      <c r="Q459" s="26">
        <f ca="1">IFERROR(__xludf.DUMMYFUNCTION("ROUND(GOOGLEFINANCE(""Currency:EURKZT"")*N459)"),238785)</f>
        <v>238785</v>
      </c>
      <c r="R459" s="26">
        <f t="shared" ca="1" si="268"/>
        <v>348836</v>
      </c>
      <c r="S459" s="26">
        <f t="shared" ca="1" si="269"/>
        <v>3733372</v>
      </c>
      <c r="T459" s="26">
        <f ca="1">IFERROR(__xludf.DUMMYFUNCTION("ROUND(GOOGLEFINANCE(""Currency:EURKZT"")*L459+S459)"),4285696)</f>
        <v>4285696</v>
      </c>
      <c r="U459" s="26">
        <f ca="1">IFERROR(__xludf.DUMMYFUNCTION("D459*GOOGLEFINANCE(""RUBKZT"")*1000/F459"),5284080.46535822)</f>
        <v>5284080.46535822</v>
      </c>
      <c r="V459" s="27">
        <f t="shared" ca="1" si="270"/>
        <v>0.23295736920169327</v>
      </c>
    </row>
    <row r="460" spans="1:22" ht="12.75" customHeight="1" x14ac:dyDescent="0.2">
      <c r="A460" s="6" t="s">
        <v>205</v>
      </c>
      <c r="B460" s="6" t="s">
        <v>15</v>
      </c>
      <c r="C460" s="7">
        <v>151520</v>
      </c>
      <c r="D460" s="8">
        <v>137528.4</v>
      </c>
      <c r="E460" s="9" t="s">
        <v>16</v>
      </c>
      <c r="F460" s="23">
        <v>208</v>
      </c>
      <c r="G460" s="25"/>
      <c r="H460" s="14">
        <f t="shared" si="264"/>
        <v>0.55000000000000004</v>
      </c>
      <c r="I460" s="25">
        <f ca="1">IFERROR(__xludf.DUMMYFUNCTION("ROUND(D460*GOOGLEFINANCE(""RUBKZT"")*H460)"),590263)</f>
        <v>590263</v>
      </c>
      <c r="J460" s="26">
        <f ca="1">IFERROR(__xludf.DUMMYFUNCTION("ROUND(I460*GOOGLEFINANCE(""KZTEUR""))"),1236)</f>
        <v>1236</v>
      </c>
      <c r="K460" s="26">
        <f t="shared" ca="1" si="265"/>
        <v>5942</v>
      </c>
      <c r="L460" s="26">
        <f t="shared" ca="1" si="266"/>
        <v>1128.98</v>
      </c>
      <c r="M460" s="26">
        <f t="shared" ref="M460:N460" si="470">M$3</f>
        <v>500</v>
      </c>
      <c r="N460" s="26">
        <f t="shared" si="470"/>
        <v>500</v>
      </c>
      <c r="O460" s="26">
        <f ca="1">IFERROR(__xludf.DUMMYFUNCTION("ROUND(GOOGLEFINANCE(""Currency:EURKZT"")*K460)"),2837719)</f>
        <v>2837719</v>
      </c>
      <c r="P460" s="26">
        <f ca="1">IFERROR(__xludf.DUMMYFUNCTION("ROUND(GOOGLEFINANCE(""Currency:EURKZT"")*M460)"),238785)</f>
        <v>238785</v>
      </c>
      <c r="Q460" s="26">
        <f ca="1">IFERROR(__xludf.DUMMYFUNCTION("ROUND(GOOGLEFINANCE(""Currency:EURKZT"")*N460)"),238785)</f>
        <v>238785</v>
      </c>
      <c r="R460" s="26">
        <f t="shared" ca="1" si="268"/>
        <v>340526</v>
      </c>
      <c r="S460" s="26">
        <f t="shared" ca="1" si="269"/>
        <v>3655815</v>
      </c>
      <c r="T460" s="26">
        <f ca="1">IFERROR(__xludf.DUMMYFUNCTION("ROUND(GOOGLEFINANCE(""Currency:EURKZT"")*L460+S460)"),4194982)</f>
        <v>4194982</v>
      </c>
      <c r="U460" s="26">
        <f ca="1">IFERROR(__xludf.DUMMYFUNCTION("D460*GOOGLEFINANCE(""RUBKZT"")*1000/F460"),5159644.28941825)</f>
        <v>5159644.2894182503</v>
      </c>
      <c r="V460" s="27">
        <f t="shared" ca="1" si="270"/>
        <v>0.22995624043637145</v>
      </c>
    </row>
    <row r="461" spans="1:22" ht="12.75" customHeight="1" x14ac:dyDescent="0.2">
      <c r="A461" s="6" t="s">
        <v>207</v>
      </c>
      <c r="B461" s="6" t="s">
        <v>15</v>
      </c>
      <c r="C461" s="7">
        <v>154212</v>
      </c>
      <c r="D461" s="8">
        <v>129225.59999999999</v>
      </c>
      <c r="E461" s="9" t="s">
        <v>16</v>
      </c>
      <c r="F461" s="23">
        <v>208</v>
      </c>
      <c r="G461" s="25"/>
      <c r="H461" s="14">
        <f t="shared" si="264"/>
        <v>0.55000000000000004</v>
      </c>
      <c r="I461" s="25">
        <f ca="1">IFERROR(__xludf.DUMMYFUNCTION("ROUND(D461*GOOGLEFINANCE(""RUBKZT"")*H461)"),554628)</f>
        <v>554628</v>
      </c>
      <c r="J461" s="26">
        <f ca="1">IFERROR(__xludf.DUMMYFUNCTION("ROUND(I461*GOOGLEFINANCE(""KZTEUR""))"),1162)</f>
        <v>1162</v>
      </c>
      <c r="K461" s="26">
        <f t="shared" ca="1" si="265"/>
        <v>5587</v>
      </c>
      <c r="L461" s="26">
        <f t="shared" ca="1" si="266"/>
        <v>1061.53</v>
      </c>
      <c r="M461" s="26">
        <f t="shared" ref="M461:N461" si="471">M$3</f>
        <v>500</v>
      </c>
      <c r="N461" s="26">
        <f t="shared" si="471"/>
        <v>500</v>
      </c>
      <c r="O461" s="26">
        <f ca="1">IFERROR(__xludf.DUMMYFUNCTION("ROUND(GOOGLEFINANCE(""Currency:EURKZT"")*K461)"),2668181)</f>
        <v>2668181</v>
      </c>
      <c r="P461" s="26">
        <f ca="1">IFERROR(__xludf.DUMMYFUNCTION("ROUND(GOOGLEFINANCE(""Currency:EURKZT"")*M461)"),238785)</f>
        <v>238785</v>
      </c>
      <c r="Q461" s="26">
        <f ca="1">IFERROR(__xludf.DUMMYFUNCTION("ROUND(GOOGLEFINANCE(""Currency:EURKZT"")*N461)"),238785)</f>
        <v>238785</v>
      </c>
      <c r="R461" s="26">
        <f t="shared" ca="1" si="268"/>
        <v>320182</v>
      </c>
      <c r="S461" s="26">
        <f t="shared" ca="1" si="269"/>
        <v>3465933</v>
      </c>
      <c r="T461" s="26">
        <f ca="1">IFERROR(__xludf.DUMMYFUNCTION("ROUND(GOOGLEFINANCE(""Currency:EURKZT"")*L461+S461)"),3972887)</f>
        <v>3972887</v>
      </c>
      <c r="U461" s="26">
        <f ca="1">IFERROR(__xludf.DUMMYFUNCTION("D461*GOOGLEFINANCE(""RUBKZT"")*1000/F461"),4848148.66665101)</f>
        <v>4848148.6666510096</v>
      </c>
      <c r="V461" s="27">
        <f t="shared" ca="1" si="270"/>
        <v>0.22030872427305623</v>
      </c>
    </row>
    <row r="462" spans="1:22" ht="12.75" customHeight="1" x14ac:dyDescent="0.2">
      <c r="A462" s="6" t="s">
        <v>208</v>
      </c>
      <c r="B462" s="6" t="s">
        <v>15</v>
      </c>
      <c r="C462" s="7">
        <v>154240</v>
      </c>
      <c r="D462" s="8">
        <v>84028.800000000003</v>
      </c>
      <c r="E462" s="9" t="s">
        <v>16</v>
      </c>
      <c r="F462" s="23">
        <v>208</v>
      </c>
      <c r="G462" s="25"/>
      <c r="H462" s="14">
        <f t="shared" si="264"/>
        <v>0.55000000000000004</v>
      </c>
      <c r="I462" s="25">
        <f ca="1">IFERROR(__xludf.DUMMYFUNCTION("ROUND(D462*GOOGLEFINANCE(""RUBKZT"")*H462)"),360646)</f>
        <v>360646</v>
      </c>
      <c r="J462" s="26">
        <f ca="1">IFERROR(__xludf.DUMMYFUNCTION("ROUND(I462*GOOGLEFINANCE(""KZTEUR""))"),755)</f>
        <v>755</v>
      </c>
      <c r="K462" s="26">
        <f t="shared" ca="1" si="265"/>
        <v>3630</v>
      </c>
      <c r="L462" s="26">
        <f t="shared" ca="1" si="266"/>
        <v>689.7</v>
      </c>
      <c r="M462" s="26">
        <f t="shared" ref="M462:N462" si="472">M$3</f>
        <v>500</v>
      </c>
      <c r="N462" s="26">
        <f t="shared" si="472"/>
        <v>500</v>
      </c>
      <c r="O462" s="26">
        <f ca="1">IFERROR(__xludf.DUMMYFUNCTION("ROUND(GOOGLEFINANCE(""Currency:EURKZT"")*K462)"),1733578)</f>
        <v>1733578</v>
      </c>
      <c r="P462" s="26">
        <f ca="1">IFERROR(__xludf.DUMMYFUNCTION("ROUND(GOOGLEFINANCE(""Currency:EURKZT"")*M462)"),238785)</f>
        <v>238785</v>
      </c>
      <c r="Q462" s="26">
        <f ca="1">IFERROR(__xludf.DUMMYFUNCTION("ROUND(GOOGLEFINANCE(""Currency:EURKZT"")*N462)"),238785)</f>
        <v>238785</v>
      </c>
      <c r="R462" s="26">
        <f t="shared" ca="1" si="268"/>
        <v>208029</v>
      </c>
      <c r="S462" s="26">
        <f t="shared" ca="1" si="269"/>
        <v>2419177</v>
      </c>
      <c r="T462" s="26">
        <f ca="1">IFERROR(__xludf.DUMMYFUNCTION("ROUND(GOOGLEFINANCE(""Currency:EURKZT"")*L462+S462)"),2748557)</f>
        <v>2748557</v>
      </c>
      <c r="U462" s="26">
        <f ca="1">IFERROR(__xludf.DUMMYFUNCTION("D462*GOOGLEFINANCE(""RUBKZT"")*1000/F462"),3152503.17801027)</f>
        <v>3152503.17801027</v>
      </c>
      <c r="V462" s="27">
        <f t="shared" ca="1" si="270"/>
        <v>0.14696663667890825</v>
      </c>
    </row>
    <row r="463" spans="1:22" ht="12.75" customHeight="1" x14ac:dyDescent="0.2">
      <c r="A463" s="6" t="s">
        <v>209</v>
      </c>
      <c r="B463" s="6" t="s">
        <v>15</v>
      </c>
      <c r="C463" s="7">
        <v>154940</v>
      </c>
      <c r="D463" s="8">
        <v>162878.39999999999</v>
      </c>
      <c r="E463" s="9" t="s">
        <v>16</v>
      </c>
      <c r="F463" s="23">
        <v>208</v>
      </c>
      <c r="G463" s="25"/>
      <c r="H463" s="14">
        <f t="shared" si="264"/>
        <v>0.55000000000000004</v>
      </c>
      <c r="I463" s="25">
        <f ca="1">IFERROR(__xludf.DUMMYFUNCTION("ROUND(D463*GOOGLEFINANCE(""RUBKZT"")*H463)"),699064)</f>
        <v>699064</v>
      </c>
      <c r="J463" s="26">
        <f ca="1">IFERROR(__xludf.DUMMYFUNCTION("ROUND(I463*GOOGLEFINANCE(""KZTEUR""))"),1464)</f>
        <v>1464</v>
      </c>
      <c r="K463" s="26">
        <f t="shared" ca="1" si="265"/>
        <v>7038</v>
      </c>
      <c r="L463" s="26">
        <f t="shared" ca="1" si="266"/>
        <v>1337.22</v>
      </c>
      <c r="M463" s="26">
        <f t="shared" ref="M463:N463" si="473">M$3</f>
        <v>500</v>
      </c>
      <c r="N463" s="26">
        <f t="shared" si="473"/>
        <v>500</v>
      </c>
      <c r="O463" s="26">
        <f ca="1">IFERROR(__xludf.DUMMYFUNCTION("ROUND(GOOGLEFINANCE(""Currency:EURKZT"")*K463)"),3361135)</f>
        <v>3361135</v>
      </c>
      <c r="P463" s="26">
        <f ca="1">IFERROR(__xludf.DUMMYFUNCTION("ROUND(GOOGLEFINANCE(""Currency:EURKZT"")*M463)"),238785)</f>
        <v>238785</v>
      </c>
      <c r="Q463" s="26">
        <f ca="1">IFERROR(__xludf.DUMMYFUNCTION("ROUND(GOOGLEFINANCE(""Currency:EURKZT"")*N463)"),238785)</f>
        <v>238785</v>
      </c>
      <c r="R463" s="26">
        <f t="shared" ca="1" si="268"/>
        <v>403336</v>
      </c>
      <c r="S463" s="26">
        <f t="shared" ca="1" si="269"/>
        <v>4242041</v>
      </c>
      <c r="T463" s="26">
        <f ca="1">IFERROR(__xludf.DUMMYFUNCTION("ROUND(GOOGLEFINANCE(""Currency:EURKZT"")*L463+S463)"),4880657)</f>
        <v>4880657</v>
      </c>
      <c r="U463" s="26">
        <f ca="1">IFERROR(__xludf.DUMMYFUNCTION("D463*GOOGLEFINANCE(""RUBKZT"")*1000/F463"),6110698.63700575)</f>
        <v>6110698.6370057501</v>
      </c>
      <c r="V463" s="27">
        <f t="shared" ca="1" si="270"/>
        <v>0.25202378225016636</v>
      </c>
    </row>
    <row r="464" spans="1:22" ht="12.75" customHeight="1" x14ac:dyDescent="0.2">
      <c r="A464" s="6" t="s">
        <v>210</v>
      </c>
      <c r="B464" s="6" t="s">
        <v>15</v>
      </c>
      <c r="C464" s="7">
        <v>154941</v>
      </c>
      <c r="D464" s="8">
        <v>173186.4</v>
      </c>
      <c r="E464" s="9" t="s">
        <v>16</v>
      </c>
      <c r="F464" s="23">
        <v>208</v>
      </c>
      <c r="G464" s="25"/>
      <c r="H464" s="14">
        <f t="shared" si="264"/>
        <v>0.55000000000000004</v>
      </c>
      <c r="I464" s="25">
        <f ca="1">IFERROR(__xludf.DUMMYFUNCTION("ROUND(D464*GOOGLEFINANCE(""RUBKZT"")*H464)"),743305)</f>
        <v>743305</v>
      </c>
      <c r="J464" s="26">
        <f ca="1">IFERROR(__xludf.DUMMYFUNCTION("ROUND(I464*GOOGLEFINANCE(""KZTEUR""))"),1557)</f>
        <v>1557</v>
      </c>
      <c r="K464" s="26">
        <f t="shared" ca="1" si="265"/>
        <v>7486</v>
      </c>
      <c r="L464" s="26">
        <f t="shared" ca="1" si="266"/>
        <v>1422.34</v>
      </c>
      <c r="M464" s="26">
        <f t="shared" ref="M464:N464" si="474">M$3</f>
        <v>500</v>
      </c>
      <c r="N464" s="26">
        <f t="shared" si="474"/>
        <v>500</v>
      </c>
      <c r="O464" s="26">
        <f ca="1">IFERROR(__xludf.DUMMYFUNCTION("ROUND(GOOGLEFINANCE(""Currency:EURKZT"")*K464)"),3575086)</f>
        <v>3575086</v>
      </c>
      <c r="P464" s="26">
        <f ca="1">IFERROR(__xludf.DUMMYFUNCTION("ROUND(GOOGLEFINANCE(""Currency:EURKZT"")*M464)"),238785)</f>
        <v>238785</v>
      </c>
      <c r="Q464" s="26">
        <f ca="1">IFERROR(__xludf.DUMMYFUNCTION("ROUND(GOOGLEFINANCE(""Currency:EURKZT"")*N464)"),238785)</f>
        <v>238785</v>
      </c>
      <c r="R464" s="26">
        <f t="shared" ca="1" si="268"/>
        <v>429010</v>
      </c>
      <c r="S464" s="26">
        <f t="shared" ca="1" si="269"/>
        <v>4481666</v>
      </c>
      <c r="T464" s="26">
        <f ca="1">IFERROR(__xludf.DUMMYFUNCTION("ROUND(GOOGLEFINANCE(""Currency:EURKZT"")*L464+S464)"),5160932)</f>
        <v>5160932</v>
      </c>
      <c r="U464" s="26">
        <f ca="1">IFERROR(__xludf.DUMMYFUNCTION("D464*GOOGLEFINANCE(""RUBKZT"")*1000/F464"),6497423.22142121)</f>
        <v>6497423.2214212101</v>
      </c>
      <c r="V464" s="27">
        <f t="shared" ca="1" si="270"/>
        <v>0.25896315266723335</v>
      </c>
    </row>
    <row r="465" spans="1:22" ht="12.75" customHeight="1" x14ac:dyDescent="0.2">
      <c r="A465" s="6" t="s">
        <v>212</v>
      </c>
      <c r="B465" s="6" t="s">
        <v>15</v>
      </c>
      <c r="C465" s="7">
        <v>156106</v>
      </c>
      <c r="D465" s="8">
        <v>115778.4</v>
      </c>
      <c r="E465" s="9" t="s">
        <v>16</v>
      </c>
      <c r="F465" s="23">
        <v>208</v>
      </c>
      <c r="G465" s="25"/>
      <c r="H465" s="14">
        <f t="shared" si="264"/>
        <v>0.55000000000000004</v>
      </c>
      <c r="I465" s="25">
        <f ca="1">IFERROR(__xludf.DUMMYFUNCTION("ROUND(D465*GOOGLEFINANCE(""RUBKZT"")*H465)"),496914)</f>
        <v>496914</v>
      </c>
      <c r="J465" s="26">
        <f ca="1">IFERROR(__xludf.DUMMYFUNCTION("ROUND(I465*GOOGLEFINANCE(""KZTEUR""))"),1041)</f>
        <v>1041</v>
      </c>
      <c r="K465" s="26">
        <f t="shared" ca="1" si="265"/>
        <v>5005</v>
      </c>
      <c r="L465" s="26">
        <f t="shared" ca="1" si="266"/>
        <v>950.95</v>
      </c>
      <c r="M465" s="26">
        <f t="shared" ref="M465:N465" si="475">M$3</f>
        <v>500</v>
      </c>
      <c r="N465" s="26">
        <f t="shared" si="475"/>
        <v>500</v>
      </c>
      <c r="O465" s="26">
        <f ca="1">IFERROR(__xludf.DUMMYFUNCTION("ROUND(GOOGLEFINANCE(""Currency:EURKZT"")*K465)"),2390236)</f>
        <v>2390236</v>
      </c>
      <c r="P465" s="26">
        <f ca="1">IFERROR(__xludf.DUMMYFUNCTION("ROUND(GOOGLEFINANCE(""Currency:EURKZT"")*M465)"),238785)</f>
        <v>238785</v>
      </c>
      <c r="Q465" s="26">
        <f ca="1">IFERROR(__xludf.DUMMYFUNCTION("ROUND(GOOGLEFINANCE(""Currency:EURKZT"")*N465)"),238785)</f>
        <v>238785</v>
      </c>
      <c r="R465" s="26">
        <f t="shared" ca="1" si="268"/>
        <v>286828</v>
      </c>
      <c r="S465" s="26">
        <f t="shared" ca="1" si="269"/>
        <v>3154634</v>
      </c>
      <c r="T465" s="26">
        <f ca="1">IFERROR(__xludf.DUMMYFUNCTION("ROUND(GOOGLEFINANCE(""Currency:EURKZT"")*L465+S465)"),3608779)</f>
        <v>3608779</v>
      </c>
      <c r="U465" s="26">
        <f ca="1">IFERROR(__xludf.DUMMYFUNCTION("D465*GOOGLEFINANCE(""RUBKZT"")*1000/F465"),4343650.91426921)</f>
        <v>4343650.9142692098</v>
      </c>
      <c r="V465" s="27">
        <f t="shared" ca="1" si="270"/>
        <v>0.20363450193797122</v>
      </c>
    </row>
    <row r="466" spans="1:22" ht="12.75" customHeight="1" x14ac:dyDescent="0.2">
      <c r="A466" s="6" t="s">
        <v>119</v>
      </c>
      <c r="B466" s="6" t="s">
        <v>15</v>
      </c>
      <c r="C466" s="7">
        <v>156216</v>
      </c>
      <c r="D466" s="8">
        <v>345040.8</v>
      </c>
      <c r="E466" s="9" t="s">
        <v>16</v>
      </c>
      <c r="F466" s="23">
        <v>208</v>
      </c>
      <c r="G466" s="25"/>
      <c r="H466" s="14">
        <f t="shared" si="264"/>
        <v>0.55000000000000004</v>
      </c>
      <c r="I466" s="25">
        <f ca="1">IFERROR(__xludf.DUMMYFUNCTION("ROUND(D466*GOOGLEFINANCE(""RUBKZT"")*H466)"),1480894)</f>
        <v>1480894</v>
      </c>
      <c r="J466" s="26">
        <f ca="1">IFERROR(__xludf.DUMMYFUNCTION("ROUND(I466*GOOGLEFINANCE(""KZTEUR""))"),3101)</f>
        <v>3101</v>
      </c>
      <c r="K466" s="26">
        <f t="shared" ca="1" si="265"/>
        <v>14909</v>
      </c>
      <c r="L466" s="26">
        <f t="shared" ca="1" si="266"/>
        <v>2832.71</v>
      </c>
      <c r="M466" s="26">
        <f t="shared" ref="M466:N466" si="476">M$3</f>
        <v>500</v>
      </c>
      <c r="N466" s="26">
        <f t="shared" si="476"/>
        <v>500</v>
      </c>
      <c r="O466" s="26">
        <f ca="1">IFERROR(__xludf.DUMMYFUNCTION("ROUND(GOOGLEFINANCE(""Currency:EURKZT"")*K466)"),7120085)</f>
        <v>7120085</v>
      </c>
      <c r="P466" s="26">
        <f ca="1">IFERROR(__xludf.DUMMYFUNCTION("ROUND(GOOGLEFINANCE(""Currency:EURKZT"")*M466)"),238785)</f>
        <v>238785</v>
      </c>
      <c r="Q466" s="26">
        <f ca="1">IFERROR(__xludf.DUMMYFUNCTION("ROUND(GOOGLEFINANCE(""Currency:EURKZT"")*N466)"),238785)</f>
        <v>238785</v>
      </c>
      <c r="R466" s="26">
        <f t="shared" ca="1" si="268"/>
        <v>854410</v>
      </c>
      <c r="S466" s="26">
        <f t="shared" ca="1" si="269"/>
        <v>8452065</v>
      </c>
      <c r="T466" s="26">
        <f ca="1">IFERROR(__xludf.DUMMYFUNCTION("ROUND(GOOGLEFINANCE(""Currency:EURKZT"")*L466+S466)"),9804881)</f>
        <v>9804881</v>
      </c>
      <c r="U466" s="26">
        <f ca="1">IFERROR(__xludf.DUMMYFUNCTION("D466*GOOGLEFINANCE(""RUBKZT"")*1000/F466"),12944873.8830402)</f>
        <v>12944873.883040201</v>
      </c>
      <c r="V466" s="27">
        <f t="shared" ca="1" si="270"/>
        <v>0.32024793396678664</v>
      </c>
    </row>
    <row r="467" spans="1:22" ht="12.75" customHeight="1" x14ac:dyDescent="0.2">
      <c r="A467" s="6" t="s">
        <v>214</v>
      </c>
      <c r="B467" s="6" t="s">
        <v>15</v>
      </c>
      <c r="C467" s="7">
        <v>156340</v>
      </c>
      <c r="D467" s="8">
        <v>130527.59999999999</v>
      </c>
      <c r="E467" s="9" t="s">
        <v>16</v>
      </c>
      <c r="F467" s="23">
        <v>208</v>
      </c>
      <c r="G467" s="25"/>
      <c r="H467" s="14">
        <f t="shared" si="264"/>
        <v>0.55000000000000004</v>
      </c>
      <c r="I467" s="25">
        <f ca="1">IFERROR(__xludf.DUMMYFUNCTION("ROUND(D467*GOOGLEFINANCE(""RUBKZT"")*H467)"),560216)</f>
        <v>560216</v>
      </c>
      <c r="J467" s="26">
        <f ca="1">IFERROR(__xludf.DUMMYFUNCTION("ROUND(I467*GOOGLEFINANCE(""KZTEUR""))"),1173)</f>
        <v>1173</v>
      </c>
      <c r="K467" s="26">
        <f t="shared" ca="1" si="265"/>
        <v>5639</v>
      </c>
      <c r="L467" s="26">
        <f t="shared" ca="1" si="266"/>
        <v>1071.4100000000001</v>
      </c>
      <c r="M467" s="26">
        <f t="shared" ref="M467:N467" si="477">M$3</f>
        <v>500</v>
      </c>
      <c r="N467" s="26">
        <f t="shared" si="477"/>
        <v>500</v>
      </c>
      <c r="O467" s="26">
        <f ca="1">IFERROR(__xludf.DUMMYFUNCTION("ROUND(GOOGLEFINANCE(""Currency:EURKZT"")*K467)"),2693015)</f>
        <v>2693015</v>
      </c>
      <c r="P467" s="26">
        <f ca="1">IFERROR(__xludf.DUMMYFUNCTION("ROUND(GOOGLEFINANCE(""Currency:EURKZT"")*M467)"),238785)</f>
        <v>238785</v>
      </c>
      <c r="Q467" s="26">
        <f ca="1">IFERROR(__xludf.DUMMYFUNCTION("ROUND(GOOGLEFINANCE(""Currency:EURKZT"")*N467)"),238785)</f>
        <v>238785</v>
      </c>
      <c r="R467" s="26">
        <f t="shared" ca="1" si="268"/>
        <v>323162</v>
      </c>
      <c r="S467" s="26">
        <f t="shared" ca="1" si="269"/>
        <v>3493747</v>
      </c>
      <c r="T467" s="26">
        <f ca="1">IFERROR(__xludf.DUMMYFUNCTION("ROUND(GOOGLEFINANCE(""Currency:EURKZT"")*L467+S467)"),4005420)</f>
        <v>4005420</v>
      </c>
      <c r="U467" s="26">
        <f ca="1">IFERROR(__xludf.DUMMYFUNCTION("D467*GOOGLEFINANCE(""RUBKZT"")*1000/F467"),4896995.71834959)</f>
        <v>4896995.71834959</v>
      </c>
      <c r="V467" s="27">
        <f t="shared" ca="1" si="270"/>
        <v>0.22259231699786539</v>
      </c>
    </row>
    <row r="468" spans="1:22" ht="12.75" customHeight="1" x14ac:dyDescent="0.2">
      <c r="A468" s="6" t="s">
        <v>216</v>
      </c>
      <c r="B468" s="6" t="s">
        <v>15</v>
      </c>
      <c r="C468" s="7">
        <v>156692</v>
      </c>
      <c r="D468" s="8">
        <v>72150</v>
      </c>
      <c r="E468" s="9" t="s">
        <v>16</v>
      </c>
      <c r="F468" s="23">
        <v>208</v>
      </c>
      <c r="G468" s="25"/>
      <c r="H468" s="14">
        <f t="shared" si="264"/>
        <v>0.55000000000000004</v>
      </c>
      <c r="I468" s="25">
        <f ca="1">IFERROR(__xludf.DUMMYFUNCTION("ROUND(D468*GOOGLEFINANCE(""RUBKZT"")*H468)"),309663)</f>
        <v>309663</v>
      </c>
      <c r="J468" s="26">
        <f ca="1">IFERROR(__xludf.DUMMYFUNCTION("ROUND(I468*GOOGLEFINANCE(""KZTEUR""))"),649)</f>
        <v>649</v>
      </c>
      <c r="K468" s="26">
        <f t="shared" ca="1" si="265"/>
        <v>3120</v>
      </c>
      <c r="L468" s="26">
        <f t="shared" ca="1" si="266"/>
        <v>592.79999999999995</v>
      </c>
      <c r="M468" s="26">
        <f t="shared" ref="M468:N468" si="478">M$3</f>
        <v>500</v>
      </c>
      <c r="N468" s="26">
        <f t="shared" si="478"/>
        <v>500</v>
      </c>
      <c r="O468" s="26">
        <f ca="1">IFERROR(__xludf.DUMMYFUNCTION("ROUND(GOOGLEFINANCE(""Currency:EURKZT"")*K468)"),1490017)</f>
        <v>1490017</v>
      </c>
      <c r="P468" s="26">
        <f ca="1">IFERROR(__xludf.DUMMYFUNCTION("ROUND(GOOGLEFINANCE(""Currency:EURKZT"")*M468)"),238785)</f>
        <v>238785</v>
      </c>
      <c r="Q468" s="26">
        <f ca="1">IFERROR(__xludf.DUMMYFUNCTION("ROUND(GOOGLEFINANCE(""Currency:EURKZT"")*N468)"),238785)</f>
        <v>238785</v>
      </c>
      <c r="R468" s="26">
        <f t="shared" ca="1" si="268"/>
        <v>178802</v>
      </c>
      <c r="S468" s="26">
        <f t="shared" ca="1" si="269"/>
        <v>2146389</v>
      </c>
      <c r="T468" s="26">
        <f ca="1">IFERROR(__xludf.DUMMYFUNCTION("ROUND(GOOGLEFINANCE(""Currency:EURKZT"")*L468+S468)"),2429492)</f>
        <v>2429492</v>
      </c>
      <c r="U468" s="26">
        <f ca="1">IFERROR(__xludf.DUMMYFUNCTION("D468*GOOGLEFINANCE(""RUBKZT"")*1000/F468"),2706846.9892875)</f>
        <v>2706846.9892874998</v>
      </c>
      <c r="V468" s="27">
        <f t="shared" ca="1" si="270"/>
        <v>0.11416172158109589</v>
      </c>
    </row>
    <row r="469" spans="1:22" ht="12.75" customHeight="1" x14ac:dyDescent="0.2">
      <c r="A469" s="6" t="s">
        <v>217</v>
      </c>
      <c r="B469" s="6" t="s">
        <v>15</v>
      </c>
      <c r="C469" s="7">
        <v>156713</v>
      </c>
      <c r="D469" s="8">
        <v>117476.4</v>
      </c>
      <c r="E469" s="9" t="s">
        <v>16</v>
      </c>
      <c r="F469" s="23">
        <v>208</v>
      </c>
      <c r="G469" s="25"/>
      <c r="H469" s="14">
        <f t="shared" si="264"/>
        <v>0.55000000000000004</v>
      </c>
      <c r="I469" s="25">
        <f ca="1">IFERROR(__xludf.DUMMYFUNCTION("ROUND(D469*GOOGLEFINANCE(""RUBKZT"")*H469)"),504201)</f>
        <v>504201</v>
      </c>
      <c r="J469" s="26">
        <f ca="1">IFERROR(__xludf.DUMMYFUNCTION("ROUND(I469*GOOGLEFINANCE(""KZTEUR""))"),1056)</f>
        <v>1056</v>
      </c>
      <c r="K469" s="26">
        <f t="shared" ca="1" si="265"/>
        <v>5077</v>
      </c>
      <c r="L469" s="26">
        <f t="shared" ca="1" si="266"/>
        <v>964.63</v>
      </c>
      <c r="M469" s="26">
        <f t="shared" ref="M469:N469" si="479">M$3</f>
        <v>500</v>
      </c>
      <c r="N469" s="26">
        <f t="shared" si="479"/>
        <v>500</v>
      </c>
      <c r="O469" s="26">
        <f ca="1">IFERROR(__xludf.DUMMYFUNCTION("ROUND(GOOGLEFINANCE(""Currency:EURKZT"")*K469)"),2424621)</f>
        <v>2424621</v>
      </c>
      <c r="P469" s="26">
        <f ca="1">IFERROR(__xludf.DUMMYFUNCTION("ROUND(GOOGLEFINANCE(""Currency:EURKZT"")*M469)"),238785)</f>
        <v>238785</v>
      </c>
      <c r="Q469" s="26">
        <f ca="1">IFERROR(__xludf.DUMMYFUNCTION("ROUND(GOOGLEFINANCE(""Currency:EURKZT"")*N469)"),238785)</f>
        <v>238785</v>
      </c>
      <c r="R469" s="26">
        <f t="shared" ca="1" si="268"/>
        <v>290955</v>
      </c>
      <c r="S469" s="26">
        <f t="shared" ca="1" si="269"/>
        <v>3193146</v>
      </c>
      <c r="T469" s="26">
        <f ca="1">IFERROR(__xludf.DUMMYFUNCTION("ROUND(GOOGLEFINANCE(""Currency:EURKZT"")*L469+S469)"),3653824)</f>
        <v>3653824</v>
      </c>
      <c r="U469" s="26">
        <f ca="1">IFERROR(__xludf.DUMMYFUNCTION("D469*GOOGLEFINANCE(""RUBKZT"")*1000/F469"),4407354.67293602)</f>
        <v>4407354.6729360204</v>
      </c>
      <c r="V469" s="27">
        <f t="shared" ca="1" si="270"/>
        <v>0.20623069773914135</v>
      </c>
    </row>
    <row r="470" spans="1:22" ht="12.75" customHeight="1" x14ac:dyDescent="0.2">
      <c r="A470" s="6" t="s">
        <v>12</v>
      </c>
      <c r="B470" s="6" t="s">
        <v>15</v>
      </c>
      <c r="C470" s="7">
        <v>156933</v>
      </c>
      <c r="D470" s="8">
        <v>105993.59999999999</v>
      </c>
      <c r="E470" s="9" t="s">
        <v>7</v>
      </c>
      <c r="F470" s="23">
        <v>208</v>
      </c>
      <c r="G470" s="25"/>
      <c r="H470" s="14">
        <f t="shared" si="264"/>
        <v>0.55000000000000004</v>
      </c>
      <c r="I470" s="25">
        <f ca="1">IFERROR(__xludf.DUMMYFUNCTION("ROUND(D470*GOOGLEFINANCE(""RUBKZT"")*H470)"),454918)</f>
        <v>454918</v>
      </c>
      <c r="J470" s="26">
        <f ca="1">IFERROR(__xludf.DUMMYFUNCTION("ROUND(I470*GOOGLEFINANCE(""KZTEUR""))"),953)</f>
        <v>953</v>
      </c>
      <c r="K470" s="26">
        <f t="shared" ca="1" si="265"/>
        <v>4582</v>
      </c>
      <c r="L470" s="26">
        <f t="shared" ca="1" si="266"/>
        <v>870.58</v>
      </c>
      <c r="M470" s="26">
        <f t="shared" ref="M470:N470" si="480">M$3</f>
        <v>500</v>
      </c>
      <c r="N470" s="26">
        <f t="shared" si="480"/>
        <v>500</v>
      </c>
      <c r="O470" s="26">
        <f ca="1">IFERROR(__xludf.DUMMYFUNCTION("ROUND(GOOGLEFINANCE(""Currency:EURKZT"")*K470)"),2188224)</f>
        <v>2188224</v>
      </c>
      <c r="P470" s="26">
        <f ca="1">IFERROR(__xludf.DUMMYFUNCTION("ROUND(GOOGLEFINANCE(""Currency:EURKZT"")*M470)"),238785)</f>
        <v>238785</v>
      </c>
      <c r="Q470" s="26">
        <f ca="1">IFERROR(__xludf.DUMMYFUNCTION("ROUND(GOOGLEFINANCE(""Currency:EURKZT"")*N470)"),238785)</f>
        <v>238785</v>
      </c>
      <c r="R470" s="26">
        <f t="shared" ca="1" si="268"/>
        <v>262587</v>
      </c>
      <c r="S470" s="26">
        <f t="shared" ca="1" si="269"/>
        <v>2928381</v>
      </c>
      <c r="T470" s="26">
        <f ca="1">IFERROR(__xludf.DUMMYFUNCTION("ROUND(GOOGLEFINANCE(""Currency:EURKZT"")*L470+S470)"),3344144)</f>
        <v>3344144</v>
      </c>
      <c r="U470" s="26">
        <f ca="1">IFERROR(__xludf.DUMMYFUNCTION("D470*GOOGLEFINANCE(""RUBKZT"")*1000/F470"),3976555.19118147)</f>
        <v>3976555.1911814702</v>
      </c>
      <c r="V470" s="27">
        <f t="shared" ca="1" si="270"/>
        <v>0.18911003568670193</v>
      </c>
    </row>
    <row r="471" spans="1:22" ht="12.75" customHeight="1" x14ac:dyDescent="0.2">
      <c r="A471" s="6" t="s">
        <v>218</v>
      </c>
      <c r="B471" s="6" t="s">
        <v>15</v>
      </c>
      <c r="C471" s="7">
        <v>156934</v>
      </c>
      <c r="D471" s="8">
        <v>95683.199999999997</v>
      </c>
      <c r="E471" s="9" t="s">
        <v>7</v>
      </c>
      <c r="F471" s="23">
        <v>208</v>
      </c>
      <c r="G471" s="25"/>
      <c r="H471" s="14">
        <f t="shared" si="264"/>
        <v>0.55000000000000004</v>
      </c>
      <c r="I471" s="25">
        <f ca="1">IFERROR(__xludf.DUMMYFUNCTION("ROUND(D471*GOOGLEFINANCE(""RUBKZT"")*H471)"),410666)</f>
        <v>410666</v>
      </c>
      <c r="J471" s="26">
        <f ca="1">IFERROR(__xludf.DUMMYFUNCTION("ROUND(I471*GOOGLEFINANCE(""KZTEUR""))"),860)</f>
        <v>860</v>
      </c>
      <c r="K471" s="26">
        <f t="shared" ca="1" si="265"/>
        <v>4135</v>
      </c>
      <c r="L471" s="26">
        <f t="shared" ca="1" si="266"/>
        <v>785.65</v>
      </c>
      <c r="M471" s="26">
        <f t="shared" ref="M471:N471" si="481">M$3</f>
        <v>500</v>
      </c>
      <c r="N471" s="26">
        <f t="shared" si="481"/>
        <v>500</v>
      </c>
      <c r="O471" s="26">
        <f ca="1">IFERROR(__xludf.DUMMYFUNCTION("ROUND(GOOGLEFINANCE(""Currency:EURKZT"")*K471)"),1974750)</f>
        <v>1974750</v>
      </c>
      <c r="P471" s="26">
        <f ca="1">IFERROR(__xludf.DUMMYFUNCTION("ROUND(GOOGLEFINANCE(""Currency:EURKZT"")*M471)"),238785)</f>
        <v>238785</v>
      </c>
      <c r="Q471" s="26">
        <f ca="1">IFERROR(__xludf.DUMMYFUNCTION("ROUND(GOOGLEFINANCE(""Currency:EURKZT"")*N471)"),238785)</f>
        <v>238785</v>
      </c>
      <c r="R471" s="26">
        <f t="shared" ca="1" si="268"/>
        <v>236970</v>
      </c>
      <c r="S471" s="26">
        <f t="shared" ca="1" si="269"/>
        <v>2689290</v>
      </c>
      <c r="T471" s="26">
        <f ca="1">IFERROR(__xludf.DUMMYFUNCTION("ROUND(GOOGLEFINANCE(""Currency:EURKZT"")*L471+S471)"),3064493)</f>
        <v>3064493</v>
      </c>
      <c r="U471" s="26">
        <f ca="1">IFERROR(__xludf.DUMMYFUNCTION("D471*GOOGLEFINANCE(""RUBKZT"")*1000/F471"),3589740.56611772)</f>
        <v>3589740.5661177202</v>
      </c>
      <c r="V471" s="27">
        <f t="shared" ca="1" si="270"/>
        <v>0.17139786780968996</v>
      </c>
    </row>
    <row r="472" spans="1:22" ht="12.75" customHeight="1" x14ac:dyDescent="0.2">
      <c r="A472" s="6" t="s">
        <v>150</v>
      </c>
      <c r="B472" s="6" t="s">
        <v>15</v>
      </c>
      <c r="C472" s="7">
        <v>156974</v>
      </c>
      <c r="D472" s="8">
        <v>88896</v>
      </c>
      <c r="E472" s="9" t="s">
        <v>7</v>
      </c>
      <c r="F472" s="23">
        <v>208</v>
      </c>
      <c r="G472" s="25"/>
      <c r="H472" s="14">
        <f t="shared" si="264"/>
        <v>0.55000000000000004</v>
      </c>
      <c r="I472" s="25">
        <f ca="1">IFERROR(__xludf.DUMMYFUNCTION("ROUND(D472*GOOGLEFINANCE(""RUBKZT"")*H472)"),381536)</f>
        <v>381536</v>
      </c>
      <c r="J472" s="26">
        <f ca="1">IFERROR(__xludf.DUMMYFUNCTION("ROUND(I472*GOOGLEFINANCE(""KZTEUR""))"),799)</f>
        <v>799</v>
      </c>
      <c r="K472" s="26">
        <f t="shared" ca="1" si="265"/>
        <v>3841</v>
      </c>
      <c r="L472" s="26">
        <f t="shared" ca="1" si="266"/>
        <v>729.79</v>
      </c>
      <c r="M472" s="26">
        <f t="shared" ref="M472:N472" si="482">M$3</f>
        <v>500</v>
      </c>
      <c r="N472" s="26">
        <f t="shared" si="482"/>
        <v>500</v>
      </c>
      <c r="O472" s="26">
        <f ca="1">IFERROR(__xludf.DUMMYFUNCTION("ROUND(GOOGLEFINANCE(""Currency:EURKZT"")*K472)"),1834345)</f>
        <v>1834345</v>
      </c>
      <c r="P472" s="26">
        <f ca="1">IFERROR(__xludf.DUMMYFUNCTION("ROUND(GOOGLEFINANCE(""Currency:EURKZT"")*M472)"),238785)</f>
        <v>238785</v>
      </c>
      <c r="Q472" s="26">
        <f ca="1">IFERROR(__xludf.DUMMYFUNCTION("ROUND(GOOGLEFINANCE(""Currency:EURKZT"")*N472)"),238785)</f>
        <v>238785</v>
      </c>
      <c r="R472" s="26">
        <f t="shared" ca="1" si="268"/>
        <v>220121</v>
      </c>
      <c r="S472" s="26">
        <f t="shared" ca="1" si="269"/>
        <v>2532036</v>
      </c>
      <c r="T472" s="26">
        <f ca="1">IFERROR(__xludf.DUMMYFUNCTION("ROUND(GOOGLEFINANCE(""Currency:EURKZT"")*L472+S472)"),2880562)</f>
        <v>2880562</v>
      </c>
      <c r="U472" s="26">
        <f ca="1">IFERROR(__xludf.DUMMYFUNCTION("D472*GOOGLEFINANCE(""RUBKZT"")*1000/F472"),3335105.61274707)</f>
        <v>3335105.6127470699</v>
      </c>
      <c r="V472" s="27">
        <f t="shared" ca="1" si="270"/>
        <v>0.15779685101277804</v>
      </c>
    </row>
    <row r="473" spans="1:22" ht="12.75" customHeight="1" x14ac:dyDescent="0.2">
      <c r="A473" s="6" t="s">
        <v>154</v>
      </c>
      <c r="B473" s="6" t="s">
        <v>15</v>
      </c>
      <c r="C473" s="7">
        <v>157002</v>
      </c>
      <c r="D473" s="8">
        <v>144338.4</v>
      </c>
      <c r="E473" s="9" t="s">
        <v>7</v>
      </c>
      <c r="F473" s="23">
        <v>208</v>
      </c>
      <c r="G473" s="25"/>
      <c r="H473" s="14">
        <f t="shared" si="264"/>
        <v>0.55000000000000004</v>
      </c>
      <c r="I473" s="25">
        <f ca="1">IFERROR(__xludf.DUMMYFUNCTION("ROUND(D473*GOOGLEFINANCE(""RUBKZT"")*H473)"),619491)</f>
        <v>619491</v>
      </c>
      <c r="J473" s="26">
        <f ca="1">IFERROR(__xludf.DUMMYFUNCTION("ROUND(I473*GOOGLEFINANCE(""KZTEUR""))"),1297)</f>
        <v>1297</v>
      </c>
      <c r="K473" s="26">
        <f t="shared" ca="1" si="265"/>
        <v>6236</v>
      </c>
      <c r="L473" s="26">
        <f t="shared" ca="1" si="266"/>
        <v>1184.8399999999999</v>
      </c>
      <c r="M473" s="26">
        <f t="shared" ref="M473:N473" si="483">M$3</f>
        <v>500</v>
      </c>
      <c r="N473" s="26">
        <f t="shared" si="483"/>
        <v>500</v>
      </c>
      <c r="O473" s="26">
        <f ca="1">IFERROR(__xludf.DUMMYFUNCTION("ROUND(GOOGLEFINANCE(""Currency:EURKZT"")*K473)"),2978124)</f>
        <v>2978124</v>
      </c>
      <c r="P473" s="26">
        <f ca="1">IFERROR(__xludf.DUMMYFUNCTION("ROUND(GOOGLEFINANCE(""Currency:EURKZT"")*M473)"),238785)</f>
        <v>238785</v>
      </c>
      <c r="Q473" s="26">
        <f ca="1">IFERROR(__xludf.DUMMYFUNCTION("ROUND(GOOGLEFINANCE(""Currency:EURKZT"")*N473)"),238785)</f>
        <v>238785</v>
      </c>
      <c r="R473" s="26">
        <f t="shared" ca="1" si="268"/>
        <v>357375</v>
      </c>
      <c r="S473" s="26">
        <f t="shared" ca="1" si="269"/>
        <v>3813069</v>
      </c>
      <c r="T473" s="26">
        <f ca="1">IFERROR(__xludf.DUMMYFUNCTION("ROUND(GOOGLEFINANCE(""Currency:EURKZT"")*L473+S473)"),4378913)</f>
        <v>4378913</v>
      </c>
      <c r="U473" s="26">
        <f ca="1">IFERROR(__xludf.DUMMYFUNCTION("D473*GOOGLEFINANCE(""RUBKZT"")*1000/F473"),5415134.62894767)</f>
        <v>5415134.6289476696</v>
      </c>
      <c r="V473" s="27">
        <f t="shared" ca="1" si="270"/>
        <v>0.23663900811632238</v>
      </c>
    </row>
    <row r="474" spans="1:22" ht="12.75" customHeight="1" x14ac:dyDescent="0.2">
      <c r="A474" s="6" t="s">
        <v>180</v>
      </c>
      <c r="B474" s="6" t="s">
        <v>15</v>
      </c>
      <c r="C474" s="7">
        <v>157042</v>
      </c>
      <c r="D474" s="8">
        <v>88204.800000000003</v>
      </c>
      <c r="E474" s="9" t="s">
        <v>7</v>
      </c>
      <c r="F474" s="23">
        <v>208</v>
      </c>
      <c r="G474" s="25"/>
      <c r="H474" s="14">
        <f t="shared" si="264"/>
        <v>0.55000000000000004</v>
      </c>
      <c r="I474" s="25">
        <f ca="1">IFERROR(__xludf.DUMMYFUNCTION("ROUND(D474*GOOGLEFINANCE(""RUBKZT"")*H474)"),378569)</f>
        <v>378569</v>
      </c>
      <c r="J474" s="26">
        <f ca="1">IFERROR(__xludf.DUMMYFUNCTION("ROUND(I474*GOOGLEFINANCE(""KZTEUR""))"),793)</f>
        <v>793</v>
      </c>
      <c r="K474" s="26">
        <f t="shared" ca="1" si="265"/>
        <v>3813</v>
      </c>
      <c r="L474" s="26">
        <f t="shared" ca="1" si="266"/>
        <v>724.47</v>
      </c>
      <c r="M474" s="26">
        <f t="shared" ref="M474:N474" si="484">M$3</f>
        <v>500</v>
      </c>
      <c r="N474" s="26">
        <f t="shared" si="484"/>
        <v>500</v>
      </c>
      <c r="O474" s="26">
        <f ca="1">IFERROR(__xludf.DUMMYFUNCTION("ROUND(GOOGLEFINANCE(""Currency:EURKZT"")*K474)"),1820973)</f>
        <v>1820973</v>
      </c>
      <c r="P474" s="26">
        <f ca="1">IFERROR(__xludf.DUMMYFUNCTION("ROUND(GOOGLEFINANCE(""Currency:EURKZT"")*M474)"),238785)</f>
        <v>238785</v>
      </c>
      <c r="Q474" s="26">
        <f ca="1">IFERROR(__xludf.DUMMYFUNCTION("ROUND(GOOGLEFINANCE(""Currency:EURKZT"")*N474)"),238785)</f>
        <v>238785</v>
      </c>
      <c r="R474" s="26">
        <f t="shared" ca="1" si="268"/>
        <v>218517</v>
      </c>
      <c r="S474" s="26">
        <f t="shared" ca="1" si="269"/>
        <v>2517060</v>
      </c>
      <c r="T474" s="26">
        <f ca="1">IFERROR(__xludf.DUMMYFUNCTION("ROUND(GOOGLEFINANCE(""Currency:EURKZT"")*L474+S474)"),2863045)</f>
        <v>2863045</v>
      </c>
      <c r="U474" s="26">
        <f ca="1">IFERROR(__xludf.DUMMYFUNCTION("D474*GOOGLEFINANCE(""RUBKZT"")*1000/F474"),3309173.90603889)</f>
        <v>3309173.9060388901</v>
      </c>
      <c r="V474" s="27">
        <f t="shared" ca="1" si="270"/>
        <v>0.15582322528597703</v>
      </c>
    </row>
    <row r="475" spans="1:22" ht="12.75" customHeight="1" x14ac:dyDescent="0.2">
      <c r="A475" s="6" t="s">
        <v>8</v>
      </c>
      <c r="B475" s="6" t="s">
        <v>15</v>
      </c>
      <c r="C475" s="7">
        <v>157080</v>
      </c>
      <c r="D475" s="8">
        <v>103466.4</v>
      </c>
      <c r="E475" s="9" t="s">
        <v>7</v>
      </c>
      <c r="F475" s="23">
        <v>208</v>
      </c>
      <c r="G475" s="25"/>
      <c r="H475" s="14">
        <f t="shared" si="264"/>
        <v>0.55000000000000004</v>
      </c>
      <c r="I475" s="25">
        <f ca="1">IFERROR(__xludf.DUMMYFUNCTION("ROUND(D475*GOOGLEFINANCE(""RUBKZT"")*H475)"),444071)</f>
        <v>444071</v>
      </c>
      <c r="J475" s="26">
        <f ca="1">IFERROR(__xludf.DUMMYFUNCTION("ROUND(I475*GOOGLEFINANCE(""KZTEUR""))"),930)</f>
        <v>930</v>
      </c>
      <c r="K475" s="26">
        <f t="shared" ca="1" si="265"/>
        <v>4471</v>
      </c>
      <c r="L475" s="26">
        <f t="shared" ca="1" si="266"/>
        <v>849.49</v>
      </c>
      <c r="M475" s="26">
        <f t="shared" ref="M475:N475" si="485">M$3</f>
        <v>500</v>
      </c>
      <c r="N475" s="26">
        <f t="shared" si="485"/>
        <v>500</v>
      </c>
      <c r="O475" s="26">
        <f ca="1">IFERROR(__xludf.DUMMYFUNCTION("ROUND(GOOGLEFINANCE(""Currency:EURKZT"")*K475)"),2135214)</f>
        <v>2135214</v>
      </c>
      <c r="P475" s="26">
        <f ca="1">IFERROR(__xludf.DUMMYFUNCTION("ROUND(GOOGLEFINANCE(""Currency:EURKZT"")*M475)"),238785)</f>
        <v>238785</v>
      </c>
      <c r="Q475" s="26">
        <f ca="1">IFERROR(__xludf.DUMMYFUNCTION("ROUND(GOOGLEFINANCE(""Currency:EURKZT"")*N475)"),238785)</f>
        <v>238785</v>
      </c>
      <c r="R475" s="26">
        <f t="shared" ca="1" si="268"/>
        <v>256226</v>
      </c>
      <c r="S475" s="26">
        <f t="shared" ca="1" si="269"/>
        <v>2869010</v>
      </c>
      <c r="T475" s="26">
        <f ca="1">IFERROR(__xludf.DUMMYFUNCTION("ROUND(GOOGLEFINANCE(""Currency:EURKZT"")*L475+S475)"),3274701)</f>
        <v>3274701</v>
      </c>
      <c r="U475" s="26">
        <f ca="1">IFERROR(__xludf.DUMMYFUNCTION("D475*GOOGLEFINANCE(""RUBKZT"")*1000/F475"),3881742.38852967)</f>
        <v>3881742.38852967</v>
      </c>
      <c r="V475" s="27">
        <f t="shared" ca="1" si="270"/>
        <v>0.18537307330643926</v>
      </c>
    </row>
    <row r="476" spans="1:22" ht="12.75" customHeight="1" x14ac:dyDescent="0.2">
      <c r="A476" s="6" t="s">
        <v>220</v>
      </c>
      <c r="B476" s="6" t="s">
        <v>15</v>
      </c>
      <c r="C476" s="7">
        <v>157422</v>
      </c>
      <c r="D476" s="8">
        <v>190959.6</v>
      </c>
      <c r="E476" s="9" t="s">
        <v>16</v>
      </c>
      <c r="F476" s="23">
        <v>208</v>
      </c>
      <c r="G476" s="25"/>
      <c r="H476" s="14">
        <f t="shared" si="264"/>
        <v>0.55000000000000004</v>
      </c>
      <c r="I476" s="25">
        <f ca="1">IFERROR(__xludf.DUMMYFUNCTION("ROUND(D476*GOOGLEFINANCE(""RUBKZT"")*H476)"),819587)</f>
        <v>819587</v>
      </c>
      <c r="J476" s="26">
        <f ca="1">IFERROR(__xludf.DUMMYFUNCTION("ROUND(I476*GOOGLEFINANCE(""KZTEUR""))"),1716)</f>
        <v>1716</v>
      </c>
      <c r="K476" s="26">
        <f t="shared" ca="1" si="265"/>
        <v>8250</v>
      </c>
      <c r="L476" s="26">
        <f t="shared" ca="1" si="266"/>
        <v>1567.5</v>
      </c>
      <c r="M476" s="26">
        <f t="shared" ref="M476:N476" si="486">M$3</f>
        <v>500</v>
      </c>
      <c r="N476" s="26">
        <f t="shared" si="486"/>
        <v>500</v>
      </c>
      <c r="O476" s="26">
        <f ca="1">IFERROR(__xludf.DUMMYFUNCTION("ROUND(GOOGLEFINANCE(""Currency:EURKZT"")*K476)"),3939949)</f>
        <v>3939949</v>
      </c>
      <c r="P476" s="26">
        <f ca="1">IFERROR(__xludf.DUMMYFUNCTION("ROUND(GOOGLEFINANCE(""Currency:EURKZT"")*M476)"),238785)</f>
        <v>238785</v>
      </c>
      <c r="Q476" s="26">
        <f ca="1">IFERROR(__xludf.DUMMYFUNCTION("ROUND(GOOGLEFINANCE(""Currency:EURKZT"")*N476)"),238785)</f>
        <v>238785</v>
      </c>
      <c r="R476" s="26">
        <f t="shared" ca="1" si="268"/>
        <v>472794</v>
      </c>
      <c r="S476" s="26">
        <f t="shared" ca="1" si="269"/>
        <v>4890313</v>
      </c>
      <c r="T476" s="26">
        <f ca="1">IFERROR(__xludf.DUMMYFUNCTION("ROUND(GOOGLEFINANCE(""Currency:EURKZT"")*L476+S476)"),5638903)</f>
        <v>5638903</v>
      </c>
      <c r="U476" s="26">
        <f ca="1">IFERROR(__xludf.DUMMYFUNCTION("D476*GOOGLEFINANCE(""RUBKZT"")*1000/F476"),7164219.2423499)</f>
        <v>7164219.2423499003</v>
      </c>
      <c r="V476" s="27">
        <f t="shared" ca="1" si="270"/>
        <v>0.27049875522772787</v>
      </c>
    </row>
    <row r="477" spans="1:22" ht="12.75" customHeight="1" x14ac:dyDescent="0.2">
      <c r="A477" s="6" t="s">
        <v>213</v>
      </c>
      <c r="B477" s="6" t="s">
        <v>15</v>
      </c>
      <c r="C477" s="7">
        <v>157460</v>
      </c>
      <c r="D477" s="8">
        <v>94538.4</v>
      </c>
      <c r="E477" s="9" t="s">
        <v>16</v>
      </c>
      <c r="F477" s="23">
        <v>208</v>
      </c>
      <c r="G477" s="25"/>
      <c r="H477" s="14">
        <f t="shared" si="264"/>
        <v>0.55000000000000004</v>
      </c>
      <c r="I477" s="25">
        <f ca="1">IFERROR(__xludf.DUMMYFUNCTION("ROUND(D477*GOOGLEFINANCE(""RUBKZT"")*H477)"),405753)</f>
        <v>405753</v>
      </c>
      <c r="J477" s="26">
        <f ca="1">IFERROR(__xludf.DUMMYFUNCTION("ROUND(I477*GOOGLEFINANCE(""KZTEUR""))"),850)</f>
        <v>850</v>
      </c>
      <c r="K477" s="26">
        <f t="shared" ca="1" si="265"/>
        <v>4087</v>
      </c>
      <c r="L477" s="26">
        <f t="shared" ca="1" si="266"/>
        <v>776.53</v>
      </c>
      <c r="M477" s="26">
        <f t="shared" ref="M477:N477" si="487">M$3</f>
        <v>500</v>
      </c>
      <c r="N477" s="26">
        <f t="shared" si="487"/>
        <v>500</v>
      </c>
      <c r="O477" s="26">
        <f ca="1">IFERROR(__xludf.DUMMYFUNCTION("ROUND(GOOGLEFINANCE(""Currency:EURKZT"")*K477)"),1951827)</f>
        <v>1951827</v>
      </c>
      <c r="P477" s="26">
        <f ca="1">IFERROR(__xludf.DUMMYFUNCTION("ROUND(GOOGLEFINANCE(""Currency:EURKZT"")*M477)"),238785)</f>
        <v>238785</v>
      </c>
      <c r="Q477" s="26">
        <f ca="1">IFERROR(__xludf.DUMMYFUNCTION("ROUND(GOOGLEFINANCE(""Currency:EURKZT"")*N477)"),238785)</f>
        <v>238785</v>
      </c>
      <c r="R477" s="26">
        <f t="shared" ca="1" si="268"/>
        <v>234219</v>
      </c>
      <c r="S477" s="26">
        <f t="shared" ca="1" si="269"/>
        <v>2663616</v>
      </c>
      <c r="T477" s="26">
        <f ca="1">IFERROR(__xludf.DUMMYFUNCTION("ROUND(GOOGLEFINANCE(""Currency:EURKZT"")*L477+S477)"),3034463)</f>
        <v>3034463</v>
      </c>
      <c r="U477" s="26">
        <f ca="1">IFERROR(__xludf.DUMMYFUNCTION("D477*GOOGLEFINANCE(""RUBKZT"")*1000/F477"),3546791.17688229)</f>
        <v>3546791.1768822898</v>
      </c>
      <c r="V477" s="27">
        <f t="shared" ca="1" si="270"/>
        <v>0.16883652128310342</v>
      </c>
    </row>
    <row r="478" spans="1:22" ht="12.75" customHeight="1" x14ac:dyDescent="0.2">
      <c r="A478" s="6" t="s">
        <v>222</v>
      </c>
      <c r="B478" s="6" t="s">
        <v>15</v>
      </c>
      <c r="C478" s="7">
        <v>157478</v>
      </c>
      <c r="D478" s="8">
        <v>244257.59999999998</v>
      </c>
      <c r="E478" s="9" t="s">
        <v>16</v>
      </c>
      <c r="F478" s="23">
        <v>208</v>
      </c>
      <c r="G478" s="25"/>
      <c r="H478" s="14">
        <f t="shared" si="264"/>
        <v>0.55000000000000004</v>
      </c>
      <c r="I478" s="25">
        <f ca="1">IFERROR(__xludf.DUMMYFUNCTION("ROUND(D478*GOOGLEFINANCE(""RUBKZT"")*H478)"),1048338)</f>
        <v>1048338</v>
      </c>
      <c r="J478" s="26">
        <f ca="1">IFERROR(__xludf.DUMMYFUNCTION("ROUND(I478*GOOGLEFINANCE(""KZTEUR""))"),2196)</f>
        <v>2196</v>
      </c>
      <c r="K478" s="26">
        <f t="shared" ca="1" si="265"/>
        <v>10558</v>
      </c>
      <c r="L478" s="26">
        <f t="shared" ca="1" si="266"/>
        <v>2006.02</v>
      </c>
      <c r="M478" s="26">
        <f t="shared" ref="M478:N478" si="488">M$3</f>
        <v>500</v>
      </c>
      <c r="N478" s="26">
        <f t="shared" si="488"/>
        <v>500</v>
      </c>
      <c r="O478" s="26">
        <f ca="1">IFERROR(__xludf.DUMMYFUNCTION("ROUND(GOOGLEFINANCE(""Currency:EURKZT"")*K478)"),5042180)</f>
        <v>5042180</v>
      </c>
      <c r="P478" s="26">
        <f ca="1">IFERROR(__xludf.DUMMYFUNCTION("ROUND(GOOGLEFINANCE(""Currency:EURKZT"")*M478)"),238785)</f>
        <v>238785</v>
      </c>
      <c r="Q478" s="26">
        <f ca="1">IFERROR(__xludf.DUMMYFUNCTION("ROUND(GOOGLEFINANCE(""Currency:EURKZT"")*N478)"),238785)</f>
        <v>238785</v>
      </c>
      <c r="R478" s="26">
        <f t="shared" ca="1" si="268"/>
        <v>605062</v>
      </c>
      <c r="S478" s="26">
        <f t="shared" ca="1" si="269"/>
        <v>6124812</v>
      </c>
      <c r="T478" s="26">
        <f ca="1">IFERROR(__xludf.DUMMYFUNCTION("ROUND(GOOGLEFINANCE(""Currency:EURKZT"")*L478+S478)"),7082826)</f>
        <v>7082826</v>
      </c>
      <c r="U478" s="26">
        <f ca="1">IFERROR(__xludf.DUMMYFUNCTION("D478*GOOGLEFINANCE(""RUBKZT"")*1000/F478"),9163796.93930132)</f>
        <v>9163796.9393013194</v>
      </c>
      <c r="V478" s="27">
        <f t="shared" ca="1" si="270"/>
        <v>0.29380517597090755</v>
      </c>
    </row>
    <row r="479" spans="1:22" ht="12.75" customHeight="1" x14ac:dyDescent="0.2">
      <c r="A479" s="6" t="s">
        <v>223</v>
      </c>
      <c r="B479" s="6" t="s">
        <v>15</v>
      </c>
      <c r="C479" s="7">
        <v>157530</v>
      </c>
      <c r="D479" s="8">
        <v>273061.2</v>
      </c>
      <c r="E479" s="9" t="s">
        <v>16</v>
      </c>
      <c r="F479" s="23">
        <v>208</v>
      </c>
      <c r="G479" s="25"/>
      <c r="H479" s="14">
        <f t="shared" si="264"/>
        <v>0.55000000000000004</v>
      </c>
      <c r="I479" s="25">
        <f ca="1">IFERROR(__xludf.DUMMYFUNCTION("ROUND(D479*GOOGLEFINANCE(""RUBKZT"")*H479)"),1171962)</f>
        <v>1171962</v>
      </c>
      <c r="J479" s="26">
        <f ca="1">IFERROR(__xludf.DUMMYFUNCTION("ROUND(I479*GOOGLEFINANCE(""KZTEUR""))"),2454)</f>
        <v>2454</v>
      </c>
      <c r="K479" s="26">
        <f t="shared" ca="1" si="265"/>
        <v>11798</v>
      </c>
      <c r="L479" s="26">
        <f t="shared" ca="1" si="266"/>
        <v>2241.62</v>
      </c>
      <c r="M479" s="26">
        <f t="shared" ref="M479:N479" si="489">M$3</f>
        <v>500</v>
      </c>
      <c r="N479" s="26">
        <f t="shared" si="489"/>
        <v>500</v>
      </c>
      <c r="O479" s="26">
        <f ca="1">IFERROR(__xludf.DUMMYFUNCTION("ROUND(GOOGLEFINANCE(""Currency:EURKZT"")*K479)"),5634366)</f>
        <v>5634366</v>
      </c>
      <c r="P479" s="26">
        <f ca="1">IFERROR(__xludf.DUMMYFUNCTION("ROUND(GOOGLEFINANCE(""Currency:EURKZT"")*M479)"),238785)</f>
        <v>238785</v>
      </c>
      <c r="Q479" s="26">
        <f ca="1">IFERROR(__xludf.DUMMYFUNCTION("ROUND(GOOGLEFINANCE(""Currency:EURKZT"")*N479)"),238785)</f>
        <v>238785</v>
      </c>
      <c r="R479" s="26">
        <f t="shared" ca="1" si="268"/>
        <v>676124</v>
      </c>
      <c r="S479" s="26">
        <f t="shared" ca="1" si="269"/>
        <v>6788060</v>
      </c>
      <c r="T479" s="26">
        <f ca="1">IFERROR(__xludf.DUMMYFUNCTION("ROUND(GOOGLEFINANCE(""Currency:EURKZT"")*L479+S479)"),7858590)</f>
        <v>7858590</v>
      </c>
      <c r="U479" s="26">
        <f ca="1">IFERROR(__xludf.DUMMYFUNCTION("D479*GOOGLEFINANCE(""RUBKZT"")*1000/F479"),10244419.7797814)</f>
        <v>10244419.779781399</v>
      </c>
      <c r="V479" s="27">
        <f t="shared" ca="1" si="270"/>
        <v>0.30359514617525529</v>
      </c>
    </row>
    <row r="480" spans="1:22" ht="12.75" customHeight="1" x14ac:dyDescent="0.2">
      <c r="A480" s="6" t="s">
        <v>227</v>
      </c>
      <c r="B480" s="6" t="s">
        <v>15</v>
      </c>
      <c r="C480" s="7">
        <v>157813</v>
      </c>
      <c r="D480" s="8">
        <v>172893.6</v>
      </c>
      <c r="E480" s="9" t="s">
        <v>16</v>
      </c>
      <c r="F480" s="23">
        <v>208</v>
      </c>
      <c r="G480" s="25"/>
      <c r="H480" s="14">
        <f t="shared" si="264"/>
        <v>0.55000000000000004</v>
      </c>
      <c r="I480" s="25">
        <f ca="1">IFERROR(__xludf.DUMMYFUNCTION("ROUND(D480*GOOGLEFINANCE(""RUBKZT"")*H480)"),742049)</f>
        <v>742049</v>
      </c>
      <c r="J480" s="26">
        <f ca="1">IFERROR(__xludf.DUMMYFUNCTION("ROUND(I480*GOOGLEFINANCE(""KZTEUR""))"),1554)</f>
        <v>1554</v>
      </c>
      <c r="K480" s="26">
        <f t="shared" ca="1" si="265"/>
        <v>7471</v>
      </c>
      <c r="L480" s="26">
        <f t="shared" ca="1" si="266"/>
        <v>1419.49</v>
      </c>
      <c r="M480" s="26">
        <f t="shared" ref="M480:N480" si="490">M$3</f>
        <v>500</v>
      </c>
      <c r="N480" s="26">
        <f t="shared" si="490"/>
        <v>500</v>
      </c>
      <c r="O480" s="26">
        <f ca="1">IFERROR(__xludf.DUMMYFUNCTION("ROUND(GOOGLEFINANCE(""Currency:EURKZT"")*K480)"),3567923)</f>
        <v>3567923</v>
      </c>
      <c r="P480" s="26">
        <f ca="1">IFERROR(__xludf.DUMMYFUNCTION("ROUND(GOOGLEFINANCE(""Currency:EURKZT"")*M480)"),238785)</f>
        <v>238785</v>
      </c>
      <c r="Q480" s="26">
        <f ca="1">IFERROR(__xludf.DUMMYFUNCTION("ROUND(GOOGLEFINANCE(""Currency:EURKZT"")*N480)"),238785)</f>
        <v>238785</v>
      </c>
      <c r="R480" s="26">
        <f t="shared" ca="1" si="268"/>
        <v>428151</v>
      </c>
      <c r="S480" s="26">
        <f t="shared" ca="1" si="269"/>
        <v>4473644</v>
      </c>
      <c r="T480" s="26">
        <f ca="1">IFERROR(__xludf.DUMMYFUNCTION("ROUND(GOOGLEFINANCE(""Currency:EURKZT"")*L480+S480)"),5151549)</f>
        <v>5151549</v>
      </c>
      <c r="U480" s="26">
        <f ca="1">IFERROR(__xludf.DUMMYFUNCTION("D480*GOOGLEFINANCE(""RUBKZT"")*1000/F480"),6486438.26232955)</f>
        <v>6486438.2623295505</v>
      </c>
      <c r="V480" s="27">
        <f t="shared" ca="1" si="270"/>
        <v>0.25912386009131438</v>
      </c>
    </row>
    <row r="481" spans="1:22" ht="12.75" customHeight="1" x14ac:dyDescent="0.2">
      <c r="A481" s="6" t="s">
        <v>228</v>
      </c>
      <c r="B481" s="6" t="s">
        <v>15</v>
      </c>
      <c r="C481" s="7">
        <v>158487</v>
      </c>
      <c r="D481" s="8">
        <v>119670</v>
      </c>
      <c r="E481" s="9" t="s">
        <v>7</v>
      </c>
      <c r="F481" s="23">
        <v>208</v>
      </c>
      <c r="G481" s="25"/>
      <c r="H481" s="14">
        <f t="shared" si="264"/>
        <v>0.55000000000000004</v>
      </c>
      <c r="I481" s="25">
        <f ca="1">IFERROR(__xludf.DUMMYFUNCTION("ROUND(D481*GOOGLEFINANCE(""RUBKZT"")*H481)"),513616)</f>
        <v>513616</v>
      </c>
      <c r="J481" s="26">
        <f ca="1">IFERROR(__xludf.DUMMYFUNCTION("ROUND(I481*GOOGLEFINANCE(""KZTEUR""))"),1076)</f>
        <v>1076</v>
      </c>
      <c r="K481" s="26">
        <f t="shared" ca="1" si="265"/>
        <v>5173</v>
      </c>
      <c r="L481" s="26">
        <f t="shared" ca="1" si="266"/>
        <v>982.87</v>
      </c>
      <c r="M481" s="26">
        <f t="shared" ref="M481:N481" si="491">M$3</f>
        <v>500</v>
      </c>
      <c r="N481" s="26">
        <f t="shared" si="491"/>
        <v>500</v>
      </c>
      <c r="O481" s="26">
        <f ca="1">IFERROR(__xludf.DUMMYFUNCTION("ROUND(GOOGLEFINANCE(""Currency:EURKZT"")*K481)"),2470468)</f>
        <v>2470468</v>
      </c>
      <c r="P481" s="26">
        <f ca="1">IFERROR(__xludf.DUMMYFUNCTION("ROUND(GOOGLEFINANCE(""Currency:EURKZT"")*M481)"),238785)</f>
        <v>238785</v>
      </c>
      <c r="Q481" s="26">
        <f ca="1">IFERROR(__xludf.DUMMYFUNCTION("ROUND(GOOGLEFINANCE(""Currency:EURKZT"")*N481)"),238785)</f>
        <v>238785</v>
      </c>
      <c r="R481" s="26">
        <f t="shared" ca="1" si="268"/>
        <v>296456</v>
      </c>
      <c r="S481" s="26">
        <f t="shared" ca="1" si="269"/>
        <v>3244494</v>
      </c>
      <c r="T481" s="26">
        <f ca="1">IFERROR(__xludf.DUMMYFUNCTION("ROUND(GOOGLEFINANCE(""Currency:EURKZT"")*L481+S481)"),3713883)</f>
        <v>3713883</v>
      </c>
      <c r="U481" s="26">
        <f ca="1">IFERROR(__xludf.DUMMYFUNCTION("D481*GOOGLEFINANCE(""RUBKZT"")*1000/F481"),4489651.82547519)</f>
        <v>4489651.8254751898</v>
      </c>
      <c r="V481" s="27">
        <f t="shared" ca="1" si="270"/>
        <v>0.20888348541814317</v>
      </c>
    </row>
    <row r="482" spans="1:22" ht="12.75" customHeight="1" x14ac:dyDescent="0.2">
      <c r="A482" s="6" t="s">
        <v>229</v>
      </c>
      <c r="B482" s="6" t="s">
        <v>15</v>
      </c>
      <c r="C482" s="7">
        <v>158852</v>
      </c>
      <c r="D482" s="8">
        <v>126596.4</v>
      </c>
      <c r="E482" s="9" t="s">
        <v>16</v>
      </c>
      <c r="F482" s="23">
        <v>208</v>
      </c>
      <c r="G482" s="25"/>
      <c r="H482" s="14">
        <f t="shared" si="264"/>
        <v>0.55000000000000004</v>
      </c>
      <c r="I482" s="25">
        <f ca="1">IFERROR(__xludf.DUMMYFUNCTION("ROUND(D482*GOOGLEFINANCE(""RUBKZT"")*H482)"),543344)</f>
        <v>543344</v>
      </c>
      <c r="J482" s="26">
        <f ca="1">IFERROR(__xludf.DUMMYFUNCTION("ROUND(I482*GOOGLEFINANCE(""KZTEUR""))"),1138)</f>
        <v>1138</v>
      </c>
      <c r="K482" s="26">
        <f t="shared" ca="1" si="265"/>
        <v>5471</v>
      </c>
      <c r="L482" s="26">
        <f t="shared" ca="1" si="266"/>
        <v>1039.49</v>
      </c>
      <c r="M482" s="26">
        <f t="shared" ref="M482:N482" si="492">M$3</f>
        <v>500</v>
      </c>
      <c r="N482" s="26">
        <f t="shared" si="492"/>
        <v>500</v>
      </c>
      <c r="O482" s="26">
        <f ca="1">IFERROR(__xludf.DUMMYFUNCTION("ROUND(GOOGLEFINANCE(""Currency:EURKZT"")*K482)"),2612783)</f>
        <v>2612783</v>
      </c>
      <c r="P482" s="26">
        <f ca="1">IFERROR(__xludf.DUMMYFUNCTION("ROUND(GOOGLEFINANCE(""Currency:EURKZT"")*M482)"),238785)</f>
        <v>238785</v>
      </c>
      <c r="Q482" s="26">
        <f ca="1">IFERROR(__xludf.DUMMYFUNCTION("ROUND(GOOGLEFINANCE(""Currency:EURKZT"")*N482)"),238785)</f>
        <v>238785</v>
      </c>
      <c r="R482" s="26">
        <f t="shared" ca="1" si="268"/>
        <v>313534</v>
      </c>
      <c r="S482" s="26">
        <f t="shared" ca="1" si="269"/>
        <v>3403887</v>
      </c>
      <c r="T482" s="26">
        <f ca="1">IFERROR(__xludf.DUMMYFUNCTION("ROUND(GOOGLEFINANCE(""Currency:EURKZT"")*L482+S482)"),3900316)</f>
        <v>3900316</v>
      </c>
      <c r="U482" s="26">
        <f ca="1">IFERROR(__xludf.DUMMYFUNCTION("D482*GOOGLEFINANCE(""RUBKZT"")*1000/F482"),4749509.13644679)</f>
        <v>4749509.1364467898</v>
      </c>
      <c r="V482" s="27">
        <f t="shared" ca="1" si="270"/>
        <v>0.21772418861620182</v>
      </c>
    </row>
    <row r="483" spans="1:22" ht="12.75" customHeight="1" x14ac:dyDescent="0.2">
      <c r="A483" s="6" t="s">
        <v>230</v>
      </c>
      <c r="B483" s="6" t="s">
        <v>15</v>
      </c>
      <c r="C483" s="7">
        <v>158853</v>
      </c>
      <c r="D483" s="8">
        <v>120110.39999999999</v>
      </c>
      <c r="E483" s="9" t="s">
        <v>16</v>
      </c>
      <c r="F483" s="23">
        <v>208</v>
      </c>
      <c r="G483" s="25"/>
      <c r="H483" s="14">
        <f t="shared" si="264"/>
        <v>0.55000000000000004</v>
      </c>
      <c r="I483" s="25">
        <f ca="1">IFERROR(__xludf.DUMMYFUNCTION("ROUND(D483*GOOGLEFINANCE(""RUBKZT"")*H483)"),515506)</f>
        <v>515506</v>
      </c>
      <c r="J483" s="26">
        <f ca="1">IFERROR(__xludf.DUMMYFUNCTION("ROUND(I483*GOOGLEFINANCE(""KZTEUR""))"),1080)</f>
        <v>1080</v>
      </c>
      <c r="K483" s="26">
        <f t="shared" ca="1" si="265"/>
        <v>5192</v>
      </c>
      <c r="L483" s="26">
        <f t="shared" ca="1" si="266"/>
        <v>986.48</v>
      </c>
      <c r="M483" s="26">
        <f t="shared" ref="M483:N483" si="493">M$3</f>
        <v>500</v>
      </c>
      <c r="N483" s="26">
        <f t="shared" si="493"/>
        <v>500</v>
      </c>
      <c r="O483" s="26">
        <f ca="1">IFERROR(__xludf.DUMMYFUNCTION("ROUND(GOOGLEFINANCE(""Currency:EURKZT"")*K483)"),2479541)</f>
        <v>2479541</v>
      </c>
      <c r="P483" s="26">
        <f ca="1">IFERROR(__xludf.DUMMYFUNCTION("ROUND(GOOGLEFINANCE(""Currency:EURKZT"")*M483)"),238785)</f>
        <v>238785</v>
      </c>
      <c r="Q483" s="26">
        <f ca="1">IFERROR(__xludf.DUMMYFUNCTION("ROUND(GOOGLEFINANCE(""Currency:EURKZT"")*N483)"),238785)</f>
        <v>238785</v>
      </c>
      <c r="R483" s="26">
        <f t="shared" ca="1" si="268"/>
        <v>297545</v>
      </c>
      <c r="S483" s="26">
        <f t="shared" ca="1" si="269"/>
        <v>3254656</v>
      </c>
      <c r="T483" s="26">
        <f ca="1">IFERROR(__xludf.DUMMYFUNCTION("ROUND(GOOGLEFINANCE(""Currency:EURKZT"")*L483+S483)"),3725769)</f>
        <v>3725769</v>
      </c>
      <c r="U483" s="26">
        <f ca="1">IFERROR(__xludf.DUMMYFUNCTION("D483*GOOGLEFINANCE(""RUBKZT"")*1000/F483"),4506174.28443683)</f>
        <v>4506174.2844368303</v>
      </c>
      <c r="V483" s="27">
        <f t="shared" ca="1" si="270"/>
        <v>0.20946153248814683</v>
      </c>
    </row>
    <row r="484" spans="1:22" ht="12.75" customHeight="1" x14ac:dyDescent="0.2">
      <c r="A484" s="6" t="s">
        <v>231</v>
      </c>
      <c r="B484" s="6" t="s">
        <v>15</v>
      </c>
      <c r="C484" s="7">
        <v>158854</v>
      </c>
      <c r="D484" s="8">
        <v>121719.59999999999</v>
      </c>
      <c r="E484" s="9" t="s">
        <v>16</v>
      </c>
      <c r="F484" s="23">
        <v>208</v>
      </c>
      <c r="G484" s="25"/>
      <c r="H484" s="14">
        <f t="shared" si="264"/>
        <v>0.55000000000000004</v>
      </c>
      <c r="I484" s="25">
        <f ca="1">IFERROR(__xludf.DUMMYFUNCTION("ROUND(D484*GOOGLEFINANCE(""RUBKZT"")*H484)"),522413)</f>
        <v>522413</v>
      </c>
      <c r="J484" s="26">
        <f ca="1">IFERROR(__xludf.DUMMYFUNCTION("ROUND(I484*GOOGLEFINANCE(""KZTEUR""))"),1094)</f>
        <v>1094</v>
      </c>
      <c r="K484" s="26">
        <f t="shared" ca="1" si="265"/>
        <v>5260</v>
      </c>
      <c r="L484" s="26">
        <f t="shared" ca="1" si="266"/>
        <v>999.4</v>
      </c>
      <c r="M484" s="26">
        <f t="shared" ref="M484:N484" si="494">M$3</f>
        <v>500</v>
      </c>
      <c r="N484" s="26">
        <f t="shared" si="494"/>
        <v>500</v>
      </c>
      <c r="O484" s="26">
        <f ca="1">IFERROR(__xludf.DUMMYFUNCTION("ROUND(GOOGLEFINANCE(""Currency:EURKZT"")*K484)"),2512016)</f>
        <v>2512016</v>
      </c>
      <c r="P484" s="26">
        <f ca="1">IFERROR(__xludf.DUMMYFUNCTION("ROUND(GOOGLEFINANCE(""Currency:EURKZT"")*M484)"),238785)</f>
        <v>238785</v>
      </c>
      <c r="Q484" s="26">
        <f ca="1">IFERROR(__xludf.DUMMYFUNCTION("ROUND(GOOGLEFINANCE(""Currency:EURKZT"")*N484)"),238785)</f>
        <v>238785</v>
      </c>
      <c r="R484" s="26">
        <f t="shared" ca="1" si="268"/>
        <v>301442</v>
      </c>
      <c r="S484" s="26">
        <f t="shared" ca="1" si="269"/>
        <v>3291028</v>
      </c>
      <c r="T484" s="26">
        <f ca="1">IFERROR(__xludf.DUMMYFUNCTION("ROUND(GOOGLEFINANCE(""Currency:EURKZT"")*L484+S484)"),3768311)</f>
        <v>3768311</v>
      </c>
      <c r="U484" s="26">
        <f ca="1">IFERROR(__xludf.DUMMYFUNCTION("D484*GOOGLEFINANCE(""RUBKZT"")*1000/F484"),4566546.53911682)</f>
        <v>4566546.5391168203</v>
      </c>
      <c r="V484" s="27">
        <f t="shared" ca="1" si="270"/>
        <v>0.21182846615282558</v>
      </c>
    </row>
    <row r="485" spans="1:22" ht="12.75" customHeight="1" x14ac:dyDescent="0.2">
      <c r="A485" s="6" t="s">
        <v>232</v>
      </c>
      <c r="B485" s="6" t="s">
        <v>15</v>
      </c>
      <c r="C485" s="7">
        <v>159212</v>
      </c>
      <c r="D485" s="8">
        <v>87855.599999999991</v>
      </c>
      <c r="E485" s="9" t="s">
        <v>16</v>
      </c>
      <c r="F485" s="23">
        <v>208</v>
      </c>
      <c r="G485" s="25"/>
      <c r="H485" s="14">
        <f t="shared" si="264"/>
        <v>0.55000000000000004</v>
      </c>
      <c r="I485" s="25">
        <f ca="1">IFERROR(__xludf.DUMMYFUNCTION("ROUND(D485*GOOGLEFINANCE(""RUBKZT"")*H485)"),377071)</f>
        <v>377071</v>
      </c>
      <c r="J485" s="26">
        <f ca="1">IFERROR(__xludf.DUMMYFUNCTION("ROUND(I485*GOOGLEFINANCE(""KZTEUR""))"),790)</f>
        <v>790</v>
      </c>
      <c r="K485" s="26">
        <f t="shared" ca="1" si="265"/>
        <v>3798</v>
      </c>
      <c r="L485" s="26">
        <f t="shared" ca="1" si="266"/>
        <v>721.62</v>
      </c>
      <c r="M485" s="26">
        <f t="shared" ref="M485:N485" si="495">M$3</f>
        <v>500</v>
      </c>
      <c r="N485" s="26">
        <f t="shared" si="495"/>
        <v>500</v>
      </c>
      <c r="O485" s="26">
        <f ca="1">IFERROR(__xludf.DUMMYFUNCTION("ROUND(GOOGLEFINANCE(""Currency:EURKZT"")*K485)"),1813809)</f>
        <v>1813809</v>
      </c>
      <c r="P485" s="26">
        <f ca="1">IFERROR(__xludf.DUMMYFUNCTION("ROUND(GOOGLEFINANCE(""Currency:EURKZT"")*M485)"),238785)</f>
        <v>238785</v>
      </c>
      <c r="Q485" s="26">
        <f ca="1">IFERROR(__xludf.DUMMYFUNCTION("ROUND(GOOGLEFINANCE(""Currency:EURKZT"")*N485)"),238785)</f>
        <v>238785</v>
      </c>
      <c r="R485" s="26">
        <f t="shared" ca="1" si="268"/>
        <v>217657</v>
      </c>
      <c r="S485" s="26">
        <f t="shared" ca="1" si="269"/>
        <v>2509036</v>
      </c>
      <c r="T485" s="26">
        <f ca="1">IFERROR(__xludf.DUMMYFUNCTION("ROUND(GOOGLEFINANCE(""Currency:EURKZT"")*L485+S485)"),2853660)</f>
        <v>2853660</v>
      </c>
      <c r="U485" s="26">
        <f ca="1">IFERROR(__xludf.DUMMYFUNCTION("D485*GOOGLEFINANCE(""RUBKZT"")*1000/F485"),3296072.99171236)</f>
        <v>3296072.9917123602</v>
      </c>
      <c r="V485" s="27">
        <f t="shared" ca="1" si="270"/>
        <v>0.15503353297602385</v>
      </c>
    </row>
    <row r="486" spans="1:22" ht="12.75" customHeight="1" x14ac:dyDescent="0.2">
      <c r="A486" s="6" t="s">
        <v>233</v>
      </c>
      <c r="B486" s="6" t="s">
        <v>15</v>
      </c>
      <c r="C486" s="7">
        <v>160289</v>
      </c>
      <c r="D486" s="8">
        <v>103153.2</v>
      </c>
      <c r="E486" s="9" t="s">
        <v>16</v>
      </c>
      <c r="F486" s="23">
        <v>208</v>
      </c>
      <c r="G486" s="25"/>
      <c r="H486" s="14">
        <f t="shared" si="264"/>
        <v>0.55000000000000004</v>
      </c>
      <c r="I486" s="25">
        <f ca="1">IFERROR(__xludf.DUMMYFUNCTION("ROUND(D486*GOOGLEFINANCE(""RUBKZT"")*H486)"),442727)</f>
        <v>442727</v>
      </c>
      <c r="J486" s="26">
        <f ca="1">IFERROR(__xludf.DUMMYFUNCTION("ROUND(I486*GOOGLEFINANCE(""KZTEUR""))"),927)</f>
        <v>927</v>
      </c>
      <c r="K486" s="26">
        <f t="shared" ca="1" si="265"/>
        <v>4457</v>
      </c>
      <c r="L486" s="26">
        <f t="shared" ca="1" si="266"/>
        <v>846.83</v>
      </c>
      <c r="M486" s="26">
        <f t="shared" ref="M486:N486" si="496">M$3</f>
        <v>500</v>
      </c>
      <c r="N486" s="26">
        <f t="shared" si="496"/>
        <v>500</v>
      </c>
      <c r="O486" s="26">
        <f ca="1">IFERROR(__xludf.DUMMYFUNCTION("ROUND(GOOGLEFINANCE(""Currency:EURKZT"")*K486)"),2128528)</f>
        <v>2128528</v>
      </c>
      <c r="P486" s="26">
        <f ca="1">IFERROR(__xludf.DUMMYFUNCTION("ROUND(GOOGLEFINANCE(""Currency:EURKZT"")*M486)"),238785)</f>
        <v>238785</v>
      </c>
      <c r="Q486" s="26">
        <f ca="1">IFERROR(__xludf.DUMMYFUNCTION("ROUND(GOOGLEFINANCE(""Currency:EURKZT"")*N486)"),238785)</f>
        <v>238785</v>
      </c>
      <c r="R486" s="26">
        <f t="shared" ca="1" si="268"/>
        <v>255423</v>
      </c>
      <c r="S486" s="26">
        <f t="shared" ca="1" si="269"/>
        <v>2861521</v>
      </c>
      <c r="T486" s="26">
        <f ca="1">IFERROR(__xludf.DUMMYFUNCTION("ROUND(GOOGLEFINANCE(""Currency:EURKZT"")*L486+S486)"),3265941)</f>
        <v>3265941</v>
      </c>
      <c r="U486" s="26">
        <f ca="1">IFERROR(__xludf.DUMMYFUNCTION("D486*GOOGLEFINANCE(""RUBKZT"")*1000/F486"),3869992.08392753)</f>
        <v>3869992.0839275299</v>
      </c>
      <c r="V486" s="27">
        <f t="shared" ca="1" si="270"/>
        <v>0.18495468348250316</v>
      </c>
    </row>
    <row r="487" spans="1:22" ht="12.75" customHeight="1" x14ac:dyDescent="0.2">
      <c r="A487" s="6" t="s">
        <v>234</v>
      </c>
      <c r="B487" s="6" t="s">
        <v>15</v>
      </c>
      <c r="C487" s="7">
        <v>160664</v>
      </c>
      <c r="D487" s="8">
        <v>233797.19999999998</v>
      </c>
      <c r="E487" s="9" t="s">
        <v>16</v>
      </c>
      <c r="F487" s="23">
        <v>208</v>
      </c>
      <c r="G487" s="25"/>
      <c r="H487" s="14">
        <f t="shared" si="264"/>
        <v>0.55000000000000004</v>
      </c>
      <c r="I487" s="25">
        <f ca="1">IFERROR(__xludf.DUMMYFUNCTION("ROUND(D487*GOOGLEFINANCE(""RUBKZT"")*H487)"),1003443)</f>
        <v>1003443</v>
      </c>
      <c r="J487" s="26">
        <f ca="1">IFERROR(__xludf.DUMMYFUNCTION("ROUND(I487*GOOGLEFINANCE(""KZTEUR""))"),2102)</f>
        <v>2102</v>
      </c>
      <c r="K487" s="26">
        <f t="shared" ca="1" si="265"/>
        <v>10106</v>
      </c>
      <c r="L487" s="26">
        <f t="shared" ca="1" si="266"/>
        <v>1920.14</v>
      </c>
      <c r="M487" s="26">
        <f t="shared" ref="M487:N487" si="497">M$3</f>
        <v>500</v>
      </c>
      <c r="N487" s="26">
        <f t="shared" si="497"/>
        <v>500</v>
      </c>
      <c r="O487" s="26">
        <f ca="1">IFERROR(__xludf.DUMMYFUNCTION("ROUND(GOOGLEFINANCE(""Currency:EURKZT"")*K487)"),4826319)</f>
        <v>4826319</v>
      </c>
      <c r="P487" s="26">
        <f ca="1">IFERROR(__xludf.DUMMYFUNCTION("ROUND(GOOGLEFINANCE(""Currency:EURKZT"")*M487)"),238785)</f>
        <v>238785</v>
      </c>
      <c r="Q487" s="26">
        <f ca="1">IFERROR(__xludf.DUMMYFUNCTION("ROUND(GOOGLEFINANCE(""Currency:EURKZT"")*N487)"),238785)</f>
        <v>238785</v>
      </c>
      <c r="R487" s="26">
        <f t="shared" ca="1" si="268"/>
        <v>579158</v>
      </c>
      <c r="S487" s="26">
        <f t="shared" ca="1" si="269"/>
        <v>5883047</v>
      </c>
      <c r="T487" s="26">
        <f ca="1">IFERROR(__xludf.DUMMYFUNCTION("ROUND(GOOGLEFINANCE(""Currency:EURKZT"")*L487+S487)"),6800048)</f>
        <v>6800048</v>
      </c>
      <c r="U487" s="26">
        <f ca="1">IFERROR(__xludf.DUMMYFUNCTION("D487*GOOGLEFINANCE(""RUBKZT"")*1000/F487"),8771354.7737193)</f>
        <v>8771354.7737192996</v>
      </c>
      <c r="V487" s="27">
        <f t="shared" ca="1" si="270"/>
        <v>0.28989600863395371</v>
      </c>
    </row>
    <row r="488" spans="1:22" ht="12.75" customHeight="1" x14ac:dyDescent="0.2">
      <c r="A488" s="6" t="s">
        <v>235</v>
      </c>
      <c r="B488" s="6" t="s">
        <v>15</v>
      </c>
      <c r="C488" s="7">
        <v>160694</v>
      </c>
      <c r="D488" s="8">
        <v>124051.2</v>
      </c>
      <c r="E488" s="9" t="s">
        <v>16</v>
      </c>
      <c r="F488" s="23">
        <v>208</v>
      </c>
      <c r="G488" s="25"/>
      <c r="H488" s="14">
        <f t="shared" si="264"/>
        <v>0.55000000000000004</v>
      </c>
      <c r="I488" s="25">
        <f ca="1">IFERROR(__xludf.DUMMYFUNCTION("ROUND(D488*GOOGLEFINANCE(""RUBKZT"")*H488)"),532420)</f>
        <v>532420</v>
      </c>
      <c r="J488" s="26">
        <f ca="1">IFERROR(__xludf.DUMMYFUNCTION("ROUND(I488*GOOGLEFINANCE(""KZTEUR""))"),1115)</f>
        <v>1115</v>
      </c>
      <c r="K488" s="26">
        <f t="shared" ca="1" si="265"/>
        <v>5361</v>
      </c>
      <c r="L488" s="26">
        <f t="shared" ca="1" si="266"/>
        <v>1018.59</v>
      </c>
      <c r="M488" s="26">
        <f t="shared" ref="M488:N488" si="498">M$3</f>
        <v>500</v>
      </c>
      <c r="N488" s="26">
        <f t="shared" si="498"/>
        <v>500</v>
      </c>
      <c r="O488" s="26">
        <f ca="1">IFERROR(__xludf.DUMMYFUNCTION("ROUND(GOOGLEFINANCE(""Currency:EURKZT"")*K488)"),2560251)</f>
        <v>2560251</v>
      </c>
      <c r="P488" s="26">
        <f ca="1">IFERROR(__xludf.DUMMYFUNCTION("ROUND(GOOGLEFINANCE(""Currency:EURKZT"")*M488)"),238785)</f>
        <v>238785</v>
      </c>
      <c r="Q488" s="26">
        <f ca="1">IFERROR(__xludf.DUMMYFUNCTION("ROUND(GOOGLEFINANCE(""Currency:EURKZT"")*N488)"),238785)</f>
        <v>238785</v>
      </c>
      <c r="R488" s="26">
        <f t="shared" ca="1" si="268"/>
        <v>307230</v>
      </c>
      <c r="S488" s="26">
        <f t="shared" ca="1" si="269"/>
        <v>3345051</v>
      </c>
      <c r="T488" s="26">
        <f ca="1">IFERROR(__xludf.DUMMYFUNCTION("ROUND(GOOGLEFINANCE(""Currency:EURKZT"")*L488+S488)"),3831499)</f>
        <v>3831499</v>
      </c>
      <c r="U488" s="26">
        <f ca="1">IFERROR(__xludf.DUMMYFUNCTION("D488*GOOGLEFINANCE(""RUBKZT"")*1000/F488"),4654021.0289328)</f>
        <v>4654021.0289327996</v>
      </c>
      <c r="V488" s="27">
        <f t="shared" ca="1" si="270"/>
        <v>0.21467369009695672</v>
      </c>
    </row>
    <row r="489" spans="1:22" ht="12.75" customHeight="1" x14ac:dyDescent="0.2">
      <c r="A489" s="6" t="s">
        <v>237</v>
      </c>
      <c r="B489" s="6" t="s">
        <v>15</v>
      </c>
      <c r="C489" s="7">
        <v>160783</v>
      </c>
      <c r="D489" s="8">
        <v>112963.2</v>
      </c>
      <c r="E489" s="9" t="s">
        <v>16</v>
      </c>
      <c r="F489" s="23">
        <v>208</v>
      </c>
      <c r="G489" s="25"/>
      <c r="H489" s="14">
        <f t="shared" si="264"/>
        <v>0.55000000000000004</v>
      </c>
      <c r="I489" s="25">
        <f ca="1">IFERROR(__xludf.DUMMYFUNCTION("ROUND(D489*GOOGLEFINANCE(""RUBKZT"")*H489)"),484831)</f>
        <v>484831</v>
      </c>
      <c r="J489" s="26">
        <f ca="1">IFERROR(__xludf.DUMMYFUNCTION("ROUND(I489*GOOGLEFINANCE(""KZTEUR""))"),1015)</f>
        <v>1015</v>
      </c>
      <c r="K489" s="26">
        <f t="shared" ca="1" si="265"/>
        <v>4880</v>
      </c>
      <c r="L489" s="26">
        <f t="shared" ca="1" si="266"/>
        <v>927.2</v>
      </c>
      <c r="M489" s="26">
        <f t="shared" ref="M489:N489" si="499">M$3</f>
        <v>500</v>
      </c>
      <c r="N489" s="26">
        <f t="shared" si="499"/>
        <v>500</v>
      </c>
      <c r="O489" s="26">
        <f ca="1">IFERROR(__xludf.DUMMYFUNCTION("ROUND(GOOGLEFINANCE(""Currency:EURKZT"")*K489)"),2330540)</f>
        <v>2330540</v>
      </c>
      <c r="P489" s="26">
        <f ca="1">IFERROR(__xludf.DUMMYFUNCTION("ROUND(GOOGLEFINANCE(""Currency:EURKZT"")*M489)"),238785)</f>
        <v>238785</v>
      </c>
      <c r="Q489" s="26">
        <f ca="1">IFERROR(__xludf.DUMMYFUNCTION("ROUND(GOOGLEFINANCE(""Currency:EURKZT"")*N489)"),238785)</f>
        <v>238785</v>
      </c>
      <c r="R489" s="26">
        <f t="shared" ca="1" si="268"/>
        <v>279665</v>
      </c>
      <c r="S489" s="26">
        <f t="shared" ca="1" si="269"/>
        <v>3087775</v>
      </c>
      <c r="T489" s="26">
        <f ca="1">IFERROR(__xludf.DUMMYFUNCTION("ROUND(GOOGLEFINANCE(""Currency:EURKZT"")*L489+S489)"),3530578)</f>
        <v>3530578</v>
      </c>
      <c r="U489" s="26">
        <f ca="1">IFERROR(__xludf.DUMMYFUNCTION("D489*GOOGLEFINANCE(""RUBKZT"")*1000/F489"),4238033.23382233)</f>
        <v>4238033.2338223299</v>
      </c>
      <c r="V489" s="27">
        <f t="shared" ca="1" si="270"/>
        <v>0.2003794375375165</v>
      </c>
    </row>
    <row r="490" spans="1:22" ht="12.75" customHeight="1" x14ac:dyDescent="0.2">
      <c r="A490" s="6" t="s">
        <v>241</v>
      </c>
      <c r="B490" s="6" t="s">
        <v>15</v>
      </c>
      <c r="C490" s="7">
        <v>161408</v>
      </c>
      <c r="D490" s="8">
        <v>90786</v>
      </c>
      <c r="E490" s="9" t="s">
        <v>16</v>
      </c>
      <c r="F490" s="23">
        <v>208</v>
      </c>
      <c r="G490" s="25"/>
      <c r="H490" s="14">
        <f t="shared" si="264"/>
        <v>0.55000000000000004</v>
      </c>
      <c r="I490" s="25">
        <f ca="1">IFERROR(__xludf.DUMMYFUNCTION("ROUND(D490*GOOGLEFINANCE(""RUBKZT"")*H490)"),389648)</f>
        <v>389648</v>
      </c>
      <c r="J490" s="26">
        <f ca="1">IFERROR(__xludf.DUMMYFUNCTION("ROUND(I490*GOOGLEFINANCE(""KZTEUR""))"),816)</f>
        <v>816</v>
      </c>
      <c r="K490" s="26">
        <f t="shared" ca="1" si="265"/>
        <v>3923</v>
      </c>
      <c r="L490" s="26">
        <f t="shared" ca="1" si="266"/>
        <v>745.37</v>
      </c>
      <c r="M490" s="26">
        <f t="shared" ref="M490:N490" si="500">M$3</f>
        <v>500</v>
      </c>
      <c r="N490" s="26">
        <f t="shared" si="500"/>
        <v>500</v>
      </c>
      <c r="O490" s="26">
        <f ca="1">IFERROR(__xludf.DUMMYFUNCTION("ROUND(GOOGLEFINANCE(""Currency:EURKZT"")*K490)"),1873506)</f>
        <v>1873506</v>
      </c>
      <c r="P490" s="26">
        <f ca="1">IFERROR(__xludf.DUMMYFUNCTION("ROUND(GOOGLEFINANCE(""Currency:EURKZT"")*M490)"),238785)</f>
        <v>238785</v>
      </c>
      <c r="Q490" s="26">
        <f ca="1">IFERROR(__xludf.DUMMYFUNCTION("ROUND(GOOGLEFINANCE(""Currency:EURKZT"")*N490)"),238785)</f>
        <v>238785</v>
      </c>
      <c r="R490" s="26">
        <f t="shared" ca="1" si="268"/>
        <v>224821</v>
      </c>
      <c r="S490" s="26">
        <f t="shared" ca="1" si="269"/>
        <v>2575897</v>
      </c>
      <c r="T490" s="26">
        <f ca="1">IFERROR(__xludf.DUMMYFUNCTION("ROUND(GOOGLEFINANCE(""Currency:EURKZT"")*L490+S490)"),2931863)</f>
        <v>2931863</v>
      </c>
      <c r="U490" s="26">
        <f ca="1">IFERROR(__xludf.DUMMYFUNCTION("D490*GOOGLEFINANCE(""RUBKZT"")*1000/F490"),3406012.62327726)</f>
        <v>3406012.62327726</v>
      </c>
      <c r="V490" s="27">
        <f t="shared" ca="1" si="270"/>
        <v>0.16172298067039967</v>
      </c>
    </row>
    <row r="491" spans="1:22" ht="12.75" customHeight="1" x14ac:dyDescent="0.2">
      <c r="A491" s="6" t="s">
        <v>243</v>
      </c>
      <c r="B491" s="6" t="s">
        <v>15</v>
      </c>
      <c r="C491" s="7">
        <v>162117</v>
      </c>
      <c r="D491" s="8">
        <v>91472.4</v>
      </c>
      <c r="E491" s="9" t="s">
        <v>16</v>
      </c>
      <c r="F491" s="23">
        <v>208</v>
      </c>
      <c r="G491" s="25"/>
      <c r="H491" s="14">
        <f t="shared" si="264"/>
        <v>0.55000000000000004</v>
      </c>
      <c r="I491" s="25">
        <f ca="1">IFERROR(__xludf.DUMMYFUNCTION("ROUND(D491*GOOGLEFINANCE(""RUBKZT"")*H491)"),392594)</f>
        <v>392594</v>
      </c>
      <c r="J491" s="26">
        <f ca="1">IFERROR(__xludf.DUMMYFUNCTION("ROUND(I491*GOOGLEFINANCE(""KZTEUR""))"),822)</f>
        <v>822</v>
      </c>
      <c r="K491" s="26">
        <f t="shared" ca="1" si="265"/>
        <v>3952</v>
      </c>
      <c r="L491" s="26">
        <f t="shared" ca="1" si="266"/>
        <v>750.88</v>
      </c>
      <c r="M491" s="26">
        <f t="shared" ref="M491:N491" si="501">M$3</f>
        <v>500</v>
      </c>
      <c r="N491" s="26">
        <f t="shared" si="501"/>
        <v>500</v>
      </c>
      <c r="O491" s="26">
        <f ca="1">IFERROR(__xludf.DUMMYFUNCTION("ROUND(GOOGLEFINANCE(""Currency:EURKZT"")*K491)"),1887355)</f>
        <v>1887355</v>
      </c>
      <c r="P491" s="26">
        <f ca="1">IFERROR(__xludf.DUMMYFUNCTION("ROUND(GOOGLEFINANCE(""Currency:EURKZT"")*M491)"),238785)</f>
        <v>238785</v>
      </c>
      <c r="Q491" s="26">
        <f ca="1">IFERROR(__xludf.DUMMYFUNCTION("ROUND(GOOGLEFINANCE(""Currency:EURKZT"")*N491)"),238785)</f>
        <v>238785</v>
      </c>
      <c r="R491" s="26">
        <f t="shared" ca="1" si="268"/>
        <v>226483</v>
      </c>
      <c r="S491" s="26">
        <f t="shared" ca="1" si="269"/>
        <v>2591408</v>
      </c>
      <c r="T491" s="26">
        <f ca="1">IFERROR(__xludf.DUMMYFUNCTION("ROUND(GOOGLEFINANCE(""Currency:EURKZT"")*L491+S491)"),2950005)</f>
        <v>2950005</v>
      </c>
      <c r="U491" s="26">
        <f ca="1">IFERROR(__xludf.DUMMYFUNCTION("D491*GOOGLEFINANCE(""RUBKZT"")*1000/F491"),3431764.24868886)</f>
        <v>3431764.2486888599</v>
      </c>
      <c r="V491" s="27">
        <f t="shared" ca="1" si="270"/>
        <v>0.16330794310140487</v>
      </c>
    </row>
    <row r="492" spans="1:22" ht="12.75" customHeight="1" x14ac:dyDescent="0.2">
      <c r="A492" s="6" t="s">
        <v>244</v>
      </c>
      <c r="B492" s="6" t="s">
        <v>15</v>
      </c>
      <c r="C492" s="7">
        <v>162119</v>
      </c>
      <c r="D492" s="8">
        <v>91596</v>
      </c>
      <c r="E492" s="9" t="s">
        <v>16</v>
      </c>
      <c r="F492" s="23">
        <v>208</v>
      </c>
      <c r="G492" s="25"/>
      <c r="H492" s="14">
        <f t="shared" si="264"/>
        <v>0.55000000000000004</v>
      </c>
      <c r="I492" s="25">
        <f ca="1">IFERROR(__xludf.DUMMYFUNCTION("ROUND(D492*GOOGLEFINANCE(""RUBKZT"")*H492)"),393124)</f>
        <v>393124</v>
      </c>
      <c r="J492" s="26">
        <f ca="1">IFERROR(__xludf.DUMMYFUNCTION("ROUND(I492*GOOGLEFINANCE(""KZTEUR""))"),823)</f>
        <v>823</v>
      </c>
      <c r="K492" s="26">
        <f t="shared" ca="1" si="265"/>
        <v>3957</v>
      </c>
      <c r="L492" s="26">
        <f t="shared" ca="1" si="266"/>
        <v>751.83</v>
      </c>
      <c r="M492" s="26">
        <f t="shared" ref="M492:N492" si="502">M$3</f>
        <v>500</v>
      </c>
      <c r="N492" s="26">
        <f t="shared" si="502"/>
        <v>500</v>
      </c>
      <c r="O492" s="26">
        <f ca="1">IFERROR(__xludf.DUMMYFUNCTION("ROUND(GOOGLEFINANCE(""Currency:EURKZT"")*K492)"),1889743)</f>
        <v>1889743</v>
      </c>
      <c r="P492" s="26">
        <f ca="1">IFERROR(__xludf.DUMMYFUNCTION("ROUND(GOOGLEFINANCE(""Currency:EURKZT"")*M492)"),238785)</f>
        <v>238785</v>
      </c>
      <c r="Q492" s="26">
        <f ca="1">IFERROR(__xludf.DUMMYFUNCTION("ROUND(GOOGLEFINANCE(""Currency:EURKZT"")*N492)"),238785)</f>
        <v>238785</v>
      </c>
      <c r="R492" s="26">
        <f t="shared" ca="1" si="268"/>
        <v>226769</v>
      </c>
      <c r="S492" s="26">
        <f t="shared" ca="1" si="269"/>
        <v>2594082</v>
      </c>
      <c r="T492" s="26">
        <f ca="1">IFERROR(__xludf.DUMMYFUNCTION("ROUND(GOOGLEFINANCE(""Currency:EURKZT"")*L492+S492)"),2953133)</f>
        <v>2953133</v>
      </c>
      <c r="U492" s="26">
        <f ca="1">IFERROR(__xludf.DUMMYFUNCTION("D492*GOOGLEFINANCE(""RUBKZT"")*1000/F492"),3436401.34207592)</f>
        <v>3436401.3420759202</v>
      </c>
      <c r="V492" s="27">
        <f t="shared" ca="1" si="270"/>
        <v>0.16364597939744677</v>
      </c>
    </row>
    <row r="493" spans="1:22" ht="12.75" customHeight="1" x14ac:dyDescent="0.2">
      <c r="A493" s="6" t="s">
        <v>245</v>
      </c>
      <c r="B493" s="6" t="s">
        <v>15</v>
      </c>
      <c r="C493" s="7">
        <v>162121</v>
      </c>
      <c r="D493" s="8">
        <v>97206</v>
      </c>
      <c r="E493" s="9" t="s">
        <v>16</v>
      </c>
      <c r="F493" s="23">
        <v>208</v>
      </c>
      <c r="G493" s="25"/>
      <c r="H493" s="14">
        <f t="shared" si="264"/>
        <v>0.55000000000000004</v>
      </c>
      <c r="I493" s="25">
        <f ca="1">IFERROR(__xludf.DUMMYFUNCTION("ROUND(D493*GOOGLEFINANCE(""RUBKZT"")*H493)"),417202)</f>
        <v>417202</v>
      </c>
      <c r="J493" s="26">
        <f ca="1">IFERROR(__xludf.DUMMYFUNCTION("ROUND(I493*GOOGLEFINANCE(""KZTEUR""))"),874)</f>
        <v>874</v>
      </c>
      <c r="K493" s="26">
        <f t="shared" ca="1" si="265"/>
        <v>4202</v>
      </c>
      <c r="L493" s="26">
        <f t="shared" ca="1" si="266"/>
        <v>798.38</v>
      </c>
      <c r="M493" s="26">
        <f t="shared" ref="M493:N493" si="503">M$3</f>
        <v>500</v>
      </c>
      <c r="N493" s="26">
        <f t="shared" si="503"/>
        <v>500</v>
      </c>
      <c r="O493" s="26">
        <f ca="1">IFERROR(__xludf.DUMMYFUNCTION("ROUND(GOOGLEFINANCE(""Currency:EURKZT"")*K493)"),2006748)</f>
        <v>2006748</v>
      </c>
      <c r="P493" s="26">
        <f ca="1">IFERROR(__xludf.DUMMYFUNCTION("ROUND(GOOGLEFINANCE(""Currency:EURKZT"")*M493)"),238785)</f>
        <v>238785</v>
      </c>
      <c r="Q493" s="26">
        <f ca="1">IFERROR(__xludf.DUMMYFUNCTION("ROUND(GOOGLEFINANCE(""Currency:EURKZT"")*N493)"),238785)</f>
        <v>238785</v>
      </c>
      <c r="R493" s="26">
        <f t="shared" ca="1" si="268"/>
        <v>240810</v>
      </c>
      <c r="S493" s="26">
        <f t="shared" ca="1" si="269"/>
        <v>2725128</v>
      </c>
      <c r="T493" s="26">
        <f ca="1">IFERROR(__xludf.DUMMYFUNCTION("ROUND(GOOGLEFINANCE(""Currency:EURKZT"")*L493+S493)"),3106410)</f>
        <v>3106410</v>
      </c>
      <c r="U493" s="26">
        <f ca="1">IFERROR(__xludf.DUMMYFUNCTION("D493*GOOGLEFINANCE(""RUBKZT"")*1000/F493"),3646871.35745919)</f>
        <v>3646871.3574591898</v>
      </c>
      <c r="V493" s="27">
        <f t="shared" ca="1" si="270"/>
        <v>0.17398262220994326</v>
      </c>
    </row>
    <row r="494" spans="1:22" ht="12.75" customHeight="1" x14ac:dyDescent="0.2">
      <c r="A494" s="6" t="s">
        <v>246</v>
      </c>
      <c r="B494" s="6" t="s">
        <v>15</v>
      </c>
      <c r="C494" s="7">
        <v>162124</v>
      </c>
      <c r="D494" s="8">
        <v>99402</v>
      </c>
      <c r="E494" s="9" t="s">
        <v>16</v>
      </c>
      <c r="F494" s="23">
        <v>208</v>
      </c>
      <c r="G494" s="25"/>
      <c r="H494" s="14">
        <f t="shared" si="264"/>
        <v>0.55000000000000004</v>
      </c>
      <c r="I494" s="25">
        <f ca="1">IFERROR(__xludf.DUMMYFUNCTION("ROUND(D494*GOOGLEFINANCE(""RUBKZT"")*H494)"),426627)</f>
        <v>426627</v>
      </c>
      <c r="J494" s="26">
        <f ca="1">IFERROR(__xludf.DUMMYFUNCTION("ROUND(I494*GOOGLEFINANCE(""KZTEUR""))"),893)</f>
        <v>893</v>
      </c>
      <c r="K494" s="26">
        <f t="shared" ca="1" si="265"/>
        <v>4293</v>
      </c>
      <c r="L494" s="26">
        <f t="shared" ca="1" si="266"/>
        <v>815.67</v>
      </c>
      <c r="M494" s="26">
        <f t="shared" ref="M494:N494" si="504">M$3</f>
        <v>500</v>
      </c>
      <c r="N494" s="26">
        <f t="shared" si="504"/>
        <v>500</v>
      </c>
      <c r="O494" s="26">
        <f ca="1">IFERROR(__xludf.DUMMYFUNCTION("ROUND(GOOGLEFINANCE(""Currency:EURKZT"")*K494)"),2050206)</f>
        <v>2050206</v>
      </c>
      <c r="P494" s="26">
        <f ca="1">IFERROR(__xludf.DUMMYFUNCTION("ROUND(GOOGLEFINANCE(""Currency:EURKZT"")*M494)"),238785)</f>
        <v>238785</v>
      </c>
      <c r="Q494" s="26">
        <f ca="1">IFERROR(__xludf.DUMMYFUNCTION("ROUND(GOOGLEFINANCE(""Currency:EURKZT"")*N494)"),238785)</f>
        <v>238785</v>
      </c>
      <c r="R494" s="26">
        <f t="shared" ca="1" si="268"/>
        <v>246025</v>
      </c>
      <c r="S494" s="26">
        <f t="shared" ca="1" si="269"/>
        <v>2773801</v>
      </c>
      <c r="T494" s="26">
        <f ca="1">IFERROR(__xludf.DUMMYFUNCTION("ROUND(GOOGLEFINANCE(""Currency:EURKZT"")*L494+S494)"),3163340)</f>
        <v>3163340</v>
      </c>
      <c r="U494" s="26">
        <f ca="1">IFERROR(__xludf.DUMMYFUNCTION("D494*GOOGLEFINANCE(""RUBKZT"")*1000/F494"),3729258.55064665)</f>
        <v>3729258.5506466501</v>
      </c>
      <c r="V494" s="27">
        <f t="shared" ca="1" si="270"/>
        <v>0.17889905942663456</v>
      </c>
    </row>
    <row r="495" spans="1:22" ht="12.75" customHeight="1" x14ac:dyDescent="0.2">
      <c r="A495" s="6" t="s">
        <v>247</v>
      </c>
      <c r="B495" s="6" t="s">
        <v>15</v>
      </c>
      <c r="C495" s="7">
        <v>162126</v>
      </c>
      <c r="D495" s="8">
        <v>112923.59999999999</v>
      </c>
      <c r="E495" s="9" t="s">
        <v>16</v>
      </c>
      <c r="F495" s="23">
        <v>208</v>
      </c>
      <c r="G495" s="25"/>
      <c r="H495" s="14">
        <f t="shared" si="264"/>
        <v>0.55000000000000004</v>
      </c>
      <c r="I495" s="25">
        <f ca="1">IFERROR(__xludf.DUMMYFUNCTION("ROUND(D495*GOOGLEFINANCE(""RUBKZT"")*H495)"),484661)</f>
        <v>484661</v>
      </c>
      <c r="J495" s="26">
        <f ca="1">IFERROR(__xludf.DUMMYFUNCTION("ROUND(I495*GOOGLEFINANCE(""KZTEUR""))"),1015)</f>
        <v>1015</v>
      </c>
      <c r="K495" s="26">
        <f t="shared" ca="1" si="265"/>
        <v>4880</v>
      </c>
      <c r="L495" s="26">
        <f t="shared" ca="1" si="266"/>
        <v>927.2</v>
      </c>
      <c r="M495" s="26">
        <f t="shared" ref="M495:N495" si="505">M$3</f>
        <v>500</v>
      </c>
      <c r="N495" s="26">
        <f t="shared" si="505"/>
        <v>500</v>
      </c>
      <c r="O495" s="26">
        <f ca="1">IFERROR(__xludf.DUMMYFUNCTION("ROUND(GOOGLEFINANCE(""Currency:EURKZT"")*K495)"),2330540)</f>
        <v>2330540</v>
      </c>
      <c r="P495" s="26">
        <f ca="1">IFERROR(__xludf.DUMMYFUNCTION("ROUND(GOOGLEFINANCE(""Currency:EURKZT"")*M495)"),238785)</f>
        <v>238785</v>
      </c>
      <c r="Q495" s="26">
        <f ca="1">IFERROR(__xludf.DUMMYFUNCTION("ROUND(GOOGLEFINANCE(""Currency:EURKZT"")*N495)"),238785)</f>
        <v>238785</v>
      </c>
      <c r="R495" s="26">
        <f t="shared" ca="1" si="268"/>
        <v>279665</v>
      </c>
      <c r="S495" s="26">
        <f t="shared" ca="1" si="269"/>
        <v>3087775</v>
      </c>
      <c r="T495" s="26">
        <f ca="1">IFERROR(__xludf.DUMMYFUNCTION("ROUND(GOOGLEFINANCE(""Currency:EURKZT"")*L495+S495)"),3530578)</f>
        <v>3530578</v>
      </c>
      <c r="U495" s="26">
        <f ca="1">IFERROR(__xludf.DUMMYFUNCTION("D495*GOOGLEFINANCE(""RUBKZT"")*1000/F495"),4236547.56312551)</f>
        <v>4236547.5631255098</v>
      </c>
      <c r="V495" s="27">
        <f t="shared" ca="1" si="270"/>
        <v>0.19995863655342264</v>
      </c>
    </row>
    <row r="496" spans="1:22" ht="12.75" customHeight="1" x14ac:dyDescent="0.2">
      <c r="A496" s="6" t="s">
        <v>249</v>
      </c>
      <c r="B496" s="6" t="s">
        <v>15</v>
      </c>
      <c r="C496" s="7">
        <v>163822</v>
      </c>
      <c r="D496" s="8">
        <v>131258.4</v>
      </c>
      <c r="E496" s="9" t="s">
        <v>16</v>
      </c>
      <c r="F496" s="23">
        <v>208</v>
      </c>
      <c r="G496" s="25"/>
      <c r="H496" s="14">
        <f t="shared" si="264"/>
        <v>0.55000000000000004</v>
      </c>
      <c r="I496" s="25">
        <f ca="1">IFERROR(__xludf.DUMMYFUNCTION("ROUND(D496*GOOGLEFINANCE(""RUBKZT"")*H496)"),563353)</f>
        <v>563353</v>
      </c>
      <c r="J496" s="26">
        <f ca="1">IFERROR(__xludf.DUMMYFUNCTION("ROUND(I496*GOOGLEFINANCE(""KZTEUR""))"),1180)</f>
        <v>1180</v>
      </c>
      <c r="K496" s="26">
        <f t="shared" ca="1" si="265"/>
        <v>5673</v>
      </c>
      <c r="L496" s="26">
        <f t="shared" ca="1" si="266"/>
        <v>1077.8700000000001</v>
      </c>
      <c r="M496" s="26">
        <f t="shared" ref="M496:N496" si="506">M$3</f>
        <v>500</v>
      </c>
      <c r="N496" s="26">
        <f t="shared" si="506"/>
        <v>500</v>
      </c>
      <c r="O496" s="26">
        <f ca="1">IFERROR(__xludf.DUMMYFUNCTION("ROUND(GOOGLEFINANCE(""Currency:EURKZT"")*K496)"),2709252)</f>
        <v>2709252</v>
      </c>
      <c r="P496" s="26">
        <f ca="1">IFERROR(__xludf.DUMMYFUNCTION("ROUND(GOOGLEFINANCE(""Currency:EURKZT"")*M496)"),238785)</f>
        <v>238785</v>
      </c>
      <c r="Q496" s="26">
        <f ca="1">IFERROR(__xludf.DUMMYFUNCTION("ROUND(GOOGLEFINANCE(""Currency:EURKZT"")*N496)"),238785)</f>
        <v>238785</v>
      </c>
      <c r="R496" s="26">
        <f t="shared" ca="1" si="268"/>
        <v>325110</v>
      </c>
      <c r="S496" s="26">
        <f t="shared" ca="1" si="269"/>
        <v>3511932</v>
      </c>
      <c r="T496" s="26">
        <f ca="1">IFERROR(__xludf.DUMMYFUNCTION("ROUND(GOOGLEFINANCE(""Currency:EURKZT"")*L496+S496)"),4026690)</f>
        <v>4026690</v>
      </c>
      <c r="U496" s="26">
        <f ca="1">IFERROR(__xludf.DUMMYFUNCTION("D496*GOOGLEFINANCE(""RUBKZT"")*1000/F496"),4924413.0957546)</f>
        <v>4924413.0957546001</v>
      </c>
      <c r="V496" s="27">
        <f t="shared" ca="1" si="270"/>
        <v>0.22294318553317988</v>
      </c>
    </row>
    <row r="497" spans="1:22" ht="12.75" customHeight="1" x14ac:dyDescent="0.2">
      <c r="A497" s="6" t="s">
        <v>250</v>
      </c>
      <c r="B497" s="6" t="s">
        <v>15</v>
      </c>
      <c r="C497" s="7">
        <v>164389</v>
      </c>
      <c r="D497" s="8">
        <v>161091.6</v>
      </c>
      <c r="E497" s="9" t="s">
        <v>16</v>
      </c>
      <c r="F497" s="23">
        <v>208</v>
      </c>
      <c r="G497" s="25"/>
      <c r="H497" s="14">
        <f t="shared" si="264"/>
        <v>0.55000000000000004</v>
      </c>
      <c r="I497" s="25">
        <f ca="1">IFERROR(__xludf.DUMMYFUNCTION("ROUND(D497*GOOGLEFINANCE(""RUBKZT"")*H497)"),691395)</f>
        <v>691395</v>
      </c>
      <c r="J497" s="26">
        <f ca="1">IFERROR(__xludf.DUMMYFUNCTION("ROUND(I497*GOOGLEFINANCE(""KZTEUR""))"),1448)</f>
        <v>1448</v>
      </c>
      <c r="K497" s="26">
        <f t="shared" ca="1" si="265"/>
        <v>6962</v>
      </c>
      <c r="L497" s="26">
        <f t="shared" ca="1" si="266"/>
        <v>1322.78</v>
      </c>
      <c r="M497" s="26">
        <f t="shared" ref="M497:N497" si="507">M$3</f>
        <v>500</v>
      </c>
      <c r="N497" s="26">
        <f t="shared" si="507"/>
        <v>500</v>
      </c>
      <c r="O497" s="26">
        <f ca="1">IFERROR(__xludf.DUMMYFUNCTION("ROUND(GOOGLEFINANCE(""Currency:EURKZT"")*K497)"),3324840)</f>
        <v>3324840</v>
      </c>
      <c r="P497" s="26">
        <f ca="1">IFERROR(__xludf.DUMMYFUNCTION("ROUND(GOOGLEFINANCE(""Currency:EURKZT"")*M497)"),238785)</f>
        <v>238785</v>
      </c>
      <c r="Q497" s="26">
        <f ca="1">IFERROR(__xludf.DUMMYFUNCTION("ROUND(GOOGLEFINANCE(""Currency:EURKZT"")*N497)"),238785)</f>
        <v>238785</v>
      </c>
      <c r="R497" s="26">
        <f t="shared" ca="1" si="268"/>
        <v>398981</v>
      </c>
      <c r="S497" s="26">
        <f t="shared" ca="1" si="269"/>
        <v>4201391</v>
      </c>
      <c r="T497" s="26">
        <f ca="1">IFERROR(__xludf.DUMMYFUNCTION("ROUND(GOOGLEFINANCE(""Currency:EURKZT"")*L497+S497)"),4833111)</f>
        <v>4833111</v>
      </c>
      <c r="U497" s="26">
        <f ca="1">IFERROR(__xludf.DUMMYFUNCTION("D497*GOOGLEFINANCE(""RUBKZT"")*1000/F497"),6043663.37435213)</f>
        <v>6043663.3743521301</v>
      </c>
      <c r="V497" s="27">
        <f t="shared" ca="1" si="270"/>
        <v>0.25047063358406835</v>
      </c>
    </row>
    <row r="498" spans="1:22" ht="12.75" customHeight="1" x14ac:dyDescent="0.2">
      <c r="A498" s="6" t="s">
        <v>134</v>
      </c>
      <c r="B498" s="6" t="s">
        <v>15</v>
      </c>
      <c r="C498" s="7">
        <v>164510</v>
      </c>
      <c r="D498" s="8">
        <v>111142.8</v>
      </c>
      <c r="E498" s="9" t="s">
        <v>16</v>
      </c>
      <c r="F498" s="23">
        <v>208</v>
      </c>
      <c r="G498" s="25"/>
      <c r="H498" s="14">
        <f t="shared" si="264"/>
        <v>0.55000000000000004</v>
      </c>
      <c r="I498" s="25">
        <f ca="1">IFERROR(__xludf.DUMMYFUNCTION("ROUND(D498*GOOGLEFINANCE(""RUBKZT"")*H498)"),477018)</f>
        <v>477018</v>
      </c>
      <c r="J498" s="26">
        <f ca="1">IFERROR(__xludf.DUMMYFUNCTION("ROUND(I498*GOOGLEFINANCE(""KZTEUR""))"),999)</f>
        <v>999</v>
      </c>
      <c r="K498" s="26">
        <f t="shared" ca="1" si="265"/>
        <v>4803</v>
      </c>
      <c r="L498" s="26">
        <f t="shared" ca="1" si="266"/>
        <v>912.57</v>
      </c>
      <c r="M498" s="26">
        <f t="shared" ref="M498:N498" si="508">M$3</f>
        <v>500</v>
      </c>
      <c r="N498" s="26">
        <f t="shared" si="508"/>
        <v>500</v>
      </c>
      <c r="O498" s="26">
        <f ca="1">IFERROR(__xludf.DUMMYFUNCTION("ROUND(GOOGLEFINANCE(""Currency:EURKZT"")*K498)"),2293767)</f>
        <v>2293767</v>
      </c>
      <c r="P498" s="26">
        <f ca="1">IFERROR(__xludf.DUMMYFUNCTION("ROUND(GOOGLEFINANCE(""Currency:EURKZT"")*M498)"),238785)</f>
        <v>238785</v>
      </c>
      <c r="Q498" s="26">
        <f ca="1">IFERROR(__xludf.DUMMYFUNCTION("ROUND(GOOGLEFINANCE(""Currency:EURKZT"")*N498)"),238785)</f>
        <v>238785</v>
      </c>
      <c r="R498" s="26">
        <f t="shared" ca="1" si="268"/>
        <v>275252</v>
      </c>
      <c r="S498" s="26">
        <f t="shared" ca="1" si="269"/>
        <v>3046589</v>
      </c>
      <c r="T498" s="26">
        <f ca="1">IFERROR(__xludf.DUMMYFUNCTION("ROUND(GOOGLEFINANCE(""Currency:EURKZT"")*L498+S498)"),3482405)</f>
        <v>3482405</v>
      </c>
      <c r="U498" s="26">
        <f ca="1">IFERROR(__xludf.DUMMYFUNCTION("D498*GOOGLEFINANCE(""RUBKZT"")*1000/F498"),4169737.40209262)</f>
        <v>4169737.4020926198</v>
      </c>
      <c r="V498" s="27">
        <f t="shared" ca="1" si="270"/>
        <v>0.19737290811741307</v>
      </c>
    </row>
    <row r="499" spans="1:22" ht="12.75" customHeight="1" x14ac:dyDescent="0.2">
      <c r="A499" s="6" t="s">
        <v>251</v>
      </c>
      <c r="B499" s="6" t="s">
        <v>15</v>
      </c>
      <c r="C499" s="7">
        <v>164570</v>
      </c>
      <c r="D499" s="8">
        <v>105410.4</v>
      </c>
      <c r="E499" s="9" t="s">
        <v>16</v>
      </c>
      <c r="F499" s="23">
        <v>208</v>
      </c>
      <c r="G499" s="25"/>
      <c r="H499" s="14">
        <f t="shared" si="264"/>
        <v>0.55000000000000004</v>
      </c>
      <c r="I499" s="25">
        <f ca="1">IFERROR(__xludf.DUMMYFUNCTION("ROUND(D499*GOOGLEFINANCE(""RUBKZT"")*H499)"),452415)</f>
        <v>452415</v>
      </c>
      <c r="J499" s="26">
        <f ca="1">IFERROR(__xludf.DUMMYFUNCTION("ROUND(I499*GOOGLEFINANCE(""KZTEUR""))"),948)</f>
        <v>948</v>
      </c>
      <c r="K499" s="26">
        <f t="shared" ca="1" si="265"/>
        <v>4558</v>
      </c>
      <c r="L499" s="26">
        <f t="shared" ca="1" si="266"/>
        <v>866.02</v>
      </c>
      <c r="M499" s="26">
        <f t="shared" ref="M499:N499" si="509">M$3</f>
        <v>500</v>
      </c>
      <c r="N499" s="26">
        <f t="shared" si="509"/>
        <v>500</v>
      </c>
      <c r="O499" s="26">
        <f ca="1">IFERROR(__xludf.DUMMYFUNCTION("ROUND(GOOGLEFINANCE(""Currency:EURKZT"")*K499)"),2176762)</f>
        <v>2176762</v>
      </c>
      <c r="P499" s="26">
        <f ca="1">IFERROR(__xludf.DUMMYFUNCTION("ROUND(GOOGLEFINANCE(""Currency:EURKZT"")*M499)"),238785)</f>
        <v>238785</v>
      </c>
      <c r="Q499" s="26">
        <f ca="1">IFERROR(__xludf.DUMMYFUNCTION("ROUND(GOOGLEFINANCE(""Currency:EURKZT"")*N499)"),238785)</f>
        <v>238785</v>
      </c>
      <c r="R499" s="26">
        <f t="shared" ca="1" si="268"/>
        <v>261211</v>
      </c>
      <c r="S499" s="26">
        <f t="shared" ca="1" si="269"/>
        <v>2915543</v>
      </c>
      <c r="T499" s="26">
        <f ca="1">IFERROR(__xludf.DUMMYFUNCTION("ROUND(GOOGLEFINANCE(""Currency:EURKZT"")*L499+S499)"),3329128)</f>
        <v>3329128</v>
      </c>
      <c r="U499" s="26">
        <f ca="1">IFERROR(__xludf.DUMMYFUNCTION("D499*GOOGLEFINANCE(""RUBKZT"")*1000/F499"),3954675.31364644)</f>
        <v>3954675.3136464399</v>
      </c>
      <c r="V499" s="27">
        <f t="shared" ca="1" si="270"/>
        <v>0.18790125031132474</v>
      </c>
    </row>
    <row r="500" spans="1:22" ht="12.75" customHeight="1" x14ac:dyDescent="0.2">
      <c r="A500" s="6" t="s">
        <v>253</v>
      </c>
      <c r="B500" s="6" t="s">
        <v>15</v>
      </c>
      <c r="C500" s="7">
        <v>164607</v>
      </c>
      <c r="D500" s="8">
        <v>82312.800000000003</v>
      </c>
      <c r="E500" s="9" t="s">
        <v>16</v>
      </c>
      <c r="F500" s="23">
        <v>208</v>
      </c>
      <c r="G500" s="25"/>
      <c r="H500" s="14">
        <f t="shared" si="264"/>
        <v>0.55000000000000004</v>
      </c>
      <c r="I500" s="25">
        <f ca="1">IFERROR(__xludf.DUMMYFUNCTION("ROUND(D500*GOOGLEFINANCE(""RUBKZT"")*H500)"),353281)</f>
        <v>353281</v>
      </c>
      <c r="J500" s="26">
        <f ca="1">IFERROR(__xludf.DUMMYFUNCTION("ROUND(I500*GOOGLEFINANCE(""KZTEUR""))"),740)</f>
        <v>740</v>
      </c>
      <c r="K500" s="26">
        <f t="shared" ca="1" si="265"/>
        <v>3558</v>
      </c>
      <c r="L500" s="26">
        <f t="shared" ca="1" si="266"/>
        <v>676.02</v>
      </c>
      <c r="M500" s="26">
        <f t="shared" ref="M500:N500" si="510">M$3</f>
        <v>500</v>
      </c>
      <c r="N500" s="26">
        <f t="shared" si="510"/>
        <v>500</v>
      </c>
      <c r="O500" s="26">
        <f ca="1">IFERROR(__xludf.DUMMYFUNCTION("ROUND(GOOGLEFINANCE(""Currency:EURKZT"")*K500)"),1699193)</f>
        <v>1699193</v>
      </c>
      <c r="P500" s="26">
        <f ca="1">IFERROR(__xludf.DUMMYFUNCTION("ROUND(GOOGLEFINANCE(""Currency:EURKZT"")*M500)"),238785)</f>
        <v>238785</v>
      </c>
      <c r="Q500" s="26">
        <f ca="1">IFERROR(__xludf.DUMMYFUNCTION("ROUND(GOOGLEFINANCE(""Currency:EURKZT"")*N500)"),238785)</f>
        <v>238785</v>
      </c>
      <c r="R500" s="26">
        <f t="shared" ca="1" si="268"/>
        <v>203903</v>
      </c>
      <c r="S500" s="26">
        <f t="shared" ca="1" si="269"/>
        <v>2380666</v>
      </c>
      <c r="T500" s="26">
        <f ca="1">IFERROR(__xludf.DUMMYFUNCTION("ROUND(GOOGLEFINANCE(""Currency:EURKZT"")*L500+S500)"),2703513)</f>
        <v>2703513</v>
      </c>
      <c r="U500" s="26">
        <f ca="1">IFERROR(__xludf.DUMMYFUNCTION("D500*GOOGLEFINANCE(""RUBKZT"")*1000/F500"),3088124.11448127)</f>
        <v>3088124.1144812698</v>
      </c>
      <c r="V500" s="27">
        <f t="shared" ca="1" si="270"/>
        <v>0.1422634603500223</v>
      </c>
    </row>
    <row r="501" spans="1:22" ht="12.75" customHeight="1" x14ac:dyDescent="0.2">
      <c r="A501" s="6" t="s">
        <v>255</v>
      </c>
      <c r="B501" s="6" t="s">
        <v>15</v>
      </c>
      <c r="C501" s="7">
        <v>164840</v>
      </c>
      <c r="D501" s="8">
        <v>144367.19999999998</v>
      </c>
      <c r="E501" s="9" t="s">
        <v>16</v>
      </c>
      <c r="F501" s="23">
        <v>208</v>
      </c>
      <c r="G501" s="25"/>
      <c r="H501" s="14">
        <f t="shared" si="264"/>
        <v>0.55000000000000004</v>
      </c>
      <c r="I501" s="25">
        <f ca="1">IFERROR(__xludf.DUMMYFUNCTION("ROUND(D501*GOOGLEFINANCE(""RUBKZT"")*H501)"),619615)</f>
        <v>619615</v>
      </c>
      <c r="J501" s="26">
        <f ca="1">IFERROR(__xludf.DUMMYFUNCTION("ROUND(I501*GOOGLEFINANCE(""KZTEUR""))"),1298)</f>
        <v>1298</v>
      </c>
      <c r="K501" s="26">
        <f t="shared" ca="1" si="265"/>
        <v>6240</v>
      </c>
      <c r="L501" s="26">
        <f t="shared" ca="1" si="266"/>
        <v>1185.5999999999999</v>
      </c>
      <c r="M501" s="26">
        <f t="shared" ref="M501:N501" si="511">M$3</f>
        <v>500</v>
      </c>
      <c r="N501" s="26">
        <f t="shared" si="511"/>
        <v>500</v>
      </c>
      <c r="O501" s="26">
        <f ca="1">IFERROR(__xludf.DUMMYFUNCTION("ROUND(GOOGLEFINANCE(""Currency:EURKZT"")*K501)"),2980034)</f>
        <v>2980034</v>
      </c>
      <c r="P501" s="26">
        <f ca="1">IFERROR(__xludf.DUMMYFUNCTION("ROUND(GOOGLEFINANCE(""Currency:EURKZT"")*M501)"),238785)</f>
        <v>238785</v>
      </c>
      <c r="Q501" s="26">
        <f ca="1">IFERROR(__xludf.DUMMYFUNCTION("ROUND(GOOGLEFINANCE(""Currency:EURKZT"")*N501)"),238785)</f>
        <v>238785</v>
      </c>
      <c r="R501" s="26">
        <f t="shared" ca="1" si="268"/>
        <v>357604</v>
      </c>
      <c r="S501" s="26">
        <f t="shared" ca="1" si="269"/>
        <v>3815208</v>
      </c>
      <c r="T501" s="26">
        <f ca="1">IFERROR(__xludf.DUMMYFUNCTION("ROUND(GOOGLEFINANCE(""Currency:EURKZT"")*L501+S501)"),4381415)</f>
        <v>4381415</v>
      </c>
      <c r="U501" s="26">
        <f ca="1">IFERROR(__xludf.DUMMYFUNCTION("D501*GOOGLEFINANCE(""RUBKZT"")*1000/F501"),5416215.11672718)</f>
        <v>5416215.1167271798</v>
      </c>
      <c r="V501" s="27">
        <f t="shared" ca="1" si="270"/>
        <v>0.23617943443549169</v>
      </c>
    </row>
    <row r="502" spans="1:22" ht="12.75" customHeight="1" x14ac:dyDescent="0.2">
      <c r="A502" s="6" t="s">
        <v>257</v>
      </c>
      <c r="B502" s="6" t="s">
        <v>15</v>
      </c>
      <c r="C502" s="7">
        <v>166131</v>
      </c>
      <c r="D502" s="8">
        <v>196524</v>
      </c>
      <c r="E502" s="9" t="s">
        <v>16</v>
      </c>
      <c r="F502" s="23">
        <v>208</v>
      </c>
      <c r="G502" s="25"/>
      <c r="H502" s="14">
        <f t="shared" si="264"/>
        <v>0.55000000000000004</v>
      </c>
      <c r="I502" s="25">
        <f ca="1">IFERROR(__xludf.DUMMYFUNCTION("ROUND(D502*GOOGLEFINANCE(""RUBKZT"")*H502)"),843469)</f>
        <v>843469</v>
      </c>
      <c r="J502" s="26">
        <f ca="1">IFERROR(__xludf.DUMMYFUNCTION("ROUND(I502*GOOGLEFINANCE(""KZTEUR""))"),1766)</f>
        <v>1766</v>
      </c>
      <c r="K502" s="26">
        <f t="shared" ca="1" si="265"/>
        <v>8490</v>
      </c>
      <c r="L502" s="26">
        <f t="shared" ca="1" si="266"/>
        <v>1613.1</v>
      </c>
      <c r="M502" s="26">
        <f t="shared" ref="M502:N502" si="512">M$3</f>
        <v>500</v>
      </c>
      <c r="N502" s="26">
        <f t="shared" si="512"/>
        <v>500</v>
      </c>
      <c r="O502" s="26">
        <f ca="1">IFERROR(__xludf.DUMMYFUNCTION("ROUND(GOOGLEFINANCE(""Currency:EURKZT"")*K502)"),4054566)</f>
        <v>4054566</v>
      </c>
      <c r="P502" s="26">
        <f ca="1">IFERROR(__xludf.DUMMYFUNCTION("ROUND(GOOGLEFINANCE(""Currency:EURKZT"")*M502)"),238785)</f>
        <v>238785</v>
      </c>
      <c r="Q502" s="26">
        <f ca="1">IFERROR(__xludf.DUMMYFUNCTION("ROUND(GOOGLEFINANCE(""Currency:EURKZT"")*N502)"),238785)</f>
        <v>238785</v>
      </c>
      <c r="R502" s="26">
        <f t="shared" ca="1" si="268"/>
        <v>486548</v>
      </c>
      <c r="S502" s="26">
        <f t="shared" ca="1" si="269"/>
        <v>5018684</v>
      </c>
      <c r="T502" s="26">
        <f ca="1">IFERROR(__xludf.DUMMYFUNCTION("ROUND(GOOGLEFINANCE(""Currency:EURKZT"")*L502+S502)"),5789052)</f>
        <v>5789052</v>
      </c>
      <c r="U502" s="26">
        <f ca="1">IFERROR(__xludf.DUMMYFUNCTION("D502*GOOGLEFINANCE(""RUBKZT"")*1000/F502"),7372978.48541561)</f>
        <v>7372978.4854156096</v>
      </c>
      <c r="V502" s="27">
        <f t="shared" ca="1" si="270"/>
        <v>0.27360723058207276</v>
      </c>
    </row>
    <row r="503" spans="1:22" ht="12.75" customHeight="1" x14ac:dyDescent="0.2">
      <c r="A503" s="6" t="s">
        <v>259</v>
      </c>
      <c r="B503" s="6" t="s">
        <v>15</v>
      </c>
      <c r="C503" s="7">
        <v>167295</v>
      </c>
      <c r="D503" s="8">
        <v>88204.800000000003</v>
      </c>
      <c r="E503" s="9" t="s">
        <v>16</v>
      </c>
      <c r="F503" s="23">
        <v>208</v>
      </c>
      <c r="G503" s="25"/>
      <c r="H503" s="14">
        <f t="shared" si="264"/>
        <v>0.55000000000000004</v>
      </c>
      <c r="I503" s="25">
        <f ca="1">IFERROR(__xludf.DUMMYFUNCTION("ROUND(D503*GOOGLEFINANCE(""RUBKZT"")*H503)"),378569)</f>
        <v>378569</v>
      </c>
      <c r="J503" s="26">
        <f ca="1">IFERROR(__xludf.DUMMYFUNCTION("ROUND(I503*GOOGLEFINANCE(""KZTEUR""))"),793)</f>
        <v>793</v>
      </c>
      <c r="K503" s="26">
        <f t="shared" ca="1" si="265"/>
        <v>3813</v>
      </c>
      <c r="L503" s="26">
        <f t="shared" ca="1" si="266"/>
        <v>724.47</v>
      </c>
      <c r="M503" s="26">
        <f t="shared" ref="M503:N503" si="513">M$3</f>
        <v>500</v>
      </c>
      <c r="N503" s="26">
        <f t="shared" si="513"/>
        <v>500</v>
      </c>
      <c r="O503" s="26">
        <f ca="1">IFERROR(__xludf.DUMMYFUNCTION("ROUND(GOOGLEFINANCE(""Currency:EURKZT"")*K503)"),1820973)</f>
        <v>1820973</v>
      </c>
      <c r="P503" s="26">
        <f ca="1">IFERROR(__xludf.DUMMYFUNCTION("ROUND(GOOGLEFINANCE(""Currency:EURKZT"")*M503)"),238785)</f>
        <v>238785</v>
      </c>
      <c r="Q503" s="26">
        <f ca="1">IFERROR(__xludf.DUMMYFUNCTION("ROUND(GOOGLEFINANCE(""Currency:EURKZT"")*N503)"),238785)</f>
        <v>238785</v>
      </c>
      <c r="R503" s="26">
        <f t="shared" ca="1" si="268"/>
        <v>218517</v>
      </c>
      <c r="S503" s="26">
        <f t="shared" ca="1" si="269"/>
        <v>2517060</v>
      </c>
      <c r="T503" s="26">
        <f ca="1">IFERROR(__xludf.DUMMYFUNCTION("ROUND(GOOGLEFINANCE(""Currency:EURKZT"")*L503+S503)"),2863045)</f>
        <v>2863045</v>
      </c>
      <c r="U503" s="26">
        <f ca="1">IFERROR(__xludf.DUMMYFUNCTION("D503*GOOGLEFINANCE(""RUBKZT"")*1000/F503"),3309173.90603889)</f>
        <v>3309173.9060388901</v>
      </c>
      <c r="V503" s="27">
        <f t="shared" ca="1" si="270"/>
        <v>0.15582322528597703</v>
      </c>
    </row>
    <row r="504" spans="1:22" ht="12.75" customHeight="1" x14ac:dyDescent="0.2">
      <c r="A504" s="6" t="s">
        <v>260</v>
      </c>
      <c r="B504" s="6" t="s">
        <v>15</v>
      </c>
      <c r="C504" s="7">
        <v>167654</v>
      </c>
      <c r="D504" s="8">
        <v>113540.4</v>
      </c>
      <c r="E504" s="9" t="s">
        <v>7</v>
      </c>
      <c r="F504" s="23">
        <v>208</v>
      </c>
      <c r="G504" s="25"/>
      <c r="H504" s="14">
        <f t="shared" si="264"/>
        <v>0.55000000000000004</v>
      </c>
      <c r="I504" s="25">
        <f ca="1">IFERROR(__xludf.DUMMYFUNCTION("ROUND(D504*GOOGLEFINANCE(""RUBKZT"")*H504)"),487308)</f>
        <v>487308</v>
      </c>
      <c r="J504" s="26">
        <f ca="1">IFERROR(__xludf.DUMMYFUNCTION("ROUND(I504*GOOGLEFINANCE(""KZTEUR""))"),1021)</f>
        <v>1021</v>
      </c>
      <c r="K504" s="26">
        <f t="shared" ca="1" si="265"/>
        <v>4909</v>
      </c>
      <c r="L504" s="26">
        <f t="shared" ca="1" si="266"/>
        <v>932.71</v>
      </c>
      <c r="M504" s="26">
        <f t="shared" ref="M504:N504" si="514">M$3</f>
        <v>500</v>
      </c>
      <c r="N504" s="26">
        <f t="shared" si="514"/>
        <v>500</v>
      </c>
      <c r="O504" s="26">
        <f ca="1">IFERROR(__xludf.DUMMYFUNCTION("ROUND(GOOGLEFINANCE(""Currency:EURKZT"")*K504)"),2344389)</f>
        <v>2344389</v>
      </c>
      <c r="P504" s="26">
        <f ca="1">IFERROR(__xludf.DUMMYFUNCTION("ROUND(GOOGLEFINANCE(""Currency:EURKZT"")*M504)"),238785)</f>
        <v>238785</v>
      </c>
      <c r="Q504" s="26">
        <f ca="1">IFERROR(__xludf.DUMMYFUNCTION("ROUND(GOOGLEFINANCE(""Currency:EURKZT"")*N504)"),238785)</f>
        <v>238785</v>
      </c>
      <c r="R504" s="26">
        <f t="shared" ca="1" si="268"/>
        <v>281327</v>
      </c>
      <c r="S504" s="26">
        <f t="shared" ca="1" si="269"/>
        <v>3103286</v>
      </c>
      <c r="T504" s="26">
        <f ca="1">IFERROR(__xludf.DUMMYFUNCTION("ROUND(GOOGLEFINANCE(""Currency:EURKZT"")*L504+S504)"),3548720)</f>
        <v>3548720</v>
      </c>
      <c r="U504" s="26">
        <f ca="1">IFERROR(__xludf.DUMMYFUNCTION("D504*GOOGLEFINANCE(""RUBKZT"")*1000/F504"),4259688.00973663)</f>
        <v>4259688.0097366301</v>
      </c>
      <c r="V504" s="27">
        <f t="shared" ca="1" si="270"/>
        <v>0.20034491583912795</v>
      </c>
    </row>
    <row r="505" spans="1:22" ht="12.75" customHeight="1" x14ac:dyDescent="0.2">
      <c r="A505" s="6" t="s">
        <v>262</v>
      </c>
      <c r="B505" s="6" t="s">
        <v>15</v>
      </c>
      <c r="C505" s="7">
        <v>168517</v>
      </c>
      <c r="D505" s="8">
        <v>117505.2</v>
      </c>
      <c r="E505" s="9" t="s">
        <v>16</v>
      </c>
      <c r="F505" s="23">
        <v>208</v>
      </c>
      <c r="G505" s="25"/>
      <c r="H505" s="14">
        <f t="shared" si="264"/>
        <v>0.55000000000000004</v>
      </c>
      <c r="I505" s="25">
        <f ca="1">IFERROR(__xludf.DUMMYFUNCTION("ROUND(D505*GOOGLEFINANCE(""RUBKZT"")*H505)"),504325)</f>
        <v>504325</v>
      </c>
      <c r="J505" s="26">
        <f ca="1">IFERROR(__xludf.DUMMYFUNCTION("ROUND(I505*GOOGLEFINANCE(""KZTEUR""))"),1056)</f>
        <v>1056</v>
      </c>
      <c r="K505" s="26">
        <f t="shared" ca="1" si="265"/>
        <v>5077</v>
      </c>
      <c r="L505" s="26">
        <f t="shared" ca="1" si="266"/>
        <v>964.63</v>
      </c>
      <c r="M505" s="26">
        <f t="shared" ref="M505:N505" si="515">M$3</f>
        <v>500</v>
      </c>
      <c r="N505" s="26">
        <f t="shared" si="515"/>
        <v>500</v>
      </c>
      <c r="O505" s="26">
        <f ca="1">IFERROR(__xludf.DUMMYFUNCTION("ROUND(GOOGLEFINANCE(""Currency:EURKZT"")*K505)"),2424621)</f>
        <v>2424621</v>
      </c>
      <c r="P505" s="26">
        <f ca="1">IFERROR(__xludf.DUMMYFUNCTION("ROUND(GOOGLEFINANCE(""Currency:EURKZT"")*M505)"),238785)</f>
        <v>238785</v>
      </c>
      <c r="Q505" s="26">
        <f ca="1">IFERROR(__xludf.DUMMYFUNCTION("ROUND(GOOGLEFINANCE(""Currency:EURKZT"")*N505)"),238785)</f>
        <v>238785</v>
      </c>
      <c r="R505" s="26">
        <f t="shared" ca="1" si="268"/>
        <v>290955</v>
      </c>
      <c r="S505" s="26">
        <f t="shared" ca="1" si="269"/>
        <v>3193146</v>
      </c>
      <c r="T505" s="26">
        <f ca="1">IFERROR(__xludf.DUMMYFUNCTION("ROUND(GOOGLEFINANCE(""Currency:EURKZT"")*L505+S505)"),3653824)</f>
        <v>3653824</v>
      </c>
      <c r="U505" s="26">
        <f ca="1">IFERROR(__xludf.DUMMYFUNCTION("D505*GOOGLEFINANCE(""RUBKZT"")*1000/F505"),4408435.16071553)</f>
        <v>4408435.1607155297</v>
      </c>
      <c r="V505" s="27">
        <f t="shared" ca="1" si="270"/>
        <v>0.20652641197702179</v>
      </c>
    </row>
    <row r="506" spans="1:22" ht="12.75" customHeight="1" x14ac:dyDescent="0.2">
      <c r="A506" s="6" t="s">
        <v>263</v>
      </c>
      <c r="B506" s="6" t="s">
        <v>15</v>
      </c>
      <c r="C506" s="7">
        <v>168522</v>
      </c>
      <c r="D506" s="8">
        <v>107286</v>
      </c>
      <c r="E506" s="9" t="s">
        <v>16</v>
      </c>
      <c r="F506" s="23">
        <v>208</v>
      </c>
      <c r="G506" s="25"/>
      <c r="H506" s="14">
        <f t="shared" si="264"/>
        <v>0.55000000000000004</v>
      </c>
      <c r="I506" s="25">
        <f ca="1">IFERROR(__xludf.DUMMYFUNCTION("ROUND(D506*GOOGLEFINANCE(""RUBKZT"")*H506)"),460465)</f>
        <v>460465</v>
      </c>
      <c r="J506" s="26">
        <f ca="1">IFERROR(__xludf.DUMMYFUNCTION("ROUND(I506*GOOGLEFINANCE(""KZTEUR""))"),964)</f>
        <v>964</v>
      </c>
      <c r="K506" s="26">
        <f t="shared" ca="1" si="265"/>
        <v>4635</v>
      </c>
      <c r="L506" s="26">
        <f t="shared" ca="1" si="266"/>
        <v>880.65</v>
      </c>
      <c r="M506" s="26">
        <f t="shared" ref="M506:N506" si="516">M$3</f>
        <v>500</v>
      </c>
      <c r="N506" s="26">
        <f t="shared" si="516"/>
        <v>500</v>
      </c>
      <c r="O506" s="26">
        <f ca="1">IFERROR(__xludf.DUMMYFUNCTION("ROUND(GOOGLEFINANCE(""Currency:EURKZT"")*K506)"),2213535)</f>
        <v>2213535</v>
      </c>
      <c r="P506" s="26">
        <f ca="1">IFERROR(__xludf.DUMMYFUNCTION("ROUND(GOOGLEFINANCE(""Currency:EURKZT"")*M506)"),238785)</f>
        <v>238785</v>
      </c>
      <c r="Q506" s="26">
        <f ca="1">IFERROR(__xludf.DUMMYFUNCTION("ROUND(GOOGLEFINANCE(""Currency:EURKZT"")*N506)"),238785)</f>
        <v>238785</v>
      </c>
      <c r="R506" s="26">
        <f t="shared" ca="1" si="268"/>
        <v>265624</v>
      </c>
      <c r="S506" s="26">
        <f t="shared" ca="1" si="269"/>
        <v>2956729</v>
      </c>
      <c r="T506" s="26">
        <f ca="1">IFERROR(__xludf.DUMMYFUNCTION("ROUND(GOOGLEFINANCE(""Currency:EURKZT"")*L506+S506)"),3377301)</f>
        <v>3377301</v>
      </c>
      <c r="U506" s="26">
        <f ca="1">IFERROR(__xludf.DUMMYFUNCTION("D506*GOOGLEFINANCE(""RUBKZT"")*1000/F506"),4025042.08028688)</f>
        <v>4025042.08028688</v>
      </c>
      <c r="V506" s="27">
        <f t="shared" ca="1" si="270"/>
        <v>0.19179252316772477</v>
      </c>
    </row>
    <row r="507" spans="1:22" ht="12.75" customHeight="1" x14ac:dyDescent="0.2">
      <c r="A507" s="6" t="s">
        <v>264</v>
      </c>
      <c r="B507" s="6" t="s">
        <v>15</v>
      </c>
      <c r="C507" s="7">
        <v>168818</v>
      </c>
      <c r="D507" s="8">
        <v>96772.800000000003</v>
      </c>
      <c r="E507" s="9" t="s">
        <v>16</v>
      </c>
      <c r="F507" s="23">
        <v>208</v>
      </c>
      <c r="G507" s="25"/>
      <c r="H507" s="14">
        <f t="shared" si="264"/>
        <v>0.55000000000000004</v>
      </c>
      <c r="I507" s="25">
        <f ca="1">IFERROR(__xludf.DUMMYFUNCTION("ROUND(D507*GOOGLEFINANCE(""RUBKZT"")*H507)"),415343)</f>
        <v>415343</v>
      </c>
      <c r="J507" s="26">
        <f ca="1">IFERROR(__xludf.DUMMYFUNCTION("ROUND(I507*GOOGLEFINANCE(""KZTEUR""))"),870)</f>
        <v>870</v>
      </c>
      <c r="K507" s="26">
        <f t="shared" ca="1" si="265"/>
        <v>4183</v>
      </c>
      <c r="L507" s="26">
        <f t="shared" ca="1" si="266"/>
        <v>794.77</v>
      </c>
      <c r="M507" s="26">
        <f t="shared" ref="M507:N507" si="517">M$3</f>
        <v>500</v>
      </c>
      <c r="N507" s="26">
        <f t="shared" si="517"/>
        <v>500</v>
      </c>
      <c r="O507" s="26">
        <f ca="1">IFERROR(__xludf.DUMMYFUNCTION("ROUND(GOOGLEFINANCE(""Currency:EURKZT"")*K507)"),1997674)</f>
        <v>1997674</v>
      </c>
      <c r="P507" s="26">
        <f ca="1">IFERROR(__xludf.DUMMYFUNCTION("ROUND(GOOGLEFINANCE(""Currency:EURKZT"")*M507)"),238785)</f>
        <v>238785</v>
      </c>
      <c r="Q507" s="26">
        <f ca="1">IFERROR(__xludf.DUMMYFUNCTION("ROUND(GOOGLEFINANCE(""Currency:EURKZT"")*N507)"),238785)</f>
        <v>238785</v>
      </c>
      <c r="R507" s="26">
        <f t="shared" ca="1" si="268"/>
        <v>239721</v>
      </c>
      <c r="S507" s="26">
        <f t="shared" ca="1" si="269"/>
        <v>2714965</v>
      </c>
      <c r="T507" s="26">
        <f ca="1">IFERROR(__xludf.DUMMYFUNCTION("ROUND(GOOGLEFINANCE(""Currency:EURKZT"")*L507+S507)"),3094523)</f>
        <v>3094523</v>
      </c>
      <c r="U507" s="26">
        <f ca="1">IFERROR(__xludf.DUMMYFUNCTION("D507*GOOGLEFINANCE(""RUBKZT"")*1000/F507"),3630619.02044243)</f>
        <v>3630619.0204424299</v>
      </c>
      <c r="V507" s="27">
        <f t="shared" ca="1" si="270"/>
        <v>0.17324027659268648</v>
      </c>
    </row>
    <row r="508" spans="1:22" ht="12.75" customHeight="1" x14ac:dyDescent="0.2">
      <c r="A508" s="6" t="s">
        <v>265</v>
      </c>
      <c r="B508" s="6" t="s">
        <v>15</v>
      </c>
      <c r="C508" s="7">
        <v>170294</v>
      </c>
      <c r="D508" s="8">
        <v>85966.8</v>
      </c>
      <c r="E508" s="9" t="s">
        <v>16</v>
      </c>
      <c r="F508" s="23">
        <v>208</v>
      </c>
      <c r="G508" s="25"/>
      <c r="H508" s="14">
        <f t="shared" si="264"/>
        <v>0.55000000000000004</v>
      </c>
      <c r="I508" s="25">
        <f ca="1">IFERROR(__xludf.DUMMYFUNCTION("ROUND(D508*GOOGLEFINANCE(""RUBKZT"")*H508)"),368964)</f>
        <v>368964</v>
      </c>
      <c r="J508" s="26">
        <f ca="1">IFERROR(__xludf.DUMMYFUNCTION("ROUND(I508*GOOGLEFINANCE(""KZTEUR""))"),773)</f>
        <v>773</v>
      </c>
      <c r="K508" s="26">
        <f t="shared" ca="1" si="265"/>
        <v>3716</v>
      </c>
      <c r="L508" s="26">
        <f t="shared" ca="1" si="266"/>
        <v>706.04</v>
      </c>
      <c r="M508" s="26">
        <f t="shared" ref="M508:N508" si="518">M$3</f>
        <v>500</v>
      </c>
      <c r="N508" s="26">
        <f t="shared" si="518"/>
        <v>500</v>
      </c>
      <c r="O508" s="26">
        <f ca="1">IFERROR(__xludf.DUMMYFUNCTION("ROUND(GOOGLEFINANCE(""Currency:EURKZT"")*K508)"),1774649)</f>
        <v>1774649</v>
      </c>
      <c r="P508" s="26">
        <f ca="1">IFERROR(__xludf.DUMMYFUNCTION("ROUND(GOOGLEFINANCE(""Currency:EURKZT"")*M508)"),238785)</f>
        <v>238785</v>
      </c>
      <c r="Q508" s="26">
        <f ca="1">IFERROR(__xludf.DUMMYFUNCTION("ROUND(GOOGLEFINANCE(""Currency:EURKZT"")*N508)"),238785)</f>
        <v>238785</v>
      </c>
      <c r="R508" s="26">
        <f t="shared" ca="1" si="268"/>
        <v>212958</v>
      </c>
      <c r="S508" s="26">
        <f t="shared" ca="1" si="269"/>
        <v>2465177</v>
      </c>
      <c r="T508" s="26">
        <f ca="1">IFERROR(__xludf.DUMMYFUNCTION("ROUND(GOOGLEFINANCE(""Currency:EURKZT"")*L508+S508)"),2802360)</f>
        <v>2802360</v>
      </c>
      <c r="U508" s="26">
        <f ca="1">IFERROR(__xludf.DUMMYFUNCTION("D508*GOOGLEFINANCE(""RUBKZT"")*1000/F508"),3225211.00150631)</f>
        <v>3225211.00150631</v>
      </c>
      <c r="V508" s="27">
        <f t="shared" ca="1" si="270"/>
        <v>0.15089103523683964</v>
      </c>
    </row>
    <row r="509" spans="1:22" ht="12.75" customHeight="1" x14ac:dyDescent="0.2">
      <c r="A509" s="6" t="s">
        <v>266</v>
      </c>
      <c r="B509" s="6" t="s">
        <v>15</v>
      </c>
      <c r="C509" s="7">
        <v>170304</v>
      </c>
      <c r="D509" s="8">
        <v>144770.4</v>
      </c>
      <c r="E509" s="9" t="s">
        <v>16</v>
      </c>
      <c r="F509" s="23">
        <v>208</v>
      </c>
      <c r="G509" s="25"/>
      <c r="H509" s="14">
        <f t="shared" si="264"/>
        <v>0.55000000000000004</v>
      </c>
      <c r="I509" s="25">
        <f ca="1">IFERROR(__xludf.DUMMYFUNCTION("ROUND(D509*GOOGLEFINANCE(""RUBKZT"")*H509)"),621346)</f>
        <v>621346</v>
      </c>
      <c r="J509" s="26">
        <f ca="1">IFERROR(__xludf.DUMMYFUNCTION("ROUND(I509*GOOGLEFINANCE(""KZTEUR""))"),1301)</f>
        <v>1301</v>
      </c>
      <c r="K509" s="26">
        <f t="shared" ca="1" si="265"/>
        <v>6255</v>
      </c>
      <c r="L509" s="26">
        <f t="shared" ca="1" si="266"/>
        <v>1188.45</v>
      </c>
      <c r="M509" s="26">
        <f t="shared" ref="M509:N509" si="519">M$3</f>
        <v>500</v>
      </c>
      <c r="N509" s="26">
        <f t="shared" si="519"/>
        <v>500</v>
      </c>
      <c r="O509" s="26">
        <f ca="1">IFERROR(__xludf.DUMMYFUNCTION("ROUND(GOOGLEFINANCE(""Currency:EURKZT"")*K509)"),2987198)</f>
        <v>2987198</v>
      </c>
      <c r="P509" s="26">
        <f ca="1">IFERROR(__xludf.DUMMYFUNCTION("ROUND(GOOGLEFINANCE(""Currency:EURKZT"")*M509)"),238785)</f>
        <v>238785</v>
      </c>
      <c r="Q509" s="26">
        <f ca="1">IFERROR(__xludf.DUMMYFUNCTION("ROUND(GOOGLEFINANCE(""Currency:EURKZT"")*N509)"),238785)</f>
        <v>238785</v>
      </c>
      <c r="R509" s="26">
        <f t="shared" ca="1" si="268"/>
        <v>358464</v>
      </c>
      <c r="S509" s="26">
        <f t="shared" ca="1" si="269"/>
        <v>3823232</v>
      </c>
      <c r="T509" s="26">
        <f ca="1">IFERROR(__xludf.DUMMYFUNCTION("ROUND(GOOGLEFINANCE(""Currency:EURKZT"")*L509+S509)"),4390800)</f>
        <v>4390800</v>
      </c>
      <c r="U509" s="26">
        <f ca="1">IFERROR(__xludf.DUMMYFUNCTION("D509*GOOGLEFINANCE(""RUBKZT"")*1000/F509"),5431341.94564029)</f>
        <v>5431341.9456402902</v>
      </c>
      <c r="V509" s="27">
        <f t="shared" ca="1" si="270"/>
        <v>0.23698231430269887</v>
      </c>
    </row>
    <row r="510" spans="1:22" ht="12.75" customHeight="1" x14ac:dyDescent="0.2">
      <c r="A510" s="6" t="s">
        <v>268</v>
      </c>
      <c r="B510" s="6" t="s">
        <v>15</v>
      </c>
      <c r="C510" s="7">
        <v>170748</v>
      </c>
      <c r="D510" s="8">
        <v>122998.79999999999</v>
      </c>
      <c r="E510" s="9" t="s">
        <v>16</v>
      </c>
      <c r="F510" s="23">
        <v>208</v>
      </c>
      <c r="G510" s="25"/>
      <c r="H510" s="14">
        <f t="shared" si="264"/>
        <v>0.55000000000000004</v>
      </c>
      <c r="I510" s="25">
        <f ca="1">IFERROR(__xludf.DUMMYFUNCTION("ROUND(D510*GOOGLEFINANCE(""RUBKZT"")*H510)"),527903)</f>
        <v>527903</v>
      </c>
      <c r="J510" s="26">
        <f ca="1">IFERROR(__xludf.DUMMYFUNCTION("ROUND(I510*GOOGLEFINANCE(""KZTEUR""))"),1106)</f>
        <v>1106</v>
      </c>
      <c r="K510" s="26">
        <f t="shared" ca="1" si="265"/>
        <v>5317</v>
      </c>
      <c r="L510" s="26">
        <f t="shared" ca="1" si="266"/>
        <v>1010.23</v>
      </c>
      <c r="M510" s="26">
        <f t="shared" ref="M510:N510" si="520">M$3</f>
        <v>500</v>
      </c>
      <c r="N510" s="26">
        <f t="shared" si="520"/>
        <v>500</v>
      </c>
      <c r="O510" s="26">
        <f ca="1">IFERROR(__xludf.DUMMYFUNCTION("ROUND(GOOGLEFINANCE(""Currency:EURKZT"")*K510)"),2539238)</f>
        <v>2539238</v>
      </c>
      <c r="P510" s="26">
        <f ca="1">IFERROR(__xludf.DUMMYFUNCTION("ROUND(GOOGLEFINANCE(""Currency:EURKZT"")*M510)"),238785)</f>
        <v>238785</v>
      </c>
      <c r="Q510" s="26">
        <f ca="1">IFERROR(__xludf.DUMMYFUNCTION("ROUND(GOOGLEFINANCE(""Currency:EURKZT"")*N510)"),238785)</f>
        <v>238785</v>
      </c>
      <c r="R510" s="26">
        <f t="shared" ca="1" si="268"/>
        <v>304709</v>
      </c>
      <c r="S510" s="26">
        <f t="shared" ca="1" si="269"/>
        <v>3321517</v>
      </c>
      <c r="T510" s="26">
        <f ca="1">IFERROR(__xludf.DUMMYFUNCTION("ROUND(GOOGLEFINANCE(""Currency:EURKZT"")*L510+S510)"),3803972)</f>
        <v>3803972</v>
      </c>
      <c r="U510" s="26">
        <f ca="1">IFERROR(__xludf.DUMMYFUNCTION("D510*GOOGLEFINANCE(""RUBKZT"")*1000/F510"),4614538.20465662)</f>
        <v>4614538.2046566196</v>
      </c>
      <c r="V510" s="27">
        <f t="shared" ca="1" si="270"/>
        <v>0.2130841669330425</v>
      </c>
    </row>
    <row r="511" spans="1:22" ht="12.75" customHeight="1" x14ac:dyDescent="0.2">
      <c r="A511" s="6" t="s">
        <v>269</v>
      </c>
      <c r="B511" s="6" t="s">
        <v>15</v>
      </c>
      <c r="C511" s="7">
        <v>170800</v>
      </c>
      <c r="D511" s="8">
        <v>123904.79999999999</v>
      </c>
      <c r="E511" s="9" t="s">
        <v>16</v>
      </c>
      <c r="F511" s="23">
        <v>208</v>
      </c>
      <c r="G511" s="25"/>
      <c r="H511" s="14">
        <f t="shared" si="264"/>
        <v>0.55000000000000004</v>
      </c>
      <c r="I511" s="25">
        <f ca="1">IFERROR(__xludf.DUMMYFUNCTION("ROUND(D511*GOOGLEFINANCE(""RUBKZT"")*H511)"),531792)</f>
        <v>531792</v>
      </c>
      <c r="J511" s="26">
        <f ca="1">IFERROR(__xludf.DUMMYFUNCTION("ROUND(I511*GOOGLEFINANCE(""KZTEUR""))"),1114)</f>
        <v>1114</v>
      </c>
      <c r="K511" s="26">
        <f t="shared" ca="1" si="265"/>
        <v>5356</v>
      </c>
      <c r="L511" s="26">
        <f t="shared" ca="1" si="266"/>
        <v>1017.64</v>
      </c>
      <c r="M511" s="26">
        <f t="shared" ref="M511:N511" si="521">M$3</f>
        <v>500</v>
      </c>
      <c r="N511" s="26">
        <f t="shared" si="521"/>
        <v>500</v>
      </c>
      <c r="O511" s="26">
        <f ca="1">IFERROR(__xludf.DUMMYFUNCTION("ROUND(GOOGLEFINANCE(""Currency:EURKZT"")*K511)"),2557863)</f>
        <v>2557863</v>
      </c>
      <c r="P511" s="26">
        <f ca="1">IFERROR(__xludf.DUMMYFUNCTION("ROUND(GOOGLEFINANCE(""Currency:EURKZT"")*M511)"),238785)</f>
        <v>238785</v>
      </c>
      <c r="Q511" s="26">
        <f ca="1">IFERROR(__xludf.DUMMYFUNCTION("ROUND(GOOGLEFINANCE(""Currency:EURKZT"")*N511)"),238785)</f>
        <v>238785</v>
      </c>
      <c r="R511" s="26">
        <f t="shared" ca="1" si="268"/>
        <v>306944</v>
      </c>
      <c r="S511" s="26">
        <f t="shared" ca="1" si="269"/>
        <v>3342377</v>
      </c>
      <c r="T511" s="26">
        <f ca="1">IFERROR(__xludf.DUMMYFUNCTION("ROUND(GOOGLEFINANCE(""Currency:EURKZT"")*L511+S511)"),3828371)</f>
        <v>3828371</v>
      </c>
      <c r="U511" s="26">
        <f ca="1">IFERROR(__xludf.DUMMYFUNCTION("D511*GOOGLEFINANCE(""RUBKZT"")*1000/F511"),4648528.54938696)</f>
        <v>4648528.5493869605</v>
      </c>
      <c r="V511" s="27">
        <f t="shared" ca="1" si="270"/>
        <v>0.21423147061425354</v>
      </c>
    </row>
    <row r="512" spans="1:22" ht="12.75" customHeight="1" x14ac:dyDescent="0.2">
      <c r="A512" s="6" t="s">
        <v>271</v>
      </c>
      <c r="B512" s="6" t="s">
        <v>15</v>
      </c>
      <c r="C512" s="7">
        <v>171474</v>
      </c>
      <c r="D512" s="8">
        <v>97448.4</v>
      </c>
      <c r="E512" s="9" t="s">
        <v>16</v>
      </c>
      <c r="F512" s="23">
        <v>208</v>
      </c>
      <c r="G512" s="25"/>
      <c r="H512" s="14">
        <f t="shared" si="264"/>
        <v>0.55000000000000004</v>
      </c>
      <c r="I512" s="25">
        <f ca="1">IFERROR(__xludf.DUMMYFUNCTION("ROUND(D512*GOOGLEFINANCE(""RUBKZT"")*H512)"),418242)</f>
        <v>418242</v>
      </c>
      <c r="J512" s="26">
        <f ca="1">IFERROR(__xludf.DUMMYFUNCTION("ROUND(I512*GOOGLEFINANCE(""KZTEUR""))"),876)</f>
        <v>876</v>
      </c>
      <c r="K512" s="26">
        <f t="shared" ca="1" si="265"/>
        <v>4212</v>
      </c>
      <c r="L512" s="26">
        <f t="shared" ca="1" si="266"/>
        <v>800.28</v>
      </c>
      <c r="M512" s="26">
        <f t="shared" ref="M512:N512" si="522">M$3</f>
        <v>500</v>
      </c>
      <c r="N512" s="26">
        <f t="shared" si="522"/>
        <v>500</v>
      </c>
      <c r="O512" s="26">
        <f ca="1">IFERROR(__xludf.DUMMYFUNCTION("ROUND(GOOGLEFINANCE(""Currency:EURKZT"")*K512)"),2011523)</f>
        <v>2011523</v>
      </c>
      <c r="P512" s="26">
        <f ca="1">IFERROR(__xludf.DUMMYFUNCTION("ROUND(GOOGLEFINANCE(""Currency:EURKZT"")*M512)"),238785)</f>
        <v>238785</v>
      </c>
      <c r="Q512" s="26">
        <f ca="1">IFERROR(__xludf.DUMMYFUNCTION("ROUND(GOOGLEFINANCE(""Currency:EURKZT"")*N512)"),238785)</f>
        <v>238785</v>
      </c>
      <c r="R512" s="26">
        <f t="shared" ca="1" si="268"/>
        <v>241383</v>
      </c>
      <c r="S512" s="26">
        <f t="shared" ca="1" si="269"/>
        <v>2730476</v>
      </c>
      <c r="T512" s="26">
        <f ca="1">IFERROR(__xludf.DUMMYFUNCTION("ROUND(GOOGLEFINANCE(""Currency:EURKZT"")*L512+S512)"),3112665)</f>
        <v>3112665</v>
      </c>
      <c r="U512" s="26">
        <f ca="1">IFERROR(__xludf.DUMMYFUNCTION("D512*GOOGLEFINANCE(""RUBKZT"")*1000/F512"),3655965.46293671)</f>
        <v>3655965.4629367101</v>
      </c>
      <c r="V512" s="27">
        <f t="shared" ca="1" si="270"/>
        <v>0.17454511260823447</v>
      </c>
    </row>
    <row r="513" spans="1:22" ht="12.75" customHeight="1" x14ac:dyDescent="0.2">
      <c r="A513" s="6" t="s">
        <v>274</v>
      </c>
      <c r="B513" s="6" t="s">
        <v>15</v>
      </c>
      <c r="C513" s="7">
        <v>174337</v>
      </c>
      <c r="D513" s="8">
        <v>153217.19999999998</v>
      </c>
      <c r="E513" s="9" t="s">
        <v>16</v>
      </c>
      <c r="F513" s="23">
        <v>208</v>
      </c>
      <c r="G513" s="25"/>
      <c r="H513" s="14">
        <f t="shared" si="264"/>
        <v>0.55000000000000004</v>
      </c>
      <c r="I513" s="25">
        <f ca="1">IFERROR(__xludf.DUMMYFUNCTION("ROUND(D513*GOOGLEFINANCE(""RUBKZT"")*H513)"),657599)</f>
        <v>657599</v>
      </c>
      <c r="J513" s="26">
        <f ca="1">IFERROR(__xludf.DUMMYFUNCTION("ROUND(I513*GOOGLEFINANCE(""KZTEUR""))"),1377)</f>
        <v>1377</v>
      </c>
      <c r="K513" s="26">
        <f t="shared" ca="1" si="265"/>
        <v>6620</v>
      </c>
      <c r="L513" s="26">
        <f t="shared" ca="1" si="266"/>
        <v>1257.8</v>
      </c>
      <c r="M513" s="26">
        <f t="shared" ref="M513:N513" si="523">M$3</f>
        <v>500</v>
      </c>
      <c r="N513" s="26">
        <f t="shared" si="523"/>
        <v>500</v>
      </c>
      <c r="O513" s="26">
        <f ca="1">IFERROR(__xludf.DUMMYFUNCTION("ROUND(GOOGLEFINANCE(""Currency:EURKZT"")*K513)"),3161511)</f>
        <v>3161511</v>
      </c>
      <c r="P513" s="26">
        <f ca="1">IFERROR(__xludf.DUMMYFUNCTION("ROUND(GOOGLEFINANCE(""Currency:EURKZT"")*M513)"),238785)</f>
        <v>238785</v>
      </c>
      <c r="Q513" s="26">
        <f ca="1">IFERROR(__xludf.DUMMYFUNCTION("ROUND(GOOGLEFINANCE(""Currency:EURKZT"")*N513)"),238785)</f>
        <v>238785</v>
      </c>
      <c r="R513" s="26">
        <f t="shared" ca="1" si="268"/>
        <v>379381</v>
      </c>
      <c r="S513" s="26">
        <f t="shared" ca="1" si="269"/>
        <v>4018462</v>
      </c>
      <c r="T513" s="26">
        <f ca="1">IFERROR(__xludf.DUMMYFUNCTION("ROUND(GOOGLEFINANCE(""Currency:EURKZT"")*L513+S513)"),4619149)</f>
        <v>4619149</v>
      </c>
      <c r="U513" s="26">
        <f ca="1">IFERROR(__xludf.DUMMYFUNCTION("D513*GOOGLEFINANCE(""RUBKZT"")*1000/F513"),5748240.00730506)</f>
        <v>5748240.0073050596</v>
      </c>
      <c r="V513" s="27">
        <f t="shared" ca="1" si="270"/>
        <v>0.24443701801025677</v>
      </c>
    </row>
    <row r="514" spans="1:22" ht="12.75" customHeight="1" x14ac:dyDescent="0.2">
      <c r="A514" s="6" t="s">
        <v>275</v>
      </c>
      <c r="B514" s="6" t="s">
        <v>15</v>
      </c>
      <c r="C514" s="7">
        <v>174341</v>
      </c>
      <c r="D514" s="8">
        <v>178606.8</v>
      </c>
      <c r="E514" s="9" t="s">
        <v>16</v>
      </c>
      <c r="F514" s="23">
        <v>208</v>
      </c>
      <c r="G514" s="25"/>
      <c r="H514" s="14">
        <f t="shared" si="264"/>
        <v>0.55000000000000004</v>
      </c>
      <c r="I514" s="25">
        <f ca="1">IFERROR(__xludf.DUMMYFUNCTION("ROUND(D514*GOOGLEFINANCE(""RUBKZT"")*H514)"),766569)</f>
        <v>766569</v>
      </c>
      <c r="J514" s="26">
        <f ca="1">IFERROR(__xludf.DUMMYFUNCTION("ROUND(I514*GOOGLEFINANCE(""KZTEUR""))"),1605)</f>
        <v>1605</v>
      </c>
      <c r="K514" s="26">
        <f t="shared" ca="1" si="265"/>
        <v>7716</v>
      </c>
      <c r="L514" s="26">
        <f t="shared" ca="1" si="266"/>
        <v>1466.04</v>
      </c>
      <c r="M514" s="26">
        <f t="shared" ref="M514:N514" si="524">M$3</f>
        <v>500</v>
      </c>
      <c r="N514" s="26">
        <f t="shared" si="524"/>
        <v>500</v>
      </c>
      <c r="O514" s="26">
        <f ca="1">IFERROR(__xludf.DUMMYFUNCTION("ROUND(GOOGLEFINANCE(""Currency:EURKZT"")*K514)"),3684927)</f>
        <v>3684927</v>
      </c>
      <c r="P514" s="26">
        <f ca="1">IFERROR(__xludf.DUMMYFUNCTION("ROUND(GOOGLEFINANCE(""Currency:EURKZT"")*M514)"),238785)</f>
        <v>238785</v>
      </c>
      <c r="Q514" s="26">
        <f ca="1">IFERROR(__xludf.DUMMYFUNCTION("ROUND(GOOGLEFINANCE(""Currency:EURKZT"")*N514)"),238785)</f>
        <v>238785</v>
      </c>
      <c r="R514" s="26">
        <f t="shared" ca="1" si="268"/>
        <v>442191</v>
      </c>
      <c r="S514" s="26">
        <f t="shared" ca="1" si="269"/>
        <v>4604688</v>
      </c>
      <c r="T514" s="26">
        <f ca="1">IFERROR(__xludf.DUMMYFUNCTION("ROUND(GOOGLEFINANCE(""Currency:EURKZT"")*L514+S514)"),5304824)</f>
        <v>5304824</v>
      </c>
      <c r="U514" s="26">
        <f ca="1">IFERROR(__xludf.DUMMYFUNCTION("D514*GOOGLEFINANCE(""RUBKZT"")*1000/F514"),6700780.02558939)</f>
        <v>6700780.0255893897</v>
      </c>
      <c r="V514" s="27">
        <f t="shared" ca="1" si="270"/>
        <v>0.26314841464851418</v>
      </c>
    </row>
    <row r="515" spans="1:22" ht="12.75" customHeight="1" x14ac:dyDescent="0.2">
      <c r="A515" s="6" t="s">
        <v>279</v>
      </c>
      <c r="B515" s="6" t="s">
        <v>15</v>
      </c>
      <c r="C515" s="7">
        <v>175404</v>
      </c>
      <c r="D515" s="8">
        <v>207804</v>
      </c>
      <c r="E515" s="9" t="s">
        <v>16</v>
      </c>
      <c r="F515" s="23">
        <v>208</v>
      </c>
      <c r="G515" s="25"/>
      <c r="H515" s="14">
        <f t="shared" ref="H515:H769" si="525">H$3+G515</f>
        <v>0.55000000000000004</v>
      </c>
      <c r="I515" s="25">
        <f ca="1">IFERROR(__xludf.DUMMYFUNCTION("ROUND(D515*GOOGLEFINANCE(""RUBKZT"")*H515)"),891882)</f>
        <v>891882</v>
      </c>
      <c r="J515" s="26">
        <f ca="1">IFERROR(__xludf.DUMMYFUNCTION("ROUND(I515*GOOGLEFINANCE(""KZTEUR""))"),1868)</f>
        <v>1868</v>
      </c>
      <c r="K515" s="26">
        <f t="shared" ref="K515:K769" ca="1" si="526">ROUND(J515/F515*1000,0)</f>
        <v>8981</v>
      </c>
      <c r="L515" s="26">
        <f t="shared" ref="L515:L769" ca="1" si="527">K515*L$3</f>
        <v>1706.39</v>
      </c>
      <c r="M515" s="26">
        <f t="shared" ref="M515:N515" si="528">M$3</f>
        <v>500</v>
      </c>
      <c r="N515" s="26">
        <f t="shared" si="528"/>
        <v>500</v>
      </c>
      <c r="O515" s="26">
        <f ca="1">IFERROR(__xludf.DUMMYFUNCTION("ROUND(GOOGLEFINANCE(""Currency:EURKZT"")*K515)"),4289053)</f>
        <v>4289053</v>
      </c>
      <c r="P515" s="26">
        <f ca="1">IFERROR(__xludf.DUMMYFUNCTION("ROUND(GOOGLEFINANCE(""Currency:EURKZT"")*M515)"),238785)</f>
        <v>238785</v>
      </c>
      <c r="Q515" s="26">
        <f ca="1">IFERROR(__xludf.DUMMYFUNCTION("ROUND(GOOGLEFINANCE(""Currency:EURKZT"")*N515)"),238785)</f>
        <v>238785</v>
      </c>
      <c r="R515" s="26">
        <f t="shared" ref="R515:R769" ca="1" si="529">ROUND(O515*R$3,0)</f>
        <v>514686</v>
      </c>
      <c r="S515" s="26">
        <f t="shared" ref="S515:S769" ca="1" si="530">SUM(O515:R515)</f>
        <v>5281309</v>
      </c>
      <c r="T515" s="26">
        <f ca="1">IFERROR(__xludf.DUMMYFUNCTION("ROUND(GOOGLEFINANCE(""Currency:EURKZT"")*L515+S515)"),6096229)</f>
        <v>6096229</v>
      </c>
      <c r="U515" s="26">
        <f ca="1">IFERROR(__xludf.DUMMYFUNCTION("D515*GOOGLEFINANCE(""RUBKZT"")*1000/F515"),7796169.53238946)</f>
        <v>7796169.5323894601</v>
      </c>
      <c r="V515" s="27">
        <f t="shared" ref="V515:V769" ca="1" si="531">(U515-T515)/T515</f>
        <v>0.27885116067481391</v>
      </c>
    </row>
    <row r="516" spans="1:22" ht="12.75" customHeight="1" x14ac:dyDescent="0.2">
      <c r="A516" s="6" t="s">
        <v>280</v>
      </c>
      <c r="B516" s="6" t="s">
        <v>15</v>
      </c>
      <c r="C516" s="7">
        <v>176012</v>
      </c>
      <c r="D516" s="8">
        <v>149420.4</v>
      </c>
      <c r="E516" s="9" t="s">
        <v>16</v>
      </c>
      <c r="F516" s="23">
        <v>208</v>
      </c>
      <c r="G516" s="25"/>
      <c r="H516" s="14">
        <f t="shared" si="525"/>
        <v>0.55000000000000004</v>
      </c>
      <c r="I516" s="25">
        <f ca="1">IFERROR(__xludf.DUMMYFUNCTION("ROUND(D516*GOOGLEFINANCE(""RUBKZT"")*H516)"),641303)</f>
        <v>641303</v>
      </c>
      <c r="J516" s="26">
        <f ca="1">IFERROR(__xludf.DUMMYFUNCTION("ROUND(I516*GOOGLEFINANCE(""KZTEUR""))"),1343)</f>
        <v>1343</v>
      </c>
      <c r="K516" s="26">
        <f t="shared" ca="1" si="526"/>
        <v>6457</v>
      </c>
      <c r="L516" s="26">
        <f t="shared" ca="1" si="527"/>
        <v>1226.83</v>
      </c>
      <c r="M516" s="26">
        <f t="shared" ref="M516:N516" si="532">M$3</f>
        <v>500</v>
      </c>
      <c r="N516" s="26">
        <f t="shared" si="532"/>
        <v>500</v>
      </c>
      <c r="O516" s="26">
        <f ca="1">IFERROR(__xludf.DUMMYFUNCTION("ROUND(GOOGLEFINANCE(""Currency:EURKZT"")*K516)"),3083667)</f>
        <v>3083667</v>
      </c>
      <c r="P516" s="26">
        <f ca="1">IFERROR(__xludf.DUMMYFUNCTION("ROUND(GOOGLEFINANCE(""Currency:EURKZT"")*M516)"),238785)</f>
        <v>238785</v>
      </c>
      <c r="Q516" s="26">
        <f ca="1">IFERROR(__xludf.DUMMYFUNCTION("ROUND(GOOGLEFINANCE(""Currency:EURKZT"")*N516)"),238785)</f>
        <v>238785</v>
      </c>
      <c r="R516" s="26">
        <f t="shared" ca="1" si="529"/>
        <v>370040</v>
      </c>
      <c r="S516" s="26">
        <f t="shared" ca="1" si="530"/>
        <v>3931277</v>
      </c>
      <c r="T516" s="26">
        <f ca="1">IFERROR(__xludf.DUMMYFUNCTION("ROUND(GOOGLEFINANCE(""Currency:EURKZT"")*L516+S516)"),4517174)</f>
        <v>4517174</v>
      </c>
      <c r="U516" s="26">
        <f ca="1">IFERROR(__xludf.DUMMYFUNCTION("D516*GOOGLEFINANCE(""RUBKZT"")*1000/F516"),5605795.70170663)</f>
        <v>5605795.7017066302</v>
      </c>
      <c r="V516" s="27">
        <f t="shared" ca="1" si="531"/>
        <v>0.24099618516059601</v>
      </c>
    </row>
    <row r="517" spans="1:22" ht="12.75" customHeight="1" x14ac:dyDescent="0.2">
      <c r="A517" s="6" t="s">
        <v>242</v>
      </c>
      <c r="B517" s="6" t="s">
        <v>15</v>
      </c>
      <c r="C517" s="7">
        <v>176747</v>
      </c>
      <c r="D517" s="8">
        <v>138319.19999999998</v>
      </c>
      <c r="E517" s="9" t="s">
        <v>16</v>
      </c>
      <c r="F517" s="23">
        <v>208</v>
      </c>
      <c r="G517" s="25"/>
      <c r="H517" s="14">
        <f t="shared" si="525"/>
        <v>0.55000000000000004</v>
      </c>
      <c r="I517" s="25">
        <f ca="1">IFERROR(__xludf.DUMMYFUNCTION("ROUND(D517*GOOGLEFINANCE(""RUBKZT"")*H517)"),593657)</f>
        <v>593657</v>
      </c>
      <c r="J517" s="26">
        <f ca="1">IFERROR(__xludf.DUMMYFUNCTION("ROUND(I517*GOOGLEFINANCE(""KZTEUR""))"),1243)</f>
        <v>1243</v>
      </c>
      <c r="K517" s="26">
        <f t="shared" ca="1" si="526"/>
        <v>5976</v>
      </c>
      <c r="L517" s="26">
        <f t="shared" ca="1" si="527"/>
        <v>1135.44</v>
      </c>
      <c r="M517" s="26">
        <f t="shared" ref="M517:N517" si="533">M$3</f>
        <v>500</v>
      </c>
      <c r="N517" s="26">
        <f t="shared" si="533"/>
        <v>500</v>
      </c>
      <c r="O517" s="26">
        <f ca="1">IFERROR(__xludf.DUMMYFUNCTION("ROUND(GOOGLEFINANCE(""Currency:EURKZT"")*K517)"),2853956)</f>
        <v>2853956</v>
      </c>
      <c r="P517" s="26">
        <f ca="1">IFERROR(__xludf.DUMMYFUNCTION("ROUND(GOOGLEFINANCE(""Currency:EURKZT"")*M517)"),238785)</f>
        <v>238785</v>
      </c>
      <c r="Q517" s="26">
        <f ca="1">IFERROR(__xludf.DUMMYFUNCTION("ROUND(GOOGLEFINANCE(""Currency:EURKZT"")*N517)"),238785)</f>
        <v>238785</v>
      </c>
      <c r="R517" s="26">
        <f t="shared" ca="1" si="529"/>
        <v>342475</v>
      </c>
      <c r="S517" s="26">
        <f t="shared" ca="1" si="530"/>
        <v>3674001</v>
      </c>
      <c r="T517" s="26">
        <f ca="1">IFERROR(__xludf.DUMMYFUNCTION("ROUND(GOOGLEFINANCE(""Currency:EURKZT"")*L517+S517)"),4216253)</f>
        <v>4216253</v>
      </c>
      <c r="U517" s="26">
        <f ca="1">IFERROR(__xludf.DUMMYFUNCTION("D517*GOOGLEFINANCE(""RUBKZT"")*1000/F517"),5189312.68303056)</f>
        <v>5189312.6830305597</v>
      </c>
      <c r="V517" s="27">
        <f t="shared" ca="1" si="531"/>
        <v>0.23078778314075546</v>
      </c>
    </row>
    <row r="518" spans="1:22" ht="12.75" customHeight="1" x14ac:dyDescent="0.2">
      <c r="A518" s="6" t="s">
        <v>285</v>
      </c>
      <c r="B518" s="6" t="s">
        <v>15</v>
      </c>
      <c r="C518" s="7">
        <v>180858</v>
      </c>
      <c r="D518" s="8">
        <v>128910</v>
      </c>
      <c r="E518" s="9" t="s">
        <v>16</v>
      </c>
      <c r="F518" s="23">
        <v>208</v>
      </c>
      <c r="G518" s="25"/>
      <c r="H518" s="14">
        <f t="shared" si="525"/>
        <v>0.55000000000000004</v>
      </c>
      <c r="I518" s="25">
        <f ca="1">IFERROR(__xludf.DUMMYFUNCTION("ROUND(D518*GOOGLEFINANCE(""RUBKZT"")*H518)"),553274)</f>
        <v>553274</v>
      </c>
      <c r="J518" s="26">
        <f ca="1">IFERROR(__xludf.DUMMYFUNCTION("ROUND(I518*GOOGLEFINANCE(""KZTEUR""))"),1159)</f>
        <v>1159</v>
      </c>
      <c r="K518" s="26">
        <f t="shared" ca="1" si="526"/>
        <v>5572</v>
      </c>
      <c r="L518" s="26">
        <f t="shared" ca="1" si="527"/>
        <v>1058.68</v>
      </c>
      <c r="M518" s="26">
        <f t="shared" ref="M518:N518" si="534">M$3</f>
        <v>500</v>
      </c>
      <c r="N518" s="26">
        <f t="shared" si="534"/>
        <v>500</v>
      </c>
      <c r="O518" s="26">
        <f ca="1">IFERROR(__xludf.DUMMYFUNCTION("ROUND(GOOGLEFINANCE(""Currency:EURKZT"")*K518)"),2661018)</f>
        <v>2661018</v>
      </c>
      <c r="P518" s="26">
        <f ca="1">IFERROR(__xludf.DUMMYFUNCTION("ROUND(GOOGLEFINANCE(""Currency:EURKZT"")*M518)"),238785)</f>
        <v>238785</v>
      </c>
      <c r="Q518" s="26">
        <f ca="1">IFERROR(__xludf.DUMMYFUNCTION("ROUND(GOOGLEFINANCE(""Currency:EURKZT"")*N518)"),238785)</f>
        <v>238785</v>
      </c>
      <c r="R518" s="26">
        <f t="shared" ca="1" si="529"/>
        <v>319322</v>
      </c>
      <c r="S518" s="26">
        <f t="shared" ca="1" si="530"/>
        <v>3457910</v>
      </c>
      <c r="T518" s="26">
        <f ca="1">IFERROR(__xludf.DUMMYFUNCTION("ROUND(GOOGLEFINANCE(""Currency:EURKZT"")*L518+S518)"),3963503)</f>
        <v>3963503</v>
      </c>
      <c r="U518" s="26">
        <f ca="1">IFERROR(__xludf.DUMMYFUNCTION("D518*GOOGLEFINANCE(""RUBKZT"")*1000/F518"),4836308.32140057)</f>
        <v>4836308.3214005698</v>
      </c>
      <c r="V518" s="27">
        <f t="shared" ca="1" si="531"/>
        <v>0.22021058679672242</v>
      </c>
    </row>
    <row r="519" spans="1:22" ht="12.75" customHeight="1" x14ac:dyDescent="0.2">
      <c r="A519" s="6" t="s">
        <v>287</v>
      </c>
      <c r="B519" s="6" t="s">
        <v>15</v>
      </c>
      <c r="C519" s="7">
        <v>180968</v>
      </c>
      <c r="D519" s="8">
        <v>112894.8</v>
      </c>
      <c r="E519" s="9" t="s">
        <v>16</v>
      </c>
      <c r="F519" s="23">
        <v>208</v>
      </c>
      <c r="G519" s="25"/>
      <c r="H519" s="14">
        <f t="shared" si="525"/>
        <v>0.55000000000000004</v>
      </c>
      <c r="I519" s="25">
        <f ca="1">IFERROR(__xludf.DUMMYFUNCTION("ROUND(D519*GOOGLEFINANCE(""RUBKZT"")*H519)"),484537)</f>
        <v>484537</v>
      </c>
      <c r="J519" s="26">
        <f ca="1">IFERROR(__xludf.DUMMYFUNCTION("ROUND(I519*GOOGLEFINANCE(""KZTEUR""))"),1015)</f>
        <v>1015</v>
      </c>
      <c r="K519" s="26">
        <f t="shared" ca="1" si="526"/>
        <v>4880</v>
      </c>
      <c r="L519" s="26">
        <f t="shared" ca="1" si="527"/>
        <v>927.2</v>
      </c>
      <c r="M519" s="26">
        <f t="shared" ref="M519:N519" si="535">M$3</f>
        <v>500</v>
      </c>
      <c r="N519" s="26">
        <f t="shared" si="535"/>
        <v>500</v>
      </c>
      <c r="O519" s="26">
        <f ca="1">IFERROR(__xludf.DUMMYFUNCTION("ROUND(GOOGLEFINANCE(""Currency:EURKZT"")*K519)"),2330540)</f>
        <v>2330540</v>
      </c>
      <c r="P519" s="26">
        <f ca="1">IFERROR(__xludf.DUMMYFUNCTION("ROUND(GOOGLEFINANCE(""Currency:EURKZT"")*M519)"),238785)</f>
        <v>238785</v>
      </c>
      <c r="Q519" s="26">
        <f ca="1">IFERROR(__xludf.DUMMYFUNCTION("ROUND(GOOGLEFINANCE(""Currency:EURKZT"")*N519)"),238785)</f>
        <v>238785</v>
      </c>
      <c r="R519" s="26">
        <f t="shared" ca="1" si="529"/>
        <v>279665</v>
      </c>
      <c r="S519" s="26">
        <f t="shared" ca="1" si="530"/>
        <v>3087775</v>
      </c>
      <c r="T519" s="26">
        <f ca="1">IFERROR(__xludf.DUMMYFUNCTION("ROUND(GOOGLEFINANCE(""Currency:EURKZT"")*L519+S519)"),3530578)</f>
        <v>3530578</v>
      </c>
      <c r="U519" s="26">
        <f ca="1">IFERROR(__xludf.DUMMYFUNCTION("D519*GOOGLEFINANCE(""RUBKZT"")*1000/F519"),4235467.075346)</f>
        <v>4235467.0753459996</v>
      </c>
      <c r="V519" s="27">
        <f t="shared" ca="1" si="531"/>
        <v>0.19965259947408032</v>
      </c>
    </row>
    <row r="520" spans="1:22" ht="12.75" customHeight="1" x14ac:dyDescent="0.2">
      <c r="A520" s="6" t="s">
        <v>286</v>
      </c>
      <c r="B520" s="6" t="s">
        <v>15</v>
      </c>
      <c r="C520" s="7">
        <v>181740</v>
      </c>
      <c r="D520" s="8">
        <v>437209.2</v>
      </c>
      <c r="E520" s="9" t="s">
        <v>16</v>
      </c>
      <c r="F520" s="23">
        <v>208</v>
      </c>
      <c r="G520" s="25"/>
      <c r="H520" s="14">
        <f t="shared" si="525"/>
        <v>0.55000000000000004</v>
      </c>
      <c r="I520" s="25">
        <f ca="1">IFERROR(__xludf.DUMMYFUNCTION("ROUND(D520*GOOGLEFINANCE(""RUBKZT"")*H520)"),1876475)</f>
        <v>1876475</v>
      </c>
      <c r="J520" s="26">
        <f ca="1">IFERROR(__xludf.DUMMYFUNCTION("ROUND(I520*GOOGLEFINANCE(""KZTEUR""))"),3930)</f>
        <v>3930</v>
      </c>
      <c r="K520" s="26">
        <f t="shared" ca="1" si="526"/>
        <v>18894</v>
      </c>
      <c r="L520" s="26">
        <f t="shared" ca="1" si="527"/>
        <v>3589.86</v>
      </c>
      <c r="M520" s="26">
        <f t="shared" ref="M520:N520" si="536">M$3</f>
        <v>500</v>
      </c>
      <c r="N520" s="26">
        <f t="shared" si="536"/>
        <v>500</v>
      </c>
      <c r="O520" s="26">
        <f ca="1">IFERROR(__xludf.DUMMYFUNCTION("ROUND(GOOGLEFINANCE(""Currency:EURKZT"")*K520)"),9023200)</f>
        <v>9023200</v>
      </c>
      <c r="P520" s="26">
        <f ca="1">IFERROR(__xludf.DUMMYFUNCTION("ROUND(GOOGLEFINANCE(""Currency:EURKZT"")*M520)"),238785)</f>
        <v>238785</v>
      </c>
      <c r="Q520" s="26">
        <f ca="1">IFERROR(__xludf.DUMMYFUNCTION("ROUND(GOOGLEFINANCE(""Currency:EURKZT"")*N520)"),238785)</f>
        <v>238785</v>
      </c>
      <c r="R520" s="26">
        <f t="shared" ca="1" si="529"/>
        <v>1082784</v>
      </c>
      <c r="S520" s="26">
        <f t="shared" ca="1" si="530"/>
        <v>10583554</v>
      </c>
      <c r="T520" s="26">
        <f ca="1">IFERROR(__xludf.DUMMYFUNCTION("ROUND(GOOGLEFINANCE(""Currency:EURKZT"")*L520+S520)"),12297962)</f>
        <v>12297962</v>
      </c>
      <c r="U520" s="26">
        <f ca="1">IFERROR(__xludf.DUMMYFUNCTION("D520*GOOGLEFINANCE(""RUBKZT"")*1000/F520"),16402749.9197338)</f>
        <v>16402749.9197338</v>
      </c>
      <c r="V520" s="27">
        <f t="shared" ca="1" si="531"/>
        <v>0.33377789911318639</v>
      </c>
    </row>
    <row r="521" spans="1:22" ht="12.75" customHeight="1" x14ac:dyDescent="0.2">
      <c r="A521" s="6" t="s">
        <v>288</v>
      </c>
      <c r="B521" s="6" t="s">
        <v>15</v>
      </c>
      <c r="C521" s="7">
        <v>182021</v>
      </c>
      <c r="D521" s="8">
        <v>95552.4</v>
      </c>
      <c r="E521" s="9" t="s">
        <v>16</v>
      </c>
      <c r="F521" s="23">
        <v>208</v>
      </c>
      <c r="G521" s="25"/>
      <c r="H521" s="14">
        <f t="shared" si="525"/>
        <v>0.55000000000000004</v>
      </c>
      <c r="I521" s="25">
        <f ca="1">IFERROR(__xludf.DUMMYFUNCTION("ROUND(D521*GOOGLEFINANCE(""RUBKZT"")*H521)"),410105)</f>
        <v>410105</v>
      </c>
      <c r="J521" s="26">
        <f ca="1">IFERROR(__xludf.DUMMYFUNCTION("ROUND(I521*GOOGLEFINANCE(""KZTEUR""))"),859)</f>
        <v>859</v>
      </c>
      <c r="K521" s="26">
        <f t="shared" ca="1" si="526"/>
        <v>4130</v>
      </c>
      <c r="L521" s="26">
        <f t="shared" ca="1" si="527"/>
        <v>784.7</v>
      </c>
      <c r="M521" s="26">
        <f t="shared" ref="M521:N521" si="537">M$3</f>
        <v>500</v>
      </c>
      <c r="N521" s="26">
        <f t="shared" si="537"/>
        <v>500</v>
      </c>
      <c r="O521" s="26">
        <f ca="1">IFERROR(__xludf.DUMMYFUNCTION("ROUND(GOOGLEFINANCE(""Currency:EURKZT"")*K521)"),1972363)</f>
        <v>1972363</v>
      </c>
      <c r="P521" s="26">
        <f ca="1">IFERROR(__xludf.DUMMYFUNCTION("ROUND(GOOGLEFINANCE(""Currency:EURKZT"")*M521)"),238785)</f>
        <v>238785</v>
      </c>
      <c r="Q521" s="26">
        <f ca="1">IFERROR(__xludf.DUMMYFUNCTION("ROUND(GOOGLEFINANCE(""Currency:EURKZT"")*N521)"),238785)</f>
        <v>238785</v>
      </c>
      <c r="R521" s="26">
        <f t="shared" ca="1" si="529"/>
        <v>236684</v>
      </c>
      <c r="S521" s="26">
        <f t="shared" ca="1" si="530"/>
        <v>2686617</v>
      </c>
      <c r="T521" s="26">
        <f ca="1">IFERROR(__xludf.DUMMYFUNCTION("ROUND(GOOGLEFINANCE(""Currency:EURKZT"")*L521+S521)"),3061366)</f>
        <v>3061366</v>
      </c>
      <c r="U521" s="26">
        <f ca="1">IFERROR(__xludf.DUMMYFUNCTION("D521*GOOGLEFINANCE(""RUBKZT"")*1000/F521"),3584833.35078579)</f>
        <v>3584833.35078579</v>
      </c>
      <c r="V521" s="27">
        <f t="shared" ca="1" si="531"/>
        <v>0.17099143022617683</v>
      </c>
    </row>
    <row r="522" spans="1:22" ht="12.75" customHeight="1" x14ac:dyDescent="0.2">
      <c r="A522" s="6" t="s">
        <v>292</v>
      </c>
      <c r="B522" s="6" t="s">
        <v>15</v>
      </c>
      <c r="C522" s="7">
        <v>183126</v>
      </c>
      <c r="D522" s="8">
        <v>113684.4</v>
      </c>
      <c r="E522" s="9" t="s">
        <v>7</v>
      </c>
      <c r="F522" s="23">
        <v>208</v>
      </c>
      <c r="G522" s="25"/>
      <c r="H522" s="14">
        <f t="shared" si="525"/>
        <v>0.55000000000000004</v>
      </c>
      <c r="I522" s="25">
        <f ca="1">IFERROR(__xludf.DUMMYFUNCTION("ROUND(D522*GOOGLEFINANCE(""RUBKZT"")*H522)"),487926)</f>
        <v>487926</v>
      </c>
      <c r="J522" s="26">
        <f ca="1">IFERROR(__xludf.DUMMYFUNCTION("ROUND(I522*GOOGLEFINANCE(""KZTEUR""))"),1022)</f>
        <v>1022</v>
      </c>
      <c r="K522" s="26">
        <f t="shared" ca="1" si="526"/>
        <v>4913</v>
      </c>
      <c r="L522" s="26">
        <f t="shared" ca="1" si="527"/>
        <v>933.47</v>
      </c>
      <c r="M522" s="26">
        <f t="shared" ref="M522:N522" si="538">M$3</f>
        <v>500</v>
      </c>
      <c r="N522" s="26">
        <f t="shared" si="538"/>
        <v>500</v>
      </c>
      <c r="O522" s="26">
        <f ca="1">IFERROR(__xludf.DUMMYFUNCTION("ROUND(GOOGLEFINANCE(""Currency:EURKZT"")*K522)"),2346300)</f>
        <v>2346300</v>
      </c>
      <c r="P522" s="26">
        <f ca="1">IFERROR(__xludf.DUMMYFUNCTION("ROUND(GOOGLEFINANCE(""Currency:EURKZT"")*M522)"),238785)</f>
        <v>238785</v>
      </c>
      <c r="Q522" s="26">
        <f ca="1">IFERROR(__xludf.DUMMYFUNCTION("ROUND(GOOGLEFINANCE(""Currency:EURKZT"")*N522)"),238785)</f>
        <v>238785</v>
      </c>
      <c r="R522" s="26">
        <f t="shared" ca="1" si="529"/>
        <v>281556</v>
      </c>
      <c r="S522" s="26">
        <f t="shared" ca="1" si="530"/>
        <v>3105426</v>
      </c>
      <c r="T522" s="26">
        <f ca="1">IFERROR(__xludf.DUMMYFUNCTION("ROUND(GOOGLEFINANCE(""Currency:EURKZT"")*L522+S522)"),3551223)</f>
        <v>3551223</v>
      </c>
      <c r="U522" s="26">
        <f ca="1">IFERROR(__xludf.DUMMYFUNCTION("D522*GOOGLEFINANCE(""RUBKZT"")*1000/F522"),4265090.44863417)</f>
        <v>4265090.44863417</v>
      </c>
      <c r="V522" s="27">
        <f t="shared" ca="1" si="531"/>
        <v>0.20102016928651623</v>
      </c>
    </row>
    <row r="523" spans="1:22" ht="12.75" customHeight="1" x14ac:dyDescent="0.2">
      <c r="A523" s="6" t="s">
        <v>293</v>
      </c>
      <c r="B523" s="6" t="s">
        <v>15</v>
      </c>
      <c r="C523" s="7">
        <v>183134</v>
      </c>
      <c r="D523" s="8">
        <v>132944.4</v>
      </c>
      <c r="E523" s="9" t="s">
        <v>7</v>
      </c>
      <c r="F523" s="23">
        <v>208</v>
      </c>
      <c r="G523" s="25"/>
      <c r="H523" s="14">
        <f t="shared" si="525"/>
        <v>0.55000000000000004</v>
      </c>
      <c r="I523" s="25">
        <f ca="1">IFERROR(__xludf.DUMMYFUNCTION("ROUND(D523*GOOGLEFINANCE(""RUBKZT"")*H523)"),570589)</f>
        <v>570589</v>
      </c>
      <c r="J523" s="26">
        <f ca="1">IFERROR(__xludf.DUMMYFUNCTION("ROUND(I523*GOOGLEFINANCE(""KZTEUR""))"),1195)</f>
        <v>1195</v>
      </c>
      <c r="K523" s="26">
        <f t="shared" ca="1" si="526"/>
        <v>5745</v>
      </c>
      <c r="L523" s="26">
        <f t="shared" ca="1" si="527"/>
        <v>1091.55</v>
      </c>
      <c r="M523" s="26">
        <f t="shared" ref="M523:N523" si="539">M$3</f>
        <v>500</v>
      </c>
      <c r="N523" s="26">
        <f t="shared" si="539"/>
        <v>500</v>
      </c>
      <c r="O523" s="26">
        <f ca="1">IFERROR(__xludf.DUMMYFUNCTION("ROUND(GOOGLEFINANCE(""Currency:EURKZT"")*K523)"),2743637)</f>
        <v>2743637</v>
      </c>
      <c r="P523" s="26">
        <f ca="1">IFERROR(__xludf.DUMMYFUNCTION("ROUND(GOOGLEFINANCE(""Currency:EURKZT"")*M523)"),238785)</f>
        <v>238785</v>
      </c>
      <c r="Q523" s="26">
        <f ca="1">IFERROR(__xludf.DUMMYFUNCTION("ROUND(GOOGLEFINANCE(""Currency:EURKZT"")*N523)"),238785)</f>
        <v>238785</v>
      </c>
      <c r="R523" s="26">
        <f t="shared" ca="1" si="529"/>
        <v>329236</v>
      </c>
      <c r="S523" s="26">
        <f t="shared" ca="1" si="530"/>
        <v>3550443</v>
      </c>
      <c r="T523" s="26">
        <f ca="1">IFERROR(__xludf.DUMMYFUNCTION("ROUND(GOOGLEFINANCE(""Currency:EURKZT"")*L523+S523)"),4071734)</f>
        <v>4071734</v>
      </c>
      <c r="U523" s="26">
        <f ca="1">IFERROR(__xludf.DUMMYFUNCTION("D523*GOOGLEFINANCE(""RUBKZT"")*1000/F523"),4987666.65117994)</f>
        <v>4987666.6511799404</v>
      </c>
      <c r="V523" s="27">
        <f t="shared" ca="1" si="531"/>
        <v>0.22494903920048323</v>
      </c>
    </row>
    <row r="524" spans="1:22" ht="12.75" customHeight="1" x14ac:dyDescent="0.2">
      <c r="A524" s="6" t="s">
        <v>294</v>
      </c>
      <c r="B524" s="6" t="s">
        <v>15</v>
      </c>
      <c r="C524" s="7">
        <v>183135</v>
      </c>
      <c r="D524" s="8">
        <v>139063.19999999998</v>
      </c>
      <c r="E524" s="9" t="s">
        <v>16</v>
      </c>
      <c r="F524" s="23">
        <v>208</v>
      </c>
      <c r="G524" s="25"/>
      <c r="H524" s="14">
        <f t="shared" si="525"/>
        <v>0.55000000000000004</v>
      </c>
      <c r="I524" s="25">
        <f ca="1">IFERROR(__xludf.DUMMYFUNCTION("ROUND(D524*GOOGLEFINANCE(""RUBKZT"")*H524)"),596851)</f>
        <v>596851</v>
      </c>
      <c r="J524" s="26">
        <f ca="1">IFERROR(__xludf.DUMMYFUNCTION("ROUND(I524*GOOGLEFINANCE(""KZTEUR""))"),1250)</f>
        <v>1250</v>
      </c>
      <c r="K524" s="26">
        <f t="shared" ca="1" si="526"/>
        <v>6010</v>
      </c>
      <c r="L524" s="26">
        <f t="shared" ca="1" si="527"/>
        <v>1141.9000000000001</v>
      </c>
      <c r="M524" s="26">
        <f t="shared" ref="M524:N524" si="540">M$3</f>
        <v>500</v>
      </c>
      <c r="N524" s="26">
        <f t="shared" si="540"/>
        <v>500</v>
      </c>
      <c r="O524" s="26">
        <f ca="1">IFERROR(__xludf.DUMMYFUNCTION("ROUND(GOOGLEFINANCE(""Currency:EURKZT"")*K524)"),2870193)</f>
        <v>2870193</v>
      </c>
      <c r="P524" s="26">
        <f ca="1">IFERROR(__xludf.DUMMYFUNCTION("ROUND(GOOGLEFINANCE(""Currency:EURKZT"")*M524)"),238785)</f>
        <v>238785</v>
      </c>
      <c r="Q524" s="26">
        <f ca="1">IFERROR(__xludf.DUMMYFUNCTION("ROUND(GOOGLEFINANCE(""Currency:EURKZT"")*N524)"),238785)</f>
        <v>238785</v>
      </c>
      <c r="R524" s="26">
        <f t="shared" ca="1" si="529"/>
        <v>344423</v>
      </c>
      <c r="S524" s="26">
        <f t="shared" ca="1" si="530"/>
        <v>3692186</v>
      </c>
      <c r="T524" s="26">
        <f ca="1">IFERROR(__xludf.DUMMYFUNCTION("ROUND(GOOGLEFINANCE(""Currency:EURKZT"")*L524+S524)"),4237523)</f>
        <v>4237523</v>
      </c>
      <c r="U524" s="26">
        <f ca="1">IFERROR(__xludf.DUMMYFUNCTION("D524*GOOGLEFINANCE(""RUBKZT"")*1000/F524"),5217225.28400118)</f>
        <v>5217225.28400118</v>
      </c>
      <c r="V524" s="27">
        <f t="shared" ca="1" si="531"/>
        <v>0.23119692424116164</v>
      </c>
    </row>
    <row r="525" spans="1:22" ht="12.75" customHeight="1" x14ac:dyDescent="0.2">
      <c r="A525" s="6" t="s">
        <v>295</v>
      </c>
      <c r="B525" s="6" t="s">
        <v>15</v>
      </c>
      <c r="C525" s="7">
        <v>183267</v>
      </c>
      <c r="D525" s="8">
        <v>104706</v>
      </c>
      <c r="E525" s="9" t="s">
        <v>7</v>
      </c>
      <c r="F525" s="23">
        <v>208</v>
      </c>
      <c r="G525" s="25"/>
      <c r="H525" s="14">
        <f t="shared" si="525"/>
        <v>0.55000000000000004</v>
      </c>
      <c r="I525" s="25">
        <f ca="1">IFERROR(__xludf.DUMMYFUNCTION("ROUND(D525*GOOGLEFINANCE(""RUBKZT"")*H525)"),449392)</f>
        <v>449392</v>
      </c>
      <c r="J525" s="26">
        <f ca="1">IFERROR(__xludf.DUMMYFUNCTION("ROUND(I525*GOOGLEFINANCE(""KZTEUR""))"),941)</f>
        <v>941</v>
      </c>
      <c r="K525" s="26">
        <f t="shared" ca="1" si="526"/>
        <v>4524</v>
      </c>
      <c r="L525" s="26">
        <f t="shared" ca="1" si="527"/>
        <v>859.56000000000006</v>
      </c>
      <c r="M525" s="26">
        <f t="shared" ref="M525:N525" si="541">M$3</f>
        <v>500</v>
      </c>
      <c r="N525" s="26">
        <f t="shared" si="541"/>
        <v>500</v>
      </c>
      <c r="O525" s="26">
        <f ca="1">IFERROR(__xludf.DUMMYFUNCTION("ROUND(GOOGLEFINANCE(""Currency:EURKZT"")*K525)"),2160525)</f>
        <v>2160525</v>
      </c>
      <c r="P525" s="26">
        <f ca="1">IFERROR(__xludf.DUMMYFUNCTION("ROUND(GOOGLEFINANCE(""Currency:EURKZT"")*M525)"),238785)</f>
        <v>238785</v>
      </c>
      <c r="Q525" s="26">
        <f ca="1">IFERROR(__xludf.DUMMYFUNCTION("ROUND(GOOGLEFINANCE(""Currency:EURKZT"")*N525)"),238785)</f>
        <v>238785</v>
      </c>
      <c r="R525" s="26">
        <f t="shared" ca="1" si="529"/>
        <v>259263</v>
      </c>
      <c r="S525" s="26">
        <f t="shared" ca="1" si="530"/>
        <v>2897358</v>
      </c>
      <c r="T525" s="26">
        <f ca="1">IFERROR(__xludf.DUMMYFUNCTION("ROUND(GOOGLEFINANCE(""Currency:EURKZT"")*L525+S525)"),3307858)</f>
        <v>3307858</v>
      </c>
      <c r="U525" s="26">
        <f ca="1">IFERROR(__xludf.DUMMYFUNCTION("D525*GOOGLEFINANCE(""RUBKZT"")*1000/F525"),3928248.38337265)</f>
        <v>3928248.38337265</v>
      </c>
      <c r="V525" s="27">
        <f t="shared" ca="1" si="531"/>
        <v>0.18755048837424401</v>
      </c>
    </row>
    <row r="526" spans="1:22" ht="12.75" customHeight="1" x14ac:dyDescent="0.2">
      <c r="A526" s="6" t="s">
        <v>296</v>
      </c>
      <c r="B526" s="6" t="s">
        <v>15</v>
      </c>
      <c r="C526" s="7">
        <v>183269</v>
      </c>
      <c r="D526" s="8">
        <v>127401.59999999999</v>
      </c>
      <c r="E526" s="9" t="s">
        <v>7</v>
      </c>
      <c r="F526" s="23">
        <v>208</v>
      </c>
      <c r="G526" s="25"/>
      <c r="H526" s="14">
        <f t="shared" si="525"/>
        <v>0.55000000000000004</v>
      </c>
      <c r="I526" s="25">
        <f ca="1">IFERROR(__xludf.DUMMYFUNCTION("ROUND(D526*GOOGLEFINANCE(""RUBKZT"")*H526)"),546800)</f>
        <v>546800</v>
      </c>
      <c r="J526" s="26">
        <f ca="1">IFERROR(__xludf.DUMMYFUNCTION("ROUND(I526*GOOGLEFINANCE(""KZTEUR""))"),1145)</f>
        <v>1145</v>
      </c>
      <c r="K526" s="26">
        <f t="shared" ca="1" si="526"/>
        <v>5505</v>
      </c>
      <c r="L526" s="26">
        <f t="shared" ca="1" si="527"/>
        <v>1045.95</v>
      </c>
      <c r="M526" s="26">
        <f t="shared" ref="M526:N526" si="542">M$3</f>
        <v>500</v>
      </c>
      <c r="N526" s="26">
        <f t="shared" si="542"/>
        <v>500</v>
      </c>
      <c r="O526" s="26">
        <f ca="1">IFERROR(__xludf.DUMMYFUNCTION("ROUND(GOOGLEFINANCE(""Currency:EURKZT"")*K526)"),2629021)</f>
        <v>2629021</v>
      </c>
      <c r="P526" s="26">
        <f ca="1">IFERROR(__xludf.DUMMYFUNCTION("ROUND(GOOGLEFINANCE(""Currency:EURKZT"")*M526)"),238785)</f>
        <v>238785</v>
      </c>
      <c r="Q526" s="26">
        <f ca="1">IFERROR(__xludf.DUMMYFUNCTION("ROUND(GOOGLEFINANCE(""Currency:EURKZT"")*N526)"),238785)</f>
        <v>238785</v>
      </c>
      <c r="R526" s="26">
        <f t="shared" ca="1" si="529"/>
        <v>315483</v>
      </c>
      <c r="S526" s="26">
        <f t="shared" ca="1" si="530"/>
        <v>3422074</v>
      </c>
      <c r="T526" s="26">
        <f ca="1">IFERROR(__xludf.DUMMYFUNCTION("ROUND(GOOGLEFINANCE(""Currency:EURKZT"")*L526+S526)"),3921588)</f>
        <v>3921588</v>
      </c>
      <c r="U526" s="26">
        <f ca="1">IFERROR(__xludf.DUMMYFUNCTION("D526*GOOGLEFINANCE(""RUBKZT"")*1000/F526"),4779717.77394886)</f>
        <v>4779717.7739488604</v>
      </c>
      <c r="V526" s="27">
        <f t="shared" ca="1" si="531"/>
        <v>0.2188220113762232</v>
      </c>
    </row>
    <row r="527" spans="1:22" ht="12.75" customHeight="1" x14ac:dyDescent="0.2">
      <c r="A527" s="6" t="s">
        <v>297</v>
      </c>
      <c r="B527" s="6" t="s">
        <v>15</v>
      </c>
      <c r="C527" s="7">
        <v>183295</v>
      </c>
      <c r="D527" s="8">
        <v>101251.2</v>
      </c>
      <c r="E527" s="9" t="s">
        <v>7</v>
      </c>
      <c r="F527" s="23">
        <v>208</v>
      </c>
      <c r="G527" s="25"/>
      <c r="H527" s="14">
        <f t="shared" si="525"/>
        <v>0.55000000000000004</v>
      </c>
      <c r="I527" s="25">
        <f ca="1">IFERROR(__xludf.DUMMYFUNCTION("ROUND(D527*GOOGLEFINANCE(""RUBKZT"")*H527)"),434564)</f>
        <v>434564</v>
      </c>
      <c r="J527" s="26">
        <f ca="1">IFERROR(__xludf.DUMMYFUNCTION("ROUND(I527*GOOGLEFINANCE(""KZTEUR""))"),910)</f>
        <v>910</v>
      </c>
      <c r="K527" s="26">
        <f t="shared" ca="1" si="526"/>
        <v>4375</v>
      </c>
      <c r="L527" s="26">
        <f t="shared" ca="1" si="527"/>
        <v>831.25</v>
      </c>
      <c r="M527" s="26">
        <f t="shared" ref="M527:N527" si="543">M$3</f>
        <v>500</v>
      </c>
      <c r="N527" s="26">
        <f t="shared" si="543"/>
        <v>500</v>
      </c>
      <c r="O527" s="26">
        <f ca="1">IFERROR(__xludf.DUMMYFUNCTION("ROUND(GOOGLEFINANCE(""Currency:EURKZT"")*K527)"),2089367)</f>
        <v>2089367</v>
      </c>
      <c r="P527" s="26">
        <f ca="1">IFERROR(__xludf.DUMMYFUNCTION("ROUND(GOOGLEFINANCE(""Currency:EURKZT"")*M527)"),238785)</f>
        <v>238785</v>
      </c>
      <c r="Q527" s="26">
        <f ca="1">IFERROR(__xludf.DUMMYFUNCTION("ROUND(GOOGLEFINANCE(""Currency:EURKZT"")*N527)"),238785)</f>
        <v>238785</v>
      </c>
      <c r="R527" s="26">
        <f t="shared" ca="1" si="529"/>
        <v>250724</v>
      </c>
      <c r="S527" s="26">
        <f t="shared" ca="1" si="530"/>
        <v>2817661</v>
      </c>
      <c r="T527" s="26">
        <f ca="1">IFERROR(__xludf.DUMMYFUNCTION("ROUND(GOOGLEFINANCE(""Currency:EURKZT"")*L527+S527)"),3214641)</f>
        <v>3214641</v>
      </c>
      <c r="U527" s="26">
        <f ca="1">IFERROR(__xludf.DUMMYFUNCTION("D527*GOOGLEFINANCE(""RUBKZT"")*1000/F527"),3798634.87015587)</f>
        <v>3798634.87015587</v>
      </c>
      <c r="V527" s="27">
        <f t="shared" ca="1" si="531"/>
        <v>0.18166690157808291</v>
      </c>
    </row>
    <row r="528" spans="1:22" ht="12.75" customHeight="1" x14ac:dyDescent="0.2">
      <c r="A528" s="6" t="s">
        <v>298</v>
      </c>
      <c r="B528" s="6" t="s">
        <v>15</v>
      </c>
      <c r="C528" s="7">
        <v>183302</v>
      </c>
      <c r="D528" s="8">
        <v>104031.59999999999</v>
      </c>
      <c r="E528" s="9" t="s">
        <v>7</v>
      </c>
      <c r="F528" s="23">
        <v>208</v>
      </c>
      <c r="G528" s="25"/>
      <c r="H528" s="14">
        <f t="shared" si="525"/>
        <v>0.55000000000000004</v>
      </c>
      <c r="I528" s="25">
        <f ca="1">IFERROR(__xludf.DUMMYFUNCTION("ROUND(D528*GOOGLEFINANCE(""RUBKZT"")*H528)"),446497)</f>
        <v>446497</v>
      </c>
      <c r="J528" s="26">
        <f ca="1">IFERROR(__xludf.DUMMYFUNCTION("ROUND(I528*GOOGLEFINANCE(""KZTEUR""))"),935)</f>
        <v>935</v>
      </c>
      <c r="K528" s="26">
        <f t="shared" ca="1" si="526"/>
        <v>4495</v>
      </c>
      <c r="L528" s="26">
        <f t="shared" ca="1" si="527"/>
        <v>854.05</v>
      </c>
      <c r="M528" s="26">
        <f t="shared" ref="M528:N528" si="544">M$3</f>
        <v>500</v>
      </c>
      <c r="N528" s="26">
        <f t="shared" si="544"/>
        <v>500</v>
      </c>
      <c r="O528" s="26">
        <f ca="1">IFERROR(__xludf.DUMMYFUNCTION("ROUND(GOOGLEFINANCE(""Currency:EURKZT"")*K528)"),2146675)</f>
        <v>2146675</v>
      </c>
      <c r="P528" s="26">
        <f ca="1">IFERROR(__xludf.DUMMYFUNCTION("ROUND(GOOGLEFINANCE(""Currency:EURKZT"")*M528)"),238785)</f>
        <v>238785</v>
      </c>
      <c r="Q528" s="26">
        <f ca="1">IFERROR(__xludf.DUMMYFUNCTION("ROUND(GOOGLEFINANCE(""Currency:EURKZT"")*N528)"),238785)</f>
        <v>238785</v>
      </c>
      <c r="R528" s="26">
        <f t="shared" ca="1" si="529"/>
        <v>257601</v>
      </c>
      <c r="S528" s="26">
        <f t="shared" ca="1" si="530"/>
        <v>2881846</v>
      </c>
      <c r="T528" s="26">
        <f ca="1">IFERROR(__xludf.DUMMYFUNCTION("ROUND(GOOGLEFINANCE(""Currency:EURKZT"")*L528+S528)"),3289714)</f>
        <v>3289714</v>
      </c>
      <c r="U528" s="26">
        <f ca="1">IFERROR(__xludf.DUMMYFUNCTION("D528*GOOGLEFINANCE(""RUBKZT"")*1000/F528"),3902946.96120251)</f>
        <v>3902946.9612025102</v>
      </c>
      <c r="V528" s="27">
        <f t="shared" ca="1" si="531"/>
        <v>0.18640920189490945</v>
      </c>
    </row>
    <row r="529" spans="1:22" ht="12.75" customHeight="1" x14ac:dyDescent="0.2">
      <c r="A529" s="6" t="s">
        <v>300</v>
      </c>
      <c r="B529" s="6" t="s">
        <v>15</v>
      </c>
      <c r="C529" s="7">
        <v>183314</v>
      </c>
      <c r="D529" s="8">
        <v>90484.800000000003</v>
      </c>
      <c r="E529" s="9" t="s">
        <v>7</v>
      </c>
      <c r="F529" s="23">
        <v>208</v>
      </c>
      <c r="G529" s="25"/>
      <c r="H529" s="14">
        <f t="shared" si="525"/>
        <v>0.55000000000000004</v>
      </c>
      <c r="I529" s="25">
        <f ca="1">IFERROR(__xludf.DUMMYFUNCTION("ROUND(D529*GOOGLEFINANCE(""RUBKZT"")*H529)"),388355)</f>
        <v>388355</v>
      </c>
      <c r="J529" s="26">
        <f ca="1">IFERROR(__xludf.DUMMYFUNCTION("ROUND(I529*GOOGLEFINANCE(""KZTEUR""))"),813)</f>
        <v>813</v>
      </c>
      <c r="K529" s="26">
        <f t="shared" ca="1" si="526"/>
        <v>3909</v>
      </c>
      <c r="L529" s="26">
        <f t="shared" ca="1" si="527"/>
        <v>742.71</v>
      </c>
      <c r="M529" s="26">
        <f t="shared" ref="M529:N529" si="545">M$3</f>
        <v>500</v>
      </c>
      <c r="N529" s="26">
        <f t="shared" si="545"/>
        <v>500</v>
      </c>
      <c r="O529" s="26">
        <f ca="1">IFERROR(__xludf.DUMMYFUNCTION("ROUND(GOOGLEFINANCE(""Currency:EURKZT"")*K529)"),1866820)</f>
        <v>1866820</v>
      </c>
      <c r="P529" s="26">
        <f ca="1">IFERROR(__xludf.DUMMYFUNCTION("ROUND(GOOGLEFINANCE(""Currency:EURKZT"")*M529)"),238785)</f>
        <v>238785</v>
      </c>
      <c r="Q529" s="26">
        <f ca="1">IFERROR(__xludf.DUMMYFUNCTION("ROUND(GOOGLEFINANCE(""Currency:EURKZT"")*N529)"),238785)</f>
        <v>238785</v>
      </c>
      <c r="R529" s="26">
        <f t="shared" ca="1" si="529"/>
        <v>224018</v>
      </c>
      <c r="S529" s="26">
        <f t="shared" ca="1" si="530"/>
        <v>2568408</v>
      </c>
      <c r="T529" s="26">
        <f ca="1">IFERROR(__xludf.DUMMYFUNCTION("ROUND(GOOGLEFINANCE(""Currency:EURKZT"")*L529+S529)"),2923104)</f>
        <v>2923104</v>
      </c>
      <c r="U529" s="26">
        <f ca="1">IFERROR(__xludf.DUMMYFUNCTION("D529*GOOGLEFINANCE(""RUBKZT"")*1000/F529"),3394712.52191658)</f>
        <v>3394712.5219165799</v>
      </c>
      <c r="V529" s="27">
        <f t="shared" ca="1" si="531"/>
        <v>0.16133826299597276</v>
      </c>
    </row>
    <row r="530" spans="1:22" ht="12.75" customHeight="1" x14ac:dyDescent="0.2">
      <c r="A530" s="6" t="s">
        <v>301</v>
      </c>
      <c r="B530" s="6" t="s">
        <v>15</v>
      </c>
      <c r="C530" s="7">
        <v>183333</v>
      </c>
      <c r="D530" s="8">
        <v>102675.59999999999</v>
      </c>
      <c r="E530" s="9" t="s">
        <v>7</v>
      </c>
      <c r="F530" s="23">
        <v>208</v>
      </c>
      <c r="G530" s="25"/>
      <c r="H530" s="14">
        <f t="shared" si="525"/>
        <v>0.55000000000000004</v>
      </c>
      <c r="I530" s="25">
        <f ca="1">IFERROR(__xludf.DUMMYFUNCTION("ROUND(D530*GOOGLEFINANCE(""RUBKZT"")*H530)"),440677)</f>
        <v>440677</v>
      </c>
      <c r="J530" s="26">
        <f ca="1">IFERROR(__xludf.DUMMYFUNCTION("ROUND(I530*GOOGLEFINANCE(""KZTEUR""))"),923)</f>
        <v>923</v>
      </c>
      <c r="K530" s="26">
        <f t="shared" ca="1" si="526"/>
        <v>4438</v>
      </c>
      <c r="L530" s="26">
        <f t="shared" ca="1" si="527"/>
        <v>843.22</v>
      </c>
      <c r="M530" s="26">
        <f t="shared" ref="M530:N530" si="546">M$3</f>
        <v>500</v>
      </c>
      <c r="N530" s="26">
        <f t="shared" si="546"/>
        <v>500</v>
      </c>
      <c r="O530" s="26">
        <f ca="1">IFERROR(__xludf.DUMMYFUNCTION("ROUND(GOOGLEFINANCE(""Currency:EURKZT"")*K530)"),2119454)</f>
        <v>2119454</v>
      </c>
      <c r="P530" s="26">
        <f ca="1">IFERROR(__xludf.DUMMYFUNCTION("ROUND(GOOGLEFINANCE(""Currency:EURKZT"")*M530)"),238785)</f>
        <v>238785</v>
      </c>
      <c r="Q530" s="26">
        <f ca="1">IFERROR(__xludf.DUMMYFUNCTION("ROUND(GOOGLEFINANCE(""Currency:EURKZT"")*N530)"),238785)</f>
        <v>238785</v>
      </c>
      <c r="R530" s="26">
        <f t="shared" ca="1" si="529"/>
        <v>254334</v>
      </c>
      <c r="S530" s="26">
        <f t="shared" ca="1" si="530"/>
        <v>2851358</v>
      </c>
      <c r="T530" s="26">
        <f ca="1">IFERROR(__xludf.DUMMYFUNCTION("ROUND(GOOGLEFINANCE(""Currency:EURKZT"")*L530+S530)"),3254054)</f>
        <v>3254054</v>
      </c>
      <c r="U530" s="26">
        <f ca="1">IFERROR(__xludf.DUMMYFUNCTION("D530*GOOGLEFINANCE(""RUBKZT"")*1000/F530"),3852073.99491736)</f>
        <v>3852073.9949173601</v>
      </c>
      <c r="V530" s="27">
        <f t="shared" ca="1" si="531"/>
        <v>0.18377691178983513</v>
      </c>
    </row>
    <row r="531" spans="1:22" ht="12.75" customHeight="1" x14ac:dyDescent="0.2">
      <c r="A531" s="6" t="s">
        <v>302</v>
      </c>
      <c r="B531" s="6" t="s">
        <v>15</v>
      </c>
      <c r="C531" s="7">
        <v>183630</v>
      </c>
      <c r="D531" s="8">
        <v>99517.2</v>
      </c>
      <c r="E531" s="9" t="s">
        <v>16</v>
      </c>
      <c r="F531" s="23">
        <v>208</v>
      </c>
      <c r="G531" s="25"/>
      <c r="H531" s="14">
        <f t="shared" si="525"/>
        <v>0.55000000000000004</v>
      </c>
      <c r="I531" s="25">
        <f ca="1">IFERROR(__xludf.DUMMYFUNCTION("ROUND(D531*GOOGLEFINANCE(""RUBKZT"")*H531)"),427122)</f>
        <v>427122</v>
      </c>
      <c r="J531" s="26">
        <f ca="1">IFERROR(__xludf.DUMMYFUNCTION("ROUND(I531*GOOGLEFINANCE(""KZTEUR""))"),895)</f>
        <v>895</v>
      </c>
      <c r="K531" s="26">
        <f t="shared" ca="1" si="526"/>
        <v>4303</v>
      </c>
      <c r="L531" s="26">
        <f t="shared" ca="1" si="527"/>
        <v>817.57</v>
      </c>
      <c r="M531" s="26">
        <f t="shared" ref="M531:N531" si="547">M$3</f>
        <v>500</v>
      </c>
      <c r="N531" s="26">
        <f t="shared" si="547"/>
        <v>500</v>
      </c>
      <c r="O531" s="26">
        <f ca="1">IFERROR(__xludf.DUMMYFUNCTION("ROUND(GOOGLEFINANCE(""Currency:EURKZT"")*K531)"),2054982)</f>
        <v>2054982</v>
      </c>
      <c r="P531" s="26">
        <f ca="1">IFERROR(__xludf.DUMMYFUNCTION("ROUND(GOOGLEFINANCE(""Currency:EURKZT"")*M531)"),238785)</f>
        <v>238785</v>
      </c>
      <c r="Q531" s="26">
        <f ca="1">IFERROR(__xludf.DUMMYFUNCTION("ROUND(GOOGLEFINANCE(""Currency:EURKZT"")*N531)"),238785)</f>
        <v>238785</v>
      </c>
      <c r="R531" s="26">
        <f t="shared" ca="1" si="529"/>
        <v>246598</v>
      </c>
      <c r="S531" s="26">
        <f t="shared" ca="1" si="530"/>
        <v>2779150</v>
      </c>
      <c r="T531" s="26">
        <f ca="1">IFERROR(__xludf.DUMMYFUNCTION("ROUND(GOOGLEFINANCE(""Currency:EURKZT"")*L531+S531)"),3169597)</f>
        <v>3169597</v>
      </c>
      <c r="U531" s="26">
        <f ca="1">IFERROR(__xludf.DUMMYFUNCTION("D531*GOOGLEFINANCE(""RUBKZT"")*1000/F531"),3733580.50176468)</f>
        <v>3733580.5017646798</v>
      </c>
      <c r="V531" s="27">
        <f t="shared" ca="1" si="531"/>
        <v>0.17793539739111305</v>
      </c>
    </row>
    <row r="532" spans="1:22" ht="12.75" customHeight="1" x14ac:dyDescent="0.2">
      <c r="A532" s="6" t="s">
        <v>125</v>
      </c>
      <c r="B532" s="6" t="s">
        <v>15</v>
      </c>
      <c r="C532" s="7">
        <v>183656</v>
      </c>
      <c r="D532" s="8">
        <v>227733.6</v>
      </c>
      <c r="E532" s="9" t="s">
        <v>16</v>
      </c>
      <c r="F532" s="23">
        <v>208</v>
      </c>
      <c r="G532" s="25"/>
      <c r="H532" s="14">
        <f t="shared" si="525"/>
        <v>0.55000000000000004</v>
      </c>
      <c r="I532" s="25">
        <f ca="1">IFERROR(__xludf.DUMMYFUNCTION("ROUND(D532*GOOGLEFINANCE(""RUBKZT"")*H532)"),977418)</f>
        <v>977418</v>
      </c>
      <c r="J532" s="26">
        <f ca="1">IFERROR(__xludf.DUMMYFUNCTION("ROUND(I532*GOOGLEFINANCE(""KZTEUR""))"),2047)</f>
        <v>2047</v>
      </c>
      <c r="K532" s="26">
        <f t="shared" ca="1" si="526"/>
        <v>9841</v>
      </c>
      <c r="L532" s="26">
        <f t="shared" ca="1" si="527"/>
        <v>1869.79</v>
      </c>
      <c r="M532" s="26">
        <f t="shared" ref="M532:N532" si="548">M$3</f>
        <v>500</v>
      </c>
      <c r="N532" s="26">
        <f t="shared" si="548"/>
        <v>500</v>
      </c>
      <c r="O532" s="26">
        <f ca="1">IFERROR(__xludf.DUMMYFUNCTION("ROUND(GOOGLEFINANCE(""Currency:EURKZT"")*K532)"),4699763)</f>
        <v>4699763</v>
      </c>
      <c r="P532" s="26">
        <f ca="1">IFERROR(__xludf.DUMMYFUNCTION("ROUND(GOOGLEFINANCE(""Currency:EURKZT"")*M532)"),238785)</f>
        <v>238785</v>
      </c>
      <c r="Q532" s="26">
        <f ca="1">IFERROR(__xludf.DUMMYFUNCTION("ROUND(GOOGLEFINANCE(""Currency:EURKZT"")*N532)"),238785)</f>
        <v>238785</v>
      </c>
      <c r="R532" s="26">
        <f t="shared" ca="1" si="529"/>
        <v>563972</v>
      </c>
      <c r="S532" s="26">
        <f t="shared" ca="1" si="530"/>
        <v>5741305</v>
      </c>
      <c r="T532" s="26">
        <f ca="1">IFERROR(__xludf.DUMMYFUNCTION("ROUND(GOOGLEFINANCE(""Currency:EURKZT"")*L532+S532)"),6634260)</f>
        <v>6634260</v>
      </c>
      <c r="U532" s="26">
        <f ca="1">IFERROR(__xludf.DUMMYFUNCTION("D532*GOOGLEFINANCE(""RUBKZT"")*1000/F532"),8543867.07580878)</f>
        <v>8543867.0758087803</v>
      </c>
      <c r="V532" s="27">
        <f t="shared" ca="1" si="531"/>
        <v>0.28784025284037412</v>
      </c>
    </row>
    <row r="533" spans="1:22" ht="12.75" customHeight="1" x14ac:dyDescent="0.2">
      <c r="A533" s="6" t="s">
        <v>308</v>
      </c>
      <c r="B533" s="6" t="s">
        <v>15</v>
      </c>
      <c r="C533" s="7">
        <v>186857</v>
      </c>
      <c r="D533" s="8">
        <v>211746</v>
      </c>
      <c r="E533" s="9" t="s">
        <v>16</v>
      </c>
      <c r="F533" s="23">
        <v>208</v>
      </c>
      <c r="G533" s="25"/>
      <c r="H533" s="14">
        <f t="shared" si="525"/>
        <v>0.55000000000000004</v>
      </c>
      <c r="I533" s="25">
        <f ca="1">IFERROR(__xludf.DUMMYFUNCTION("ROUND(D533*GOOGLEFINANCE(""RUBKZT"")*H533)"),908801)</f>
        <v>908801</v>
      </c>
      <c r="J533" s="26">
        <f ca="1">IFERROR(__xludf.DUMMYFUNCTION("ROUND(I533*GOOGLEFINANCE(""KZTEUR""))"),1903)</f>
        <v>1903</v>
      </c>
      <c r="K533" s="26">
        <f t="shared" ca="1" si="526"/>
        <v>9149</v>
      </c>
      <c r="L533" s="26">
        <f t="shared" ca="1" si="527"/>
        <v>1738.31</v>
      </c>
      <c r="M533" s="26">
        <f t="shared" ref="M533:N533" si="549">M$3</f>
        <v>500</v>
      </c>
      <c r="N533" s="26">
        <f t="shared" si="549"/>
        <v>500</v>
      </c>
      <c r="O533" s="26">
        <f ca="1">IFERROR(__xludf.DUMMYFUNCTION("ROUND(GOOGLEFINANCE(""Currency:EURKZT"")*K533)"),4369284)</f>
        <v>4369284</v>
      </c>
      <c r="P533" s="26">
        <f ca="1">IFERROR(__xludf.DUMMYFUNCTION("ROUND(GOOGLEFINANCE(""Currency:EURKZT"")*M533)"),238785)</f>
        <v>238785</v>
      </c>
      <c r="Q533" s="26">
        <f ca="1">IFERROR(__xludf.DUMMYFUNCTION("ROUND(GOOGLEFINANCE(""Currency:EURKZT"")*N533)"),238785)</f>
        <v>238785</v>
      </c>
      <c r="R533" s="26">
        <f t="shared" ca="1" si="529"/>
        <v>524314</v>
      </c>
      <c r="S533" s="26">
        <f t="shared" ca="1" si="530"/>
        <v>5371168</v>
      </c>
      <c r="T533" s="26">
        <f ca="1">IFERROR(__xludf.DUMMYFUNCTION("ROUND(GOOGLEFINANCE(""Currency:EURKZT"")*L533+S533)"),6201332)</f>
        <v>6201332</v>
      </c>
      <c r="U533" s="26">
        <f ca="1">IFERROR(__xludf.DUMMYFUNCTION("D533*GOOGLEFINANCE(""RUBKZT"")*1000/F533"),7944061.29720957)</f>
        <v>7944061.2972095702</v>
      </c>
      <c r="V533" s="27">
        <f t="shared" ca="1" si="531"/>
        <v>0.28102499547025866</v>
      </c>
    </row>
    <row r="534" spans="1:22" ht="12.75" customHeight="1" x14ac:dyDescent="0.2">
      <c r="A534" s="6" t="s">
        <v>309</v>
      </c>
      <c r="B534" s="6" t="s">
        <v>15</v>
      </c>
      <c r="C534" s="7">
        <v>186930</v>
      </c>
      <c r="D534" s="8">
        <v>170398.8</v>
      </c>
      <c r="E534" s="9" t="s">
        <v>16</v>
      </c>
      <c r="F534" s="23">
        <v>208</v>
      </c>
      <c r="G534" s="25"/>
      <c r="H534" s="14">
        <f t="shared" si="525"/>
        <v>0.55000000000000004</v>
      </c>
      <c r="I534" s="25">
        <f ca="1">IFERROR(__xludf.DUMMYFUNCTION("ROUND(D534*GOOGLEFINANCE(""RUBKZT"")*H534)"),731341)</f>
        <v>731341</v>
      </c>
      <c r="J534" s="26">
        <f ca="1">IFERROR(__xludf.DUMMYFUNCTION("ROUND(I534*GOOGLEFINANCE(""KZTEUR""))"),1532)</f>
        <v>1532</v>
      </c>
      <c r="K534" s="26">
        <f t="shared" ca="1" si="526"/>
        <v>7365</v>
      </c>
      <c r="L534" s="26">
        <f t="shared" ca="1" si="527"/>
        <v>1399.35</v>
      </c>
      <c r="M534" s="26">
        <f t="shared" ref="M534:N534" si="550">M$3</f>
        <v>500</v>
      </c>
      <c r="N534" s="26">
        <f t="shared" si="550"/>
        <v>500</v>
      </c>
      <c r="O534" s="26">
        <f ca="1">IFERROR(__xludf.DUMMYFUNCTION("ROUND(GOOGLEFINANCE(""Currency:EURKZT"")*K534)"),3517300)</f>
        <v>3517300</v>
      </c>
      <c r="P534" s="26">
        <f ca="1">IFERROR(__xludf.DUMMYFUNCTION("ROUND(GOOGLEFINANCE(""Currency:EURKZT"")*M534)"),238785)</f>
        <v>238785</v>
      </c>
      <c r="Q534" s="26">
        <f ca="1">IFERROR(__xludf.DUMMYFUNCTION("ROUND(GOOGLEFINANCE(""Currency:EURKZT"")*N534)"),238785)</f>
        <v>238785</v>
      </c>
      <c r="R534" s="26">
        <f t="shared" ca="1" si="529"/>
        <v>422076</v>
      </c>
      <c r="S534" s="26">
        <f t="shared" ca="1" si="530"/>
        <v>4416946</v>
      </c>
      <c r="T534" s="26">
        <f ca="1">IFERROR(__xludf.DUMMYFUNCTION("ROUND(GOOGLEFINANCE(""Currency:EURKZT"")*L534+S534)"),5085233)</f>
        <v>5085233</v>
      </c>
      <c r="U534" s="26">
        <f ca="1">IFERROR(__xludf.DUMMYFUNCTION("D534*GOOGLEFINANCE(""RUBKZT"")*1000/F534"),6392841.0084297)</f>
        <v>6392841.0084296996</v>
      </c>
      <c r="V534" s="27">
        <f t="shared" ca="1" si="531"/>
        <v>0.25713826847849441</v>
      </c>
    </row>
    <row r="535" spans="1:22" ht="12.75" customHeight="1" x14ac:dyDescent="0.2">
      <c r="A535" s="6" t="s">
        <v>261</v>
      </c>
      <c r="B535" s="6" t="s">
        <v>15</v>
      </c>
      <c r="C535" s="7">
        <v>187926</v>
      </c>
      <c r="D535" s="8">
        <v>133310.39999999999</v>
      </c>
      <c r="E535" s="9" t="s">
        <v>16</v>
      </c>
      <c r="F535" s="23">
        <v>208</v>
      </c>
      <c r="G535" s="25"/>
      <c r="H535" s="14">
        <f t="shared" si="525"/>
        <v>0.55000000000000004</v>
      </c>
      <c r="I535" s="25">
        <f ca="1">IFERROR(__xludf.DUMMYFUNCTION("ROUND(D535*GOOGLEFINANCE(""RUBKZT"")*H535)"),572160)</f>
        <v>572160</v>
      </c>
      <c r="J535" s="26">
        <f ca="1">IFERROR(__xludf.DUMMYFUNCTION("ROUND(I535*GOOGLEFINANCE(""KZTEUR""))"),1198)</f>
        <v>1198</v>
      </c>
      <c r="K535" s="26">
        <f t="shared" ca="1" si="526"/>
        <v>5760</v>
      </c>
      <c r="L535" s="26">
        <f t="shared" ca="1" si="527"/>
        <v>1094.4000000000001</v>
      </c>
      <c r="M535" s="26">
        <f t="shared" ref="M535:N535" si="551">M$3</f>
        <v>500</v>
      </c>
      <c r="N535" s="26">
        <f t="shared" si="551"/>
        <v>500</v>
      </c>
      <c r="O535" s="26">
        <f ca="1">IFERROR(__xludf.DUMMYFUNCTION("ROUND(GOOGLEFINANCE(""Currency:EURKZT"")*K535)"),2750801)</f>
        <v>2750801</v>
      </c>
      <c r="P535" s="26">
        <f ca="1">IFERROR(__xludf.DUMMYFUNCTION("ROUND(GOOGLEFINANCE(""Currency:EURKZT"")*M535)"),238785)</f>
        <v>238785</v>
      </c>
      <c r="Q535" s="26">
        <f ca="1">IFERROR(__xludf.DUMMYFUNCTION("ROUND(GOOGLEFINANCE(""Currency:EURKZT"")*N535)"),238785)</f>
        <v>238785</v>
      </c>
      <c r="R535" s="26">
        <f t="shared" ca="1" si="529"/>
        <v>330096</v>
      </c>
      <c r="S535" s="26">
        <f t="shared" ca="1" si="530"/>
        <v>3558467</v>
      </c>
      <c r="T535" s="26">
        <f ca="1">IFERROR(__xludf.DUMMYFUNCTION("ROUND(GOOGLEFINANCE(""Currency:EURKZT"")*L535+S535)"),4081119)</f>
        <v>4081119</v>
      </c>
      <c r="U535" s="26">
        <f ca="1">IFERROR(__xludf.DUMMYFUNCTION("D535*GOOGLEFINANCE(""RUBKZT"")*1000/F535"),5001397.85004452)</f>
        <v>5001397.8500445196</v>
      </c>
      <c r="V535" s="27">
        <f t="shared" ca="1" si="531"/>
        <v>0.22549669589260191</v>
      </c>
    </row>
    <row r="536" spans="1:22" ht="12.75" customHeight="1" x14ac:dyDescent="0.2">
      <c r="A536" s="6" t="s">
        <v>317</v>
      </c>
      <c r="B536" s="6" t="s">
        <v>15</v>
      </c>
      <c r="C536" s="7">
        <v>188256</v>
      </c>
      <c r="D536" s="8">
        <v>96510</v>
      </c>
      <c r="E536" s="9" t="s">
        <v>16</v>
      </c>
      <c r="F536" s="23">
        <v>208</v>
      </c>
      <c r="G536" s="25"/>
      <c r="H536" s="14">
        <f t="shared" si="525"/>
        <v>0.55000000000000004</v>
      </c>
      <c r="I536" s="25">
        <f ca="1">IFERROR(__xludf.DUMMYFUNCTION("ROUND(D536*GOOGLEFINANCE(""RUBKZT"")*H536)"),414215)</f>
        <v>414215</v>
      </c>
      <c r="J536" s="26">
        <f ca="1">IFERROR(__xludf.DUMMYFUNCTION("ROUND(I536*GOOGLEFINANCE(""KZTEUR""))"),868)</f>
        <v>868</v>
      </c>
      <c r="K536" s="26">
        <f t="shared" ca="1" si="526"/>
        <v>4173</v>
      </c>
      <c r="L536" s="26">
        <f t="shared" ca="1" si="527"/>
        <v>792.87</v>
      </c>
      <c r="M536" s="26">
        <f t="shared" ref="M536:N536" si="552">M$3</f>
        <v>500</v>
      </c>
      <c r="N536" s="26">
        <f t="shared" si="552"/>
        <v>500</v>
      </c>
      <c r="O536" s="26">
        <f ca="1">IFERROR(__xludf.DUMMYFUNCTION("ROUND(GOOGLEFINANCE(""Currency:EURKZT"")*K536)"),1992898)</f>
        <v>1992898</v>
      </c>
      <c r="P536" s="26">
        <f ca="1">IFERROR(__xludf.DUMMYFUNCTION("ROUND(GOOGLEFINANCE(""Currency:EURKZT"")*M536)"),238785)</f>
        <v>238785</v>
      </c>
      <c r="Q536" s="26">
        <f ca="1">IFERROR(__xludf.DUMMYFUNCTION("ROUND(GOOGLEFINANCE(""Currency:EURKZT"")*N536)"),238785)</f>
        <v>238785</v>
      </c>
      <c r="R536" s="26">
        <f t="shared" ca="1" si="529"/>
        <v>239148</v>
      </c>
      <c r="S536" s="26">
        <f t="shared" ca="1" si="530"/>
        <v>2709616</v>
      </c>
      <c r="T536" s="26">
        <f ca="1">IFERROR(__xludf.DUMMYFUNCTION("ROUND(GOOGLEFINANCE(""Currency:EURKZT"")*L536+S536)"),3088267)</f>
        <v>3088267</v>
      </c>
      <c r="U536" s="26">
        <f ca="1">IFERROR(__xludf.DUMMYFUNCTION("D536*GOOGLEFINANCE(""RUBKZT"")*1000/F536"),3620759.56945442)</f>
        <v>3620759.5694544199</v>
      </c>
      <c r="V536" s="27">
        <f t="shared" ca="1" si="531"/>
        <v>0.17242439512335556</v>
      </c>
    </row>
    <row r="537" spans="1:22" ht="12.75" customHeight="1" x14ac:dyDescent="0.2">
      <c r="A537" s="6" t="s">
        <v>318</v>
      </c>
      <c r="B537" s="6" t="s">
        <v>15</v>
      </c>
      <c r="C537" s="7">
        <v>188328</v>
      </c>
      <c r="D537" s="8">
        <v>112942.8</v>
      </c>
      <c r="E537" s="9" t="s">
        <v>16</v>
      </c>
      <c r="F537" s="23">
        <v>208</v>
      </c>
      <c r="G537" s="25"/>
      <c r="H537" s="14">
        <f t="shared" si="525"/>
        <v>0.55000000000000004</v>
      </c>
      <c r="I537" s="25">
        <f ca="1">IFERROR(__xludf.DUMMYFUNCTION("ROUND(D537*GOOGLEFINANCE(""RUBKZT"")*H537)"),484743)</f>
        <v>484743</v>
      </c>
      <c r="J537" s="26">
        <f ca="1">IFERROR(__xludf.DUMMYFUNCTION("ROUND(I537*GOOGLEFINANCE(""KZTEUR""))"),1015)</f>
        <v>1015</v>
      </c>
      <c r="K537" s="26">
        <f t="shared" ca="1" si="526"/>
        <v>4880</v>
      </c>
      <c r="L537" s="26">
        <f t="shared" ca="1" si="527"/>
        <v>927.2</v>
      </c>
      <c r="M537" s="26">
        <f t="shared" ref="M537:N537" si="553">M$3</f>
        <v>500</v>
      </c>
      <c r="N537" s="26">
        <f t="shared" si="553"/>
        <v>500</v>
      </c>
      <c r="O537" s="26">
        <f ca="1">IFERROR(__xludf.DUMMYFUNCTION("ROUND(GOOGLEFINANCE(""Currency:EURKZT"")*K537)"),2330540)</f>
        <v>2330540</v>
      </c>
      <c r="P537" s="26">
        <f ca="1">IFERROR(__xludf.DUMMYFUNCTION("ROUND(GOOGLEFINANCE(""Currency:EURKZT"")*M537)"),238785)</f>
        <v>238785</v>
      </c>
      <c r="Q537" s="26">
        <f ca="1">IFERROR(__xludf.DUMMYFUNCTION("ROUND(GOOGLEFINANCE(""Currency:EURKZT"")*N537)"),238785)</f>
        <v>238785</v>
      </c>
      <c r="R537" s="26">
        <f t="shared" ca="1" si="529"/>
        <v>279665</v>
      </c>
      <c r="S537" s="26">
        <f t="shared" ca="1" si="530"/>
        <v>3087775</v>
      </c>
      <c r="T537" s="26">
        <f ca="1">IFERROR(__xludf.DUMMYFUNCTION("ROUND(GOOGLEFINANCE(""Currency:EURKZT"")*L537+S537)"),3530578)</f>
        <v>3530578</v>
      </c>
      <c r="U537" s="26">
        <f ca="1">IFERROR(__xludf.DUMMYFUNCTION("D537*GOOGLEFINANCE(""RUBKZT"")*1000/F537"),4237267.88831185)</f>
        <v>4237267.8883118499</v>
      </c>
      <c r="V537" s="27">
        <f t="shared" ca="1" si="531"/>
        <v>0.20016266127298418</v>
      </c>
    </row>
    <row r="538" spans="1:22" ht="12.75" customHeight="1" x14ac:dyDescent="0.2">
      <c r="A538" s="6" t="s">
        <v>323</v>
      </c>
      <c r="B538" s="6" t="s">
        <v>15</v>
      </c>
      <c r="C538" s="7">
        <v>189237</v>
      </c>
      <c r="D538" s="8">
        <v>97605.599999999991</v>
      </c>
      <c r="E538" s="9" t="s">
        <v>16</v>
      </c>
      <c r="F538" s="23">
        <v>208</v>
      </c>
      <c r="G538" s="25"/>
      <c r="H538" s="14">
        <f t="shared" si="525"/>
        <v>0.55000000000000004</v>
      </c>
      <c r="I538" s="25">
        <f ca="1">IFERROR(__xludf.DUMMYFUNCTION("ROUND(D538*GOOGLEFINANCE(""RUBKZT"")*H538)"),418917)</f>
        <v>418917</v>
      </c>
      <c r="J538" s="26">
        <f ca="1">IFERROR(__xludf.DUMMYFUNCTION("ROUND(I538*GOOGLEFINANCE(""KZTEUR""))"),877)</f>
        <v>877</v>
      </c>
      <c r="K538" s="26">
        <f t="shared" ca="1" si="526"/>
        <v>4216</v>
      </c>
      <c r="L538" s="26">
        <f t="shared" ca="1" si="527"/>
        <v>801.04</v>
      </c>
      <c r="M538" s="26">
        <f t="shared" ref="M538:N538" si="554">M$3</f>
        <v>500</v>
      </c>
      <c r="N538" s="26">
        <f t="shared" si="554"/>
        <v>500</v>
      </c>
      <c r="O538" s="26">
        <f ca="1">IFERROR(__xludf.DUMMYFUNCTION("ROUND(GOOGLEFINANCE(""Currency:EURKZT"")*K538)"),2013433)</f>
        <v>2013433</v>
      </c>
      <c r="P538" s="26">
        <f ca="1">IFERROR(__xludf.DUMMYFUNCTION("ROUND(GOOGLEFINANCE(""Currency:EURKZT"")*M538)"),238785)</f>
        <v>238785</v>
      </c>
      <c r="Q538" s="26">
        <f ca="1">IFERROR(__xludf.DUMMYFUNCTION("ROUND(GOOGLEFINANCE(""Currency:EURKZT"")*N538)"),238785)</f>
        <v>238785</v>
      </c>
      <c r="R538" s="26">
        <f t="shared" ca="1" si="529"/>
        <v>241612</v>
      </c>
      <c r="S538" s="26">
        <f t="shared" ca="1" si="530"/>
        <v>2732615</v>
      </c>
      <c r="T538" s="26">
        <f ca="1">IFERROR(__xludf.DUMMYFUNCTION("ROUND(GOOGLEFINANCE(""Currency:EURKZT"")*L538+S538)"),3115167)</f>
        <v>3115167</v>
      </c>
      <c r="U538" s="26">
        <f ca="1">IFERROR(__xludf.DUMMYFUNCTION("D538*GOOGLEFINANCE(""RUBKZT"")*1000/F538"),3661863.12539986)</f>
        <v>3661863.1253998601</v>
      </c>
      <c r="V538" s="27">
        <f t="shared" ca="1" si="531"/>
        <v>0.17549496556680913</v>
      </c>
    </row>
    <row r="539" spans="1:22" ht="12.75" customHeight="1" x14ac:dyDescent="0.2">
      <c r="A539" s="6" t="s">
        <v>324</v>
      </c>
      <c r="B539" s="6" t="s">
        <v>15</v>
      </c>
      <c r="C539" s="7">
        <v>189339</v>
      </c>
      <c r="D539" s="8">
        <v>316923.59999999998</v>
      </c>
      <c r="E539" s="9" t="s">
        <v>16</v>
      </c>
      <c r="F539" s="23">
        <v>208</v>
      </c>
      <c r="G539" s="25"/>
      <c r="H539" s="14">
        <f t="shared" si="525"/>
        <v>0.55000000000000004</v>
      </c>
      <c r="I539" s="25">
        <f ca="1">IFERROR(__xludf.DUMMYFUNCTION("ROUND(D539*GOOGLEFINANCE(""RUBKZT"")*H539)"),1360216)</f>
        <v>1360216</v>
      </c>
      <c r="J539" s="26">
        <f ca="1">IFERROR(__xludf.DUMMYFUNCTION("ROUND(I539*GOOGLEFINANCE(""KZTEUR""))"),2849)</f>
        <v>2849</v>
      </c>
      <c r="K539" s="26">
        <f t="shared" ca="1" si="526"/>
        <v>13697</v>
      </c>
      <c r="L539" s="26">
        <f t="shared" ca="1" si="527"/>
        <v>2602.4299999999998</v>
      </c>
      <c r="M539" s="26">
        <f t="shared" ref="M539:N539" si="555">M$3</f>
        <v>500</v>
      </c>
      <c r="N539" s="26">
        <f t="shared" si="555"/>
        <v>500</v>
      </c>
      <c r="O539" s="26">
        <f ca="1">IFERROR(__xludf.DUMMYFUNCTION("ROUND(GOOGLEFINANCE(""Currency:EURKZT"")*K539)"),6541271)</f>
        <v>6541271</v>
      </c>
      <c r="P539" s="26">
        <f ca="1">IFERROR(__xludf.DUMMYFUNCTION("ROUND(GOOGLEFINANCE(""Currency:EURKZT"")*M539)"),238785)</f>
        <v>238785</v>
      </c>
      <c r="Q539" s="26">
        <f ca="1">IFERROR(__xludf.DUMMYFUNCTION("ROUND(GOOGLEFINANCE(""Currency:EURKZT"")*N539)"),238785)</f>
        <v>238785</v>
      </c>
      <c r="R539" s="26">
        <f t="shared" ca="1" si="529"/>
        <v>784953</v>
      </c>
      <c r="S539" s="26">
        <f t="shared" ca="1" si="530"/>
        <v>7803794</v>
      </c>
      <c r="T539" s="26">
        <f ca="1">IFERROR(__xludf.DUMMYFUNCTION("ROUND(GOOGLEFINANCE(""Currency:EURKZT"")*L539+S539)"),9046635)</f>
        <v>9046635</v>
      </c>
      <c r="U539" s="26">
        <f ca="1">IFERROR(__xludf.DUMMYFUNCTION("D539*GOOGLEFINANCE(""RUBKZT"")*1000/F539"),11890002.6679716)</f>
        <v>11890002.6679716</v>
      </c>
      <c r="V539" s="27">
        <f t="shared" ca="1" si="531"/>
        <v>0.31430113716001584</v>
      </c>
    </row>
    <row r="540" spans="1:22" ht="12.75" customHeight="1" x14ac:dyDescent="0.2">
      <c r="A540" s="6" t="s">
        <v>325</v>
      </c>
      <c r="B540" s="6" t="s">
        <v>15</v>
      </c>
      <c r="C540" s="7">
        <v>189490</v>
      </c>
      <c r="D540" s="8">
        <v>104635.2</v>
      </c>
      <c r="E540" s="9" t="s">
        <v>16</v>
      </c>
      <c r="F540" s="23">
        <v>208</v>
      </c>
      <c r="G540" s="25"/>
      <c r="H540" s="14">
        <f t="shared" si="525"/>
        <v>0.55000000000000004</v>
      </c>
      <c r="I540" s="25">
        <f ca="1">IFERROR(__xludf.DUMMYFUNCTION("ROUND(D540*GOOGLEFINANCE(""RUBKZT"")*H540)"),449088)</f>
        <v>449088</v>
      </c>
      <c r="J540" s="26">
        <f ca="1">IFERROR(__xludf.DUMMYFUNCTION("ROUND(I540*GOOGLEFINANCE(""KZTEUR""))"),941)</f>
        <v>941</v>
      </c>
      <c r="K540" s="26">
        <f t="shared" ca="1" si="526"/>
        <v>4524</v>
      </c>
      <c r="L540" s="26">
        <f t="shared" ca="1" si="527"/>
        <v>859.56000000000006</v>
      </c>
      <c r="M540" s="26">
        <f t="shared" ref="M540:N540" si="556">M$3</f>
        <v>500</v>
      </c>
      <c r="N540" s="26">
        <f t="shared" si="556"/>
        <v>500</v>
      </c>
      <c r="O540" s="26">
        <f ca="1">IFERROR(__xludf.DUMMYFUNCTION("ROUND(GOOGLEFINANCE(""Currency:EURKZT"")*K540)"),2160525)</f>
        <v>2160525</v>
      </c>
      <c r="P540" s="26">
        <f ca="1">IFERROR(__xludf.DUMMYFUNCTION("ROUND(GOOGLEFINANCE(""Currency:EURKZT"")*M540)"),238785)</f>
        <v>238785</v>
      </c>
      <c r="Q540" s="26">
        <f ca="1">IFERROR(__xludf.DUMMYFUNCTION("ROUND(GOOGLEFINANCE(""Currency:EURKZT"")*N540)"),238785)</f>
        <v>238785</v>
      </c>
      <c r="R540" s="26">
        <f t="shared" ca="1" si="529"/>
        <v>259263</v>
      </c>
      <c r="S540" s="26">
        <f t="shared" ca="1" si="530"/>
        <v>2897358</v>
      </c>
      <c r="T540" s="26">
        <f ca="1">IFERROR(__xludf.DUMMYFUNCTION("ROUND(GOOGLEFINANCE(""Currency:EURKZT"")*L540+S540)"),3307858)</f>
        <v>3307858</v>
      </c>
      <c r="U540" s="26">
        <f ca="1">IFERROR(__xludf.DUMMYFUNCTION("D540*GOOGLEFINANCE(""RUBKZT"")*1000/F540"),3925592.18424803)</f>
        <v>3925592.1842480302</v>
      </c>
      <c r="V540" s="27">
        <f t="shared" ca="1" si="531"/>
        <v>0.18674749165412488</v>
      </c>
    </row>
    <row r="541" spans="1:22" ht="12.75" customHeight="1" x14ac:dyDescent="0.2">
      <c r="A541" s="6" t="s">
        <v>326</v>
      </c>
      <c r="B541" s="6" t="s">
        <v>15</v>
      </c>
      <c r="C541" s="7">
        <v>189707</v>
      </c>
      <c r="D541" s="8">
        <v>93052.800000000003</v>
      </c>
      <c r="E541" s="9" t="s">
        <v>16</v>
      </c>
      <c r="F541" s="23">
        <v>208</v>
      </c>
      <c r="G541" s="25"/>
      <c r="H541" s="14">
        <f t="shared" si="525"/>
        <v>0.55000000000000004</v>
      </c>
      <c r="I541" s="25">
        <f ca="1">IFERROR(__xludf.DUMMYFUNCTION("ROUND(D541*GOOGLEFINANCE(""RUBKZT"")*H541)"),399377)</f>
        <v>399377</v>
      </c>
      <c r="J541" s="26">
        <f ca="1">IFERROR(__xludf.DUMMYFUNCTION("ROUND(I541*GOOGLEFINANCE(""KZTEUR""))"),836)</f>
        <v>836</v>
      </c>
      <c r="K541" s="26">
        <f t="shared" ca="1" si="526"/>
        <v>4019</v>
      </c>
      <c r="L541" s="26">
        <f t="shared" ca="1" si="527"/>
        <v>763.61</v>
      </c>
      <c r="M541" s="26">
        <f t="shared" ref="M541:N541" si="557">M$3</f>
        <v>500</v>
      </c>
      <c r="N541" s="26">
        <f t="shared" si="557"/>
        <v>500</v>
      </c>
      <c r="O541" s="26">
        <f ca="1">IFERROR(__xludf.DUMMYFUNCTION("ROUND(GOOGLEFINANCE(""Currency:EURKZT"")*K541)"),1919352)</f>
        <v>1919352</v>
      </c>
      <c r="P541" s="26">
        <f ca="1">IFERROR(__xludf.DUMMYFUNCTION("ROUND(GOOGLEFINANCE(""Currency:EURKZT"")*M541)"),238785)</f>
        <v>238785</v>
      </c>
      <c r="Q541" s="26">
        <f ca="1">IFERROR(__xludf.DUMMYFUNCTION("ROUND(GOOGLEFINANCE(""Currency:EURKZT"")*N541)"),238785)</f>
        <v>238785</v>
      </c>
      <c r="R541" s="26">
        <f t="shared" ca="1" si="529"/>
        <v>230322</v>
      </c>
      <c r="S541" s="26">
        <f t="shared" ca="1" si="530"/>
        <v>2627244</v>
      </c>
      <c r="T541" s="26">
        <f ca="1">IFERROR(__xludf.DUMMYFUNCTION("ROUND(GOOGLEFINANCE(""Currency:EURKZT"")*L541+S541)"),2991921)</f>
        <v>2991921</v>
      </c>
      <c r="U541" s="26">
        <f ca="1">IFERROR(__xludf.DUMMYFUNCTION("D541*GOOGLEFINANCE(""RUBKZT"")*1000/F541"),3491056.01558935)</f>
        <v>3491056.0155893499</v>
      </c>
      <c r="V541" s="27">
        <f t="shared" ca="1" si="531"/>
        <v>0.1668276052707775</v>
      </c>
    </row>
    <row r="542" spans="1:22" ht="12.75" customHeight="1" x14ac:dyDescent="0.2">
      <c r="A542" s="6" t="s">
        <v>327</v>
      </c>
      <c r="B542" s="6" t="s">
        <v>15</v>
      </c>
      <c r="C542" s="7">
        <v>190484</v>
      </c>
      <c r="D542" s="8">
        <v>198295.19999999998</v>
      </c>
      <c r="E542" s="9" t="s">
        <v>16</v>
      </c>
      <c r="F542" s="23">
        <v>208</v>
      </c>
      <c r="G542" s="25"/>
      <c r="H542" s="14">
        <f t="shared" si="525"/>
        <v>0.55000000000000004</v>
      </c>
      <c r="I542" s="25">
        <f ca="1">IFERROR(__xludf.DUMMYFUNCTION("ROUND(D542*GOOGLEFINANCE(""RUBKZT"")*H542)"),851071)</f>
        <v>851071</v>
      </c>
      <c r="J542" s="26">
        <f ca="1">IFERROR(__xludf.DUMMYFUNCTION("ROUND(I542*GOOGLEFINANCE(""KZTEUR""))"),1782)</f>
        <v>1782</v>
      </c>
      <c r="K542" s="26">
        <f t="shared" ca="1" si="526"/>
        <v>8567</v>
      </c>
      <c r="L542" s="26">
        <f t="shared" ca="1" si="527"/>
        <v>1627.73</v>
      </c>
      <c r="M542" s="26">
        <f t="shared" ref="M542:N542" si="558">M$3</f>
        <v>500</v>
      </c>
      <c r="N542" s="26">
        <f t="shared" si="558"/>
        <v>500</v>
      </c>
      <c r="O542" s="26">
        <f ca="1">IFERROR(__xludf.DUMMYFUNCTION("ROUND(GOOGLEFINANCE(""Currency:EURKZT"")*K542)"),4091339)</f>
        <v>4091339</v>
      </c>
      <c r="P542" s="26">
        <f ca="1">IFERROR(__xludf.DUMMYFUNCTION("ROUND(GOOGLEFINANCE(""Currency:EURKZT"")*M542)"),238785)</f>
        <v>238785</v>
      </c>
      <c r="Q542" s="26">
        <f ca="1">IFERROR(__xludf.DUMMYFUNCTION("ROUND(GOOGLEFINANCE(""Currency:EURKZT"")*N542)"),238785)</f>
        <v>238785</v>
      </c>
      <c r="R542" s="26">
        <f t="shared" ca="1" si="529"/>
        <v>490961</v>
      </c>
      <c r="S542" s="26">
        <f t="shared" ca="1" si="530"/>
        <v>5059870</v>
      </c>
      <c r="T542" s="26">
        <f ca="1">IFERROR(__xludf.DUMMYFUNCTION("ROUND(GOOGLEFINANCE(""Currency:EURKZT"")*L542+S542)"),5837224)</f>
        <v>5837224</v>
      </c>
      <c r="U542" s="26">
        <f ca="1">IFERROR(__xludf.DUMMYFUNCTION("D542*GOOGLEFINANCE(""RUBKZT"")*1000/F542"),7439428.48385533)</f>
        <v>7439428.4838553304</v>
      </c>
      <c r="V542" s="27">
        <f t="shared" ca="1" si="531"/>
        <v>0.27448055511581027</v>
      </c>
    </row>
    <row r="543" spans="1:22" ht="12.75" customHeight="1" x14ac:dyDescent="0.2">
      <c r="A543" s="6" t="s">
        <v>328</v>
      </c>
      <c r="B543" s="6" t="s">
        <v>15</v>
      </c>
      <c r="C543" s="7">
        <v>190487</v>
      </c>
      <c r="D543" s="8">
        <v>222411.6</v>
      </c>
      <c r="E543" s="9" t="s">
        <v>16</v>
      </c>
      <c r="F543" s="23">
        <v>208</v>
      </c>
      <c r="G543" s="25"/>
      <c r="H543" s="14">
        <f t="shared" si="525"/>
        <v>0.55000000000000004</v>
      </c>
      <c r="I543" s="25">
        <f ca="1">IFERROR(__xludf.DUMMYFUNCTION("ROUND(D543*GOOGLEFINANCE(""RUBKZT"")*H543)"),954577)</f>
        <v>954577</v>
      </c>
      <c r="J543" s="26">
        <f ca="1">IFERROR(__xludf.DUMMYFUNCTION("ROUND(I543*GOOGLEFINANCE(""KZTEUR""))"),1999)</f>
        <v>1999</v>
      </c>
      <c r="K543" s="26">
        <f t="shared" ca="1" si="526"/>
        <v>9611</v>
      </c>
      <c r="L543" s="26">
        <f t="shared" ca="1" si="527"/>
        <v>1826.09</v>
      </c>
      <c r="M543" s="26">
        <f t="shared" ref="M543:N543" si="559">M$3</f>
        <v>500</v>
      </c>
      <c r="N543" s="26">
        <f t="shared" si="559"/>
        <v>500</v>
      </c>
      <c r="O543" s="26">
        <f ca="1">IFERROR(__xludf.DUMMYFUNCTION("ROUND(GOOGLEFINANCE(""Currency:EURKZT"")*K543)"),4589922)</f>
        <v>4589922</v>
      </c>
      <c r="P543" s="26">
        <f ca="1">IFERROR(__xludf.DUMMYFUNCTION("ROUND(GOOGLEFINANCE(""Currency:EURKZT"")*M543)"),238785)</f>
        <v>238785</v>
      </c>
      <c r="Q543" s="26">
        <f ca="1">IFERROR(__xludf.DUMMYFUNCTION("ROUND(GOOGLEFINANCE(""Currency:EURKZT"")*N543)"),238785)</f>
        <v>238785</v>
      </c>
      <c r="R543" s="26">
        <f t="shared" ca="1" si="529"/>
        <v>550791</v>
      </c>
      <c r="S543" s="26">
        <f t="shared" ca="1" si="530"/>
        <v>5618283</v>
      </c>
      <c r="T543" s="26">
        <f ca="1">IFERROR(__xludf.DUMMYFUNCTION("ROUND(GOOGLEFINANCE(""Currency:EURKZT"")*L543+S543)"),6490368)</f>
        <v>6490368</v>
      </c>
      <c r="U543" s="26">
        <f ca="1">IFERROR(__xludf.DUMMYFUNCTION("D543*GOOGLEFINANCE(""RUBKZT"")*1000/F543"),8344201.93822059)</f>
        <v>8344201.9382205904</v>
      </c>
      <c r="V543" s="27">
        <f t="shared" ca="1" si="531"/>
        <v>0.28562847872733726</v>
      </c>
    </row>
    <row r="544" spans="1:22" ht="12.75" customHeight="1" x14ac:dyDescent="0.2">
      <c r="A544" s="6" t="s">
        <v>331</v>
      </c>
      <c r="B544" s="6" t="s">
        <v>15</v>
      </c>
      <c r="C544" s="7">
        <v>190504</v>
      </c>
      <c r="D544" s="8">
        <v>128354.4</v>
      </c>
      <c r="E544" s="9" t="s">
        <v>16</v>
      </c>
      <c r="F544" s="23">
        <v>208</v>
      </c>
      <c r="G544" s="25"/>
      <c r="H544" s="14">
        <f t="shared" si="525"/>
        <v>0.55000000000000004</v>
      </c>
      <c r="I544" s="25">
        <f ca="1">IFERROR(__xludf.DUMMYFUNCTION("ROUND(D544*GOOGLEFINANCE(""RUBKZT"")*H544)"),550889)</f>
        <v>550889</v>
      </c>
      <c r="J544" s="26">
        <f ca="1">IFERROR(__xludf.DUMMYFUNCTION("ROUND(I544*GOOGLEFINANCE(""KZTEUR""))"),1154)</f>
        <v>1154</v>
      </c>
      <c r="K544" s="26">
        <f t="shared" ca="1" si="526"/>
        <v>5548</v>
      </c>
      <c r="L544" s="26">
        <f t="shared" ca="1" si="527"/>
        <v>1054.1200000000001</v>
      </c>
      <c r="M544" s="26">
        <f t="shared" ref="M544:N544" si="560">M$3</f>
        <v>500</v>
      </c>
      <c r="N544" s="26">
        <f t="shared" si="560"/>
        <v>500</v>
      </c>
      <c r="O544" s="26">
        <f ca="1">IFERROR(__xludf.DUMMYFUNCTION("ROUND(GOOGLEFINANCE(""Currency:EURKZT"")*K544)"),2649556)</f>
        <v>2649556</v>
      </c>
      <c r="P544" s="26">
        <f ca="1">IFERROR(__xludf.DUMMYFUNCTION("ROUND(GOOGLEFINANCE(""Currency:EURKZT"")*M544)"),238785)</f>
        <v>238785</v>
      </c>
      <c r="Q544" s="26">
        <f ca="1">IFERROR(__xludf.DUMMYFUNCTION("ROUND(GOOGLEFINANCE(""Currency:EURKZT"")*N544)"),238785)</f>
        <v>238785</v>
      </c>
      <c r="R544" s="26">
        <f t="shared" ca="1" si="529"/>
        <v>317947</v>
      </c>
      <c r="S544" s="26">
        <f t="shared" ca="1" si="530"/>
        <v>3445073</v>
      </c>
      <c r="T544" s="26">
        <f ca="1">IFERROR(__xludf.DUMMYFUNCTION("ROUND(GOOGLEFINANCE(""Currency:EURKZT"")*L544+S544)"),3948489)</f>
        <v>3948489</v>
      </c>
      <c r="U544" s="26">
        <f ca="1">IFERROR(__xludf.DUMMYFUNCTION("D544*GOOGLEFINANCE(""RUBKZT"")*1000/F544"),4815463.9113209)</f>
        <v>4815463.9113208996</v>
      </c>
      <c r="V544" s="27">
        <f t="shared" ca="1" si="531"/>
        <v>0.21957131229715965</v>
      </c>
    </row>
    <row r="545" spans="1:22" ht="12.75" customHeight="1" x14ac:dyDescent="0.2">
      <c r="A545" s="6" t="s">
        <v>332</v>
      </c>
      <c r="B545" s="6" t="s">
        <v>15</v>
      </c>
      <c r="C545" s="7">
        <v>190508</v>
      </c>
      <c r="D545" s="8">
        <v>122589.59999999999</v>
      </c>
      <c r="E545" s="9" t="s">
        <v>16</v>
      </c>
      <c r="F545" s="23">
        <v>208</v>
      </c>
      <c r="G545" s="25"/>
      <c r="H545" s="14">
        <f t="shared" si="525"/>
        <v>0.55000000000000004</v>
      </c>
      <c r="I545" s="25">
        <f ca="1">IFERROR(__xludf.DUMMYFUNCTION("ROUND(D545*GOOGLEFINANCE(""RUBKZT"")*H545)"),526147)</f>
        <v>526147</v>
      </c>
      <c r="J545" s="26">
        <f ca="1">IFERROR(__xludf.DUMMYFUNCTION("ROUND(I545*GOOGLEFINANCE(""KZTEUR""))"),1102)</f>
        <v>1102</v>
      </c>
      <c r="K545" s="26">
        <f t="shared" ca="1" si="526"/>
        <v>5298</v>
      </c>
      <c r="L545" s="26">
        <f t="shared" ca="1" si="527"/>
        <v>1006.62</v>
      </c>
      <c r="M545" s="26">
        <f t="shared" ref="M545:N545" si="561">M$3</f>
        <v>500</v>
      </c>
      <c r="N545" s="26">
        <f t="shared" si="561"/>
        <v>500</v>
      </c>
      <c r="O545" s="26">
        <f ca="1">IFERROR(__xludf.DUMMYFUNCTION("ROUND(GOOGLEFINANCE(""Currency:EURKZT"")*K545)"),2530164)</f>
        <v>2530164</v>
      </c>
      <c r="P545" s="26">
        <f ca="1">IFERROR(__xludf.DUMMYFUNCTION("ROUND(GOOGLEFINANCE(""Currency:EURKZT"")*M545)"),238785)</f>
        <v>238785</v>
      </c>
      <c r="Q545" s="26">
        <f ca="1">IFERROR(__xludf.DUMMYFUNCTION("ROUND(GOOGLEFINANCE(""Currency:EURKZT"")*N545)"),238785)</f>
        <v>238785</v>
      </c>
      <c r="R545" s="26">
        <f t="shared" ca="1" si="529"/>
        <v>303620</v>
      </c>
      <c r="S545" s="26">
        <f t="shared" ca="1" si="530"/>
        <v>3311354</v>
      </c>
      <c r="T545" s="26">
        <f ca="1">IFERROR(__xludf.DUMMYFUNCTION("ROUND(GOOGLEFINANCE(""Currency:EURKZT"")*L545+S545)"),3792085)</f>
        <v>3792085</v>
      </c>
      <c r="U545" s="26">
        <f ca="1">IFERROR(__xludf.DUMMYFUNCTION("D545*GOOGLEFINANCE(""RUBKZT"")*1000/F545"),4599186.27412278)</f>
        <v>4599186.2741227802</v>
      </c>
      <c r="V545" s="27">
        <f t="shared" ca="1" si="531"/>
        <v>0.21283839210428568</v>
      </c>
    </row>
    <row r="546" spans="1:22" ht="12.75" customHeight="1" x14ac:dyDescent="0.2">
      <c r="A546" s="6" t="s">
        <v>333</v>
      </c>
      <c r="B546" s="6" t="s">
        <v>15</v>
      </c>
      <c r="C546" s="7">
        <v>190541</v>
      </c>
      <c r="D546" s="8">
        <v>232528.8</v>
      </c>
      <c r="E546" s="9" t="s">
        <v>16</v>
      </c>
      <c r="F546" s="23">
        <v>208</v>
      </c>
      <c r="G546" s="25"/>
      <c r="H546" s="14">
        <f t="shared" si="525"/>
        <v>0.55000000000000004</v>
      </c>
      <c r="I546" s="25">
        <f ca="1">IFERROR(__xludf.DUMMYFUNCTION("ROUND(D546*GOOGLEFINANCE(""RUBKZT"")*H546)"),997999)</f>
        <v>997999</v>
      </c>
      <c r="J546" s="26">
        <f ca="1">IFERROR(__xludf.DUMMYFUNCTION("ROUND(I546*GOOGLEFINANCE(""KZTEUR""))"),2090)</f>
        <v>2090</v>
      </c>
      <c r="K546" s="26">
        <f t="shared" ca="1" si="526"/>
        <v>10048</v>
      </c>
      <c r="L546" s="26">
        <f t="shared" ca="1" si="527"/>
        <v>1909.1200000000001</v>
      </c>
      <c r="M546" s="26">
        <f t="shared" ref="M546:N546" si="562">M$3</f>
        <v>500</v>
      </c>
      <c r="N546" s="26">
        <f t="shared" si="562"/>
        <v>500</v>
      </c>
      <c r="O546" s="26">
        <f ca="1">IFERROR(__xludf.DUMMYFUNCTION("ROUND(GOOGLEFINANCE(""Currency:EURKZT"")*K546)"),4798619)</f>
        <v>4798619</v>
      </c>
      <c r="P546" s="26">
        <f ca="1">IFERROR(__xludf.DUMMYFUNCTION("ROUND(GOOGLEFINANCE(""Currency:EURKZT"")*M546)"),238785)</f>
        <v>238785</v>
      </c>
      <c r="Q546" s="26">
        <f ca="1">IFERROR(__xludf.DUMMYFUNCTION("ROUND(GOOGLEFINANCE(""Currency:EURKZT"")*N546)"),238785)</f>
        <v>238785</v>
      </c>
      <c r="R546" s="26">
        <f t="shared" ca="1" si="529"/>
        <v>575834</v>
      </c>
      <c r="S546" s="26">
        <f t="shared" ca="1" si="530"/>
        <v>5852023</v>
      </c>
      <c r="T546" s="26">
        <f ca="1">IFERROR(__xludf.DUMMYFUNCTION("ROUND(GOOGLEFINANCE(""Currency:EURKZT"")*L546+S546)"),6763761)</f>
        <v>6763761</v>
      </c>
      <c r="U546" s="26">
        <f ca="1">IFERROR(__xludf.DUMMYFUNCTION("D546*GOOGLEFINANCE(""RUBKZT"")*1000/F546"),8723768.29109681)</f>
        <v>8723768.2910968103</v>
      </c>
      <c r="V546" s="27">
        <f t="shared" ca="1" si="531"/>
        <v>0.28978068431111187</v>
      </c>
    </row>
    <row r="547" spans="1:22" ht="12.75" customHeight="1" x14ac:dyDescent="0.2">
      <c r="A547" s="6" t="s">
        <v>334</v>
      </c>
      <c r="B547" s="6" t="s">
        <v>15</v>
      </c>
      <c r="C547" s="7">
        <v>190544</v>
      </c>
      <c r="D547" s="8">
        <v>254570.4</v>
      </c>
      <c r="E547" s="9" t="s">
        <v>16</v>
      </c>
      <c r="F547" s="23">
        <v>208</v>
      </c>
      <c r="G547" s="25"/>
      <c r="H547" s="14">
        <f t="shared" si="525"/>
        <v>0.55000000000000004</v>
      </c>
      <c r="I547" s="25">
        <f ca="1">IFERROR(__xludf.DUMMYFUNCTION("ROUND(D547*GOOGLEFINANCE(""RUBKZT"")*H547)"),1092600)</f>
        <v>1092600</v>
      </c>
      <c r="J547" s="26">
        <f ca="1">IFERROR(__xludf.DUMMYFUNCTION("ROUND(I547*GOOGLEFINANCE(""KZTEUR""))"),2288)</f>
        <v>2288</v>
      </c>
      <c r="K547" s="26">
        <f t="shared" ca="1" si="526"/>
        <v>11000</v>
      </c>
      <c r="L547" s="26">
        <f t="shared" ca="1" si="527"/>
        <v>2090</v>
      </c>
      <c r="M547" s="26">
        <f t="shared" ref="M547:N547" si="563">M$3</f>
        <v>500</v>
      </c>
      <c r="N547" s="26">
        <f t="shared" si="563"/>
        <v>500</v>
      </c>
      <c r="O547" s="26">
        <f ca="1">IFERROR(__xludf.DUMMYFUNCTION("ROUND(GOOGLEFINANCE(""Currency:EURKZT"")*K547)"),5253266)</f>
        <v>5253266</v>
      </c>
      <c r="P547" s="26">
        <f ca="1">IFERROR(__xludf.DUMMYFUNCTION("ROUND(GOOGLEFINANCE(""Currency:EURKZT"")*M547)"),238785)</f>
        <v>238785</v>
      </c>
      <c r="Q547" s="26">
        <f ca="1">IFERROR(__xludf.DUMMYFUNCTION("ROUND(GOOGLEFINANCE(""Currency:EURKZT"")*N547)"),238785)</f>
        <v>238785</v>
      </c>
      <c r="R547" s="26">
        <f t="shared" ca="1" si="529"/>
        <v>630392</v>
      </c>
      <c r="S547" s="26">
        <f t="shared" ca="1" si="530"/>
        <v>6361228</v>
      </c>
      <c r="T547" s="26">
        <f ca="1">IFERROR(__xludf.DUMMYFUNCTION("ROUND(GOOGLEFINANCE(""Currency:EURKZT"")*L547+S547)"),7359348)</f>
        <v>7359348</v>
      </c>
      <c r="U547" s="26">
        <f ca="1">IFERROR(__xludf.DUMMYFUNCTION("D547*GOOGLEFINANCE(""RUBKZT"")*1000/F547"),9550701.60501336)</f>
        <v>9550701.6050133593</v>
      </c>
      <c r="V547" s="27">
        <f t="shared" ca="1" si="531"/>
        <v>0.29776463961391136</v>
      </c>
    </row>
    <row r="548" spans="1:22" ht="12.75" customHeight="1" x14ac:dyDescent="0.2">
      <c r="A548" s="6" t="s">
        <v>335</v>
      </c>
      <c r="B548" s="6" t="s">
        <v>15</v>
      </c>
      <c r="C548" s="7">
        <v>190547</v>
      </c>
      <c r="D548" s="8">
        <v>122752.79999999999</v>
      </c>
      <c r="E548" s="9" t="s">
        <v>16</v>
      </c>
      <c r="F548" s="23">
        <v>208</v>
      </c>
      <c r="G548" s="25"/>
      <c r="H548" s="14">
        <f t="shared" si="525"/>
        <v>0.55000000000000004</v>
      </c>
      <c r="I548" s="25">
        <f ca="1">IFERROR(__xludf.DUMMYFUNCTION("ROUND(D548*GOOGLEFINANCE(""RUBKZT"")*H548)"),526847)</f>
        <v>526847</v>
      </c>
      <c r="J548" s="26">
        <f ca="1">IFERROR(__xludf.DUMMYFUNCTION("ROUND(I548*GOOGLEFINANCE(""KZTEUR""))"),1103)</f>
        <v>1103</v>
      </c>
      <c r="K548" s="26">
        <f t="shared" ca="1" si="526"/>
        <v>5303</v>
      </c>
      <c r="L548" s="26">
        <f t="shared" ca="1" si="527"/>
        <v>1007.57</v>
      </c>
      <c r="M548" s="26">
        <f t="shared" ref="M548:N548" si="564">M$3</f>
        <v>500</v>
      </c>
      <c r="N548" s="26">
        <f t="shared" si="564"/>
        <v>500</v>
      </c>
      <c r="O548" s="26">
        <f ca="1">IFERROR(__xludf.DUMMYFUNCTION("ROUND(GOOGLEFINANCE(""Currency:EURKZT"")*K548)"),2532552)</f>
        <v>2532552</v>
      </c>
      <c r="P548" s="26">
        <f ca="1">IFERROR(__xludf.DUMMYFUNCTION("ROUND(GOOGLEFINANCE(""Currency:EURKZT"")*M548)"),238785)</f>
        <v>238785</v>
      </c>
      <c r="Q548" s="26">
        <f ca="1">IFERROR(__xludf.DUMMYFUNCTION("ROUND(GOOGLEFINANCE(""Currency:EURKZT"")*N548)"),238785)</f>
        <v>238785</v>
      </c>
      <c r="R548" s="26">
        <f t="shared" ca="1" si="529"/>
        <v>303906</v>
      </c>
      <c r="S548" s="26">
        <f t="shared" ca="1" si="530"/>
        <v>3314028</v>
      </c>
      <c r="T548" s="26">
        <f ca="1">IFERROR(__xludf.DUMMYFUNCTION("ROUND(GOOGLEFINANCE(""Currency:EURKZT"")*L548+S548)"),3795213)</f>
        <v>3795213</v>
      </c>
      <c r="U548" s="26">
        <f ca="1">IFERROR(__xludf.DUMMYFUNCTION("D548*GOOGLEFINANCE(""RUBKZT"")*1000/F548"),4605309.03820666)</f>
        <v>4605309.0382066602</v>
      </c>
      <c r="V548" s="27">
        <f t="shared" ca="1" si="531"/>
        <v>0.21345206137485834</v>
      </c>
    </row>
    <row r="549" spans="1:22" ht="12.75" customHeight="1" x14ac:dyDescent="0.2">
      <c r="A549" s="6" t="s">
        <v>336</v>
      </c>
      <c r="B549" s="6" t="s">
        <v>15</v>
      </c>
      <c r="C549" s="7">
        <v>190551</v>
      </c>
      <c r="D549" s="8">
        <v>123138</v>
      </c>
      <c r="E549" s="9" t="s">
        <v>16</v>
      </c>
      <c r="F549" s="23">
        <v>208</v>
      </c>
      <c r="G549" s="25"/>
      <c r="H549" s="14">
        <f t="shared" si="525"/>
        <v>0.55000000000000004</v>
      </c>
      <c r="I549" s="25">
        <f ca="1">IFERROR(__xludf.DUMMYFUNCTION("ROUND(D549*GOOGLEFINANCE(""RUBKZT"")*H549)"),528501)</f>
        <v>528501</v>
      </c>
      <c r="J549" s="26">
        <f ca="1">IFERROR(__xludf.DUMMYFUNCTION("ROUND(I549*GOOGLEFINANCE(""KZTEUR""))"),1107)</f>
        <v>1107</v>
      </c>
      <c r="K549" s="26">
        <f t="shared" ca="1" si="526"/>
        <v>5322</v>
      </c>
      <c r="L549" s="26">
        <f t="shared" ca="1" si="527"/>
        <v>1011.1800000000001</v>
      </c>
      <c r="M549" s="26">
        <f t="shared" ref="M549:N549" si="565">M$3</f>
        <v>500</v>
      </c>
      <c r="N549" s="26">
        <f t="shared" si="565"/>
        <v>500</v>
      </c>
      <c r="O549" s="26">
        <f ca="1">IFERROR(__xludf.DUMMYFUNCTION("ROUND(GOOGLEFINANCE(""Currency:EURKZT"")*K549)"),2541625)</f>
        <v>2541625</v>
      </c>
      <c r="P549" s="26">
        <f ca="1">IFERROR(__xludf.DUMMYFUNCTION("ROUND(GOOGLEFINANCE(""Currency:EURKZT"")*M549)"),238785)</f>
        <v>238785</v>
      </c>
      <c r="Q549" s="26">
        <f ca="1">IFERROR(__xludf.DUMMYFUNCTION("ROUND(GOOGLEFINANCE(""Currency:EURKZT"")*N549)"),238785)</f>
        <v>238785</v>
      </c>
      <c r="R549" s="26">
        <f t="shared" ca="1" si="529"/>
        <v>304995</v>
      </c>
      <c r="S549" s="26">
        <f t="shared" ca="1" si="530"/>
        <v>3324190</v>
      </c>
      <c r="T549" s="26">
        <f ca="1">IFERROR(__xludf.DUMMYFUNCTION("ROUND(GOOGLEFINANCE(""Currency:EURKZT"")*L549+S549)"),3807099)</f>
        <v>3807099</v>
      </c>
      <c r="U549" s="26">
        <f ca="1">IFERROR(__xludf.DUMMYFUNCTION("D549*GOOGLEFINANCE(""RUBKZT"")*1000/F549"),4619760.56225757)</f>
        <v>4619760.5622575702</v>
      </c>
      <c r="V549" s="27">
        <f t="shared" ca="1" si="531"/>
        <v>0.21345952975154317</v>
      </c>
    </row>
    <row r="550" spans="1:22" ht="12.75" customHeight="1" x14ac:dyDescent="0.2">
      <c r="A550" s="6" t="s">
        <v>337</v>
      </c>
      <c r="B550" s="6" t="s">
        <v>15</v>
      </c>
      <c r="C550" s="7">
        <v>190573</v>
      </c>
      <c r="D550" s="8">
        <v>97706.4</v>
      </c>
      <c r="E550" s="9" t="s">
        <v>16</v>
      </c>
      <c r="F550" s="23">
        <v>208</v>
      </c>
      <c r="G550" s="25"/>
      <c r="H550" s="14">
        <f t="shared" si="525"/>
        <v>0.55000000000000004</v>
      </c>
      <c r="I550" s="25">
        <f ca="1">IFERROR(__xludf.DUMMYFUNCTION("ROUND(D550*GOOGLEFINANCE(""RUBKZT"")*H550)"),419350)</f>
        <v>419350</v>
      </c>
      <c r="J550" s="26">
        <f ca="1">IFERROR(__xludf.DUMMYFUNCTION("ROUND(I550*GOOGLEFINANCE(""KZTEUR""))"),878)</f>
        <v>878</v>
      </c>
      <c r="K550" s="26">
        <f t="shared" ca="1" si="526"/>
        <v>4221</v>
      </c>
      <c r="L550" s="26">
        <f t="shared" ca="1" si="527"/>
        <v>801.99</v>
      </c>
      <c r="M550" s="26">
        <f t="shared" ref="M550:N550" si="566">M$3</f>
        <v>500</v>
      </c>
      <c r="N550" s="26">
        <f t="shared" si="566"/>
        <v>500</v>
      </c>
      <c r="O550" s="26">
        <f ca="1">IFERROR(__xludf.DUMMYFUNCTION("ROUND(GOOGLEFINANCE(""Currency:EURKZT"")*K550)"),2015821)</f>
        <v>2015821</v>
      </c>
      <c r="P550" s="26">
        <f ca="1">IFERROR(__xludf.DUMMYFUNCTION("ROUND(GOOGLEFINANCE(""Currency:EURKZT"")*M550)"),238785)</f>
        <v>238785</v>
      </c>
      <c r="Q550" s="26">
        <f ca="1">IFERROR(__xludf.DUMMYFUNCTION("ROUND(GOOGLEFINANCE(""Currency:EURKZT"")*N550)"),238785)</f>
        <v>238785</v>
      </c>
      <c r="R550" s="26">
        <f t="shared" ca="1" si="529"/>
        <v>241899</v>
      </c>
      <c r="S550" s="26">
        <f t="shared" ca="1" si="530"/>
        <v>2735290</v>
      </c>
      <c r="T550" s="26">
        <f ca="1">IFERROR(__xludf.DUMMYFUNCTION("ROUND(GOOGLEFINANCE(""Currency:EURKZT"")*L550+S550)"),3118296)</f>
        <v>3118296</v>
      </c>
      <c r="U550" s="26">
        <f ca="1">IFERROR(__xludf.DUMMYFUNCTION("D550*GOOGLEFINANCE(""RUBKZT"")*1000/F550"),3665644.83262813)</f>
        <v>3665644.83262813</v>
      </c>
      <c r="V550" s="27">
        <f t="shared" ca="1" si="531"/>
        <v>0.17552818354259184</v>
      </c>
    </row>
    <row r="551" spans="1:22" ht="12.75" customHeight="1" x14ac:dyDescent="0.2">
      <c r="A551" s="6" t="s">
        <v>338</v>
      </c>
      <c r="B551" s="6" t="s">
        <v>15</v>
      </c>
      <c r="C551" s="7">
        <v>190575</v>
      </c>
      <c r="D551" s="8">
        <v>155341.19999999998</v>
      </c>
      <c r="E551" s="9" t="s">
        <v>16</v>
      </c>
      <c r="F551" s="23">
        <v>208</v>
      </c>
      <c r="G551" s="25"/>
      <c r="H551" s="14">
        <f t="shared" si="525"/>
        <v>0.55000000000000004</v>
      </c>
      <c r="I551" s="25">
        <f ca="1">IFERROR(__xludf.DUMMYFUNCTION("ROUND(D551*GOOGLEFINANCE(""RUBKZT"")*H551)"),666715)</f>
        <v>666715</v>
      </c>
      <c r="J551" s="26">
        <f ca="1">IFERROR(__xludf.DUMMYFUNCTION("ROUND(I551*GOOGLEFINANCE(""KZTEUR""))"),1396)</f>
        <v>1396</v>
      </c>
      <c r="K551" s="26">
        <f t="shared" ca="1" si="526"/>
        <v>6712</v>
      </c>
      <c r="L551" s="26">
        <f t="shared" ca="1" si="527"/>
        <v>1275.28</v>
      </c>
      <c r="M551" s="26">
        <f t="shared" ref="M551:N551" si="567">M$3</f>
        <v>500</v>
      </c>
      <c r="N551" s="26">
        <f t="shared" si="567"/>
        <v>500</v>
      </c>
      <c r="O551" s="26">
        <f ca="1">IFERROR(__xludf.DUMMYFUNCTION("ROUND(GOOGLEFINANCE(""Currency:EURKZT"")*K551)"),3205447)</f>
        <v>3205447</v>
      </c>
      <c r="P551" s="26">
        <f ca="1">IFERROR(__xludf.DUMMYFUNCTION("ROUND(GOOGLEFINANCE(""Currency:EURKZT"")*M551)"),238785)</f>
        <v>238785</v>
      </c>
      <c r="Q551" s="26">
        <f ca="1">IFERROR(__xludf.DUMMYFUNCTION("ROUND(GOOGLEFINANCE(""Currency:EURKZT"")*N551)"),238785)</f>
        <v>238785</v>
      </c>
      <c r="R551" s="26">
        <f t="shared" ca="1" si="529"/>
        <v>384654</v>
      </c>
      <c r="S551" s="26">
        <f t="shared" ca="1" si="530"/>
        <v>4067671</v>
      </c>
      <c r="T551" s="26">
        <f ca="1">IFERROR(__xludf.DUMMYFUNCTION("ROUND(GOOGLEFINANCE(""Currency:EURKZT"")*L551+S551)"),4676706)</f>
        <v>4676706</v>
      </c>
      <c r="U551" s="26">
        <f ca="1">IFERROR(__xludf.DUMMYFUNCTION("D551*GOOGLEFINANCE(""RUBKZT"")*1000/F551"),5827925.98104376)</f>
        <v>5827925.9810437597</v>
      </c>
      <c r="V551" s="27">
        <f t="shared" ca="1" si="531"/>
        <v>0.24616043451176101</v>
      </c>
    </row>
    <row r="552" spans="1:22" ht="12.75" customHeight="1" x14ac:dyDescent="0.2">
      <c r="A552" s="6" t="s">
        <v>339</v>
      </c>
      <c r="B552" s="6" t="s">
        <v>15</v>
      </c>
      <c r="C552" s="7">
        <v>190579</v>
      </c>
      <c r="D552" s="8">
        <v>154732.79999999999</v>
      </c>
      <c r="E552" s="9" t="s">
        <v>16</v>
      </c>
      <c r="F552" s="23">
        <v>208</v>
      </c>
      <c r="G552" s="25"/>
      <c r="H552" s="14">
        <f t="shared" si="525"/>
        <v>0.55000000000000004</v>
      </c>
      <c r="I552" s="25">
        <f ca="1">IFERROR(__xludf.DUMMYFUNCTION("ROUND(D552*GOOGLEFINANCE(""RUBKZT"")*H552)"),664104)</f>
        <v>664104</v>
      </c>
      <c r="J552" s="26">
        <f ca="1">IFERROR(__xludf.DUMMYFUNCTION("ROUND(I552*GOOGLEFINANCE(""KZTEUR""))"),1391)</f>
        <v>1391</v>
      </c>
      <c r="K552" s="26">
        <f t="shared" ca="1" si="526"/>
        <v>6688</v>
      </c>
      <c r="L552" s="26">
        <f t="shared" ca="1" si="527"/>
        <v>1270.72</v>
      </c>
      <c r="M552" s="26">
        <f t="shared" ref="M552:N552" si="568">M$3</f>
        <v>500</v>
      </c>
      <c r="N552" s="26">
        <f t="shared" si="568"/>
        <v>500</v>
      </c>
      <c r="O552" s="26">
        <f ca="1">IFERROR(__xludf.DUMMYFUNCTION("ROUND(GOOGLEFINANCE(""Currency:EURKZT"")*K552)"),3193986)</f>
        <v>3193986</v>
      </c>
      <c r="P552" s="26">
        <f ca="1">IFERROR(__xludf.DUMMYFUNCTION("ROUND(GOOGLEFINANCE(""Currency:EURKZT"")*M552)"),238785)</f>
        <v>238785</v>
      </c>
      <c r="Q552" s="26">
        <f ca="1">IFERROR(__xludf.DUMMYFUNCTION("ROUND(GOOGLEFINANCE(""Currency:EURKZT"")*N552)"),238785)</f>
        <v>238785</v>
      </c>
      <c r="R552" s="26">
        <f t="shared" ca="1" si="529"/>
        <v>383278</v>
      </c>
      <c r="S552" s="26">
        <f t="shared" ca="1" si="530"/>
        <v>4054834</v>
      </c>
      <c r="T552" s="26">
        <f ca="1">IFERROR(__xludf.DUMMYFUNCTION("ROUND(GOOGLEFINANCE(""Currency:EURKZT"")*L552+S552)"),4661691)</f>
        <v>4661691</v>
      </c>
      <c r="U552" s="26">
        <f ca="1">IFERROR(__xludf.DUMMYFUNCTION("D552*GOOGLEFINANCE(""RUBKZT"")*1000/F552"),5805100.67670166)</f>
        <v>5805100.6767016603</v>
      </c>
      <c r="V552" s="27">
        <f t="shared" ca="1" si="531"/>
        <v>0.24527787807078166</v>
      </c>
    </row>
    <row r="553" spans="1:22" ht="12.75" customHeight="1" x14ac:dyDescent="0.2">
      <c r="A553" s="6" t="s">
        <v>340</v>
      </c>
      <c r="B553" s="6" t="s">
        <v>15</v>
      </c>
      <c r="C553" s="7">
        <v>190582</v>
      </c>
      <c r="D553" s="8">
        <v>157200</v>
      </c>
      <c r="E553" s="9" t="s">
        <v>16</v>
      </c>
      <c r="F553" s="23">
        <v>208</v>
      </c>
      <c r="G553" s="25"/>
      <c r="H553" s="14">
        <f t="shared" si="525"/>
        <v>0.55000000000000004</v>
      </c>
      <c r="I553" s="25">
        <f ca="1">IFERROR(__xludf.DUMMYFUNCTION("ROUND(D553*GOOGLEFINANCE(""RUBKZT"")*H553)"),674693)</f>
        <v>674693</v>
      </c>
      <c r="J553" s="26">
        <f ca="1">IFERROR(__xludf.DUMMYFUNCTION("ROUND(I553*GOOGLEFINANCE(""KZTEUR""))"),1413)</f>
        <v>1413</v>
      </c>
      <c r="K553" s="26">
        <f t="shared" ca="1" si="526"/>
        <v>6793</v>
      </c>
      <c r="L553" s="26">
        <f t="shared" ca="1" si="527"/>
        <v>1290.67</v>
      </c>
      <c r="M553" s="26">
        <f t="shared" ref="M553:N553" si="569">M$3</f>
        <v>500</v>
      </c>
      <c r="N553" s="26">
        <f t="shared" si="569"/>
        <v>500</v>
      </c>
      <c r="O553" s="26">
        <f ca="1">IFERROR(__xludf.DUMMYFUNCTION("ROUND(GOOGLEFINANCE(""Currency:EURKZT"")*K553)"),3244130)</f>
        <v>3244130</v>
      </c>
      <c r="P553" s="26">
        <f ca="1">IFERROR(__xludf.DUMMYFUNCTION("ROUND(GOOGLEFINANCE(""Currency:EURKZT"")*M553)"),238785)</f>
        <v>238785</v>
      </c>
      <c r="Q553" s="26">
        <f ca="1">IFERROR(__xludf.DUMMYFUNCTION("ROUND(GOOGLEFINANCE(""Currency:EURKZT"")*N553)"),238785)</f>
        <v>238785</v>
      </c>
      <c r="R553" s="26">
        <f t="shared" ca="1" si="529"/>
        <v>389296</v>
      </c>
      <c r="S553" s="26">
        <f t="shared" ca="1" si="530"/>
        <v>4110996</v>
      </c>
      <c r="T553" s="26">
        <f ca="1">IFERROR(__xludf.DUMMYFUNCTION("ROUND(GOOGLEFINANCE(""Currency:EURKZT"")*L553+S553)"),4727381)</f>
        <v>4727381</v>
      </c>
      <c r="U553" s="26">
        <f ca="1">IFERROR(__xludf.DUMMYFUNCTION("D553*GOOGLEFINANCE(""RUBKZT"")*1000/F553"),5897662.46314615)</f>
        <v>5897662.4631461501</v>
      </c>
      <c r="V553" s="27">
        <f t="shared" ca="1" si="531"/>
        <v>0.24755387034515519</v>
      </c>
    </row>
    <row r="554" spans="1:22" ht="12.75" customHeight="1" x14ac:dyDescent="0.2">
      <c r="A554" s="6" t="s">
        <v>341</v>
      </c>
      <c r="B554" s="6" t="s">
        <v>15</v>
      </c>
      <c r="C554" s="7">
        <v>190585</v>
      </c>
      <c r="D554" s="8">
        <v>159618</v>
      </c>
      <c r="E554" s="9" t="s">
        <v>16</v>
      </c>
      <c r="F554" s="23">
        <v>208</v>
      </c>
      <c r="G554" s="25"/>
      <c r="H554" s="14">
        <f t="shared" si="525"/>
        <v>0.55000000000000004</v>
      </c>
      <c r="I554" s="25">
        <f ca="1">IFERROR(__xludf.DUMMYFUNCTION("ROUND(D554*GOOGLEFINANCE(""RUBKZT"")*H554)"),685070)</f>
        <v>685070</v>
      </c>
      <c r="J554" s="26">
        <f ca="1">IFERROR(__xludf.DUMMYFUNCTION("ROUND(I554*GOOGLEFINANCE(""KZTEUR""))"),1435)</f>
        <v>1435</v>
      </c>
      <c r="K554" s="26">
        <f t="shared" ca="1" si="526"/>
        <v>6899</v>
      </c>
      <c r="L554" s="26">
        <f t="shared" ca="1" si="527"/>
        <v>1310.81</v>
      </c>
      <c r="M554" s="26">
        <f t="shared" ref="M554:N554" si="570">M$3</f>
        <v>500</v>
      </c>
      <c r="N554" s="26">
        <f t="shared" si="570"/>
        <v>500</v>
      </c>
      <c r="O554" s="26">
        <f ca="1">IFERROR(__xludf.DUMMYFUNCTION("ROUND(GOOGLEFINANCE(""Currency:EURKZT"")*K554)"),3294753)</f>
        <v>3294753</v>
      </c>
      <c r="P554" s="26">
        <f ca="1">IFERROR(__xludf.DUMMYFUNCTION("ROUND(GOOGLEFINANCE(""Currency:EURKZT"")*M554)"),238785)</f>
        <v>238785</v>
      </c>
      <c r="Q554" s="26">
        <f ca="1">IFERROR(__xludf.DUMMYFUNCTION("ROUND(GOOGLEFINANCE(""Currency:EURKZT"")*N554)"),238785)</f>
        <v>238785</v>
      </c>
      <c r="R554" s="26">
        <f t="shared" ca="1" si="529"/>
        <v>395370</v>
      </c>
      <c r="S554" s="26">
        <f t="shared" ca="1" si="530"/>
        <v>4167693</v>
      </c>
      <c r="T554" s="26">
        <f ca="1">IFERROR(__xludf.DUMMYFUNCTION("ROUND(GOOGLEFINANCE(""Currency:EURKZT"")*L554+S554)"),4793696)</f>
        <v>4793696</v>
      </c>
      <c r="U554" s="26">
        <f ca="1">IFERROR(__xludf.DUMMYFUNCTION("D554*GOOGLEFINANCE(""RUBKZT"")*1000/F554"),5988378.41630065)</f>
        <v>5988378.4163006498</v>
      </c>
      <c r="V554" s="27">
        <f t="shared" ca="1" si="531"/>
        <v>0.24921947831081689</v>
      </c>
    </row>
    <row r="555" spans="1:22" ht="12.75" customHeight="1" x14ac:dyDescent="0.2">
      <c r="A555" s="6" t="s">
        <v>344</v>
      </c>
      <c r="B555" s="6" t="s">
        <v>15</v>
      </c>
      <c r="C555" s="7">
        <v>190593</v>
      </c>
      <c r="D555" s="8">
        <v>264770.39999999997</v>
      </c>
      <c r="E555" s="9" t="s">
        <v>16</v>
      </c>
      <c r="F555" s="23">
        <v>208</v>
      </c>
      <c r="G555" s="25"/>
      <c r="H555" s="14">
        <f t="shared" si="525"/>
        <v>0.55000000000000004</v>
      </c>
      <c r="I555" s="25">
        <f ca="1">IFERROR(__xludf.DUMMYFUNCTION("ROUND(D555*GOOGLEFINANCE(""RUBKZT"")*H555)"),1136378)</f>
        <v>1136378</v>
      </c>
      <c r="J555" s="26">
        <f ca="1">IFERROR(__xludf.DUMMYFUNCTION("ROUND(I555*GOOGLEFINANCE(""KZTEUR""))"),2380)</f>
        <v>2380</v>
      </c>
      <c r="K555" s="26">
        <f t="shared" ca="1" si="526"/>
        <v>11442</v>
      </c>
      <c r="L555" s="26">
        <f t="shared" ca="1" si="527"/>
        <v>2173.98</v>
      </c>
      <c r="M555" s="26">
        <f t="shared" ref="M555:N555" si="571">M$3</f>
        <v>500</v>
      </c>
      <c r="N555" s="26">
        <f t="shared" si="571"/>
        <v>500</v>
      </c>
      <c r="O555" s="26">
        <f ca="1">IFERROR(__xludf.DUMMYFUNCTION("ROUND(GOOGLEFINANCE(""Currency:EURKZT"")*K555)"),5464352)</f>
        <v>5464352</v>
      </c>
      <c r="P555" s="26">
        <f ca="1">IFERROR(__xludf.DUMMYFUNCTION("ROUND(GOOGLEFINANCE(""Currency:EURKZT"")*M555)"),238785)</f>
        <v>238785</v>
      </c>
      <c r="Q555" s="26">
        <f ca="1">IFERROR(__xludf.DUMMYFUNCTION("ROUND(GOOGLEFINANCE(""Currency:EURKZT"")*N555)"),238785)</f>
        <v>238785</v>
      </c>
      <c r="R555" s="26">
        <f t="shared" ca="1" si="529"/>
        <v>655722</v>
      </c>
      <c r="S555" s="26">
        <f t="shared" ca="1" si="530"/>
        <v>6597644</v>
      </c>
      <c r="T555" s="26">
        <f ca="1">IFERROR(__xludf.DUMMYFUNCTION("ROUND(GOOGLEFINANCE(""Currency:EURKZT"")*L555+S555)"),7635871)</f>
        <v>7635871</v>
      </c>
      <c r="U555" s="26">
        <f ca="1">IFERROR(__xludf.DUMMYFUNCTION("D555*GOOGLEFINANCE(""RUBKZT"")*1000/F555"),9933374.36025567)</f>
        <v>9933374.3602556698</v>
      </c>
      <c r="V555" s="27">
        <f t="shared" ca="1" si="531"/>
        <v>0.30088294580351999</v>
      </c>
    </row>
    <row r="556" spans="1:22" ht="12.75" customHeight="1" x14ac:dyDescent="0.2">
      <c r="A556" s="6" t="s">
        <v>345</v>
      </c>
      <c r="B556" s="6" t="s">
        <v>15</v>
      </c>
      <c r="C556" s="7">
        <v>190595</v>
      </c>
      <c r="D556" s="8">
        <v>290887.2</v>
      </c>
      <c r="E556" s="9" t="s">
        <v>16</v>
      </c>
      <c r="F556" s="23">
        <v>208</v>
      </c>
      <c r="G556" s="25"/>
      <c r="H556" s="14">
        <f t="shared" si="525"/>
        <v>0.55000000000000004</v>
      </c>
      <c r="I556" s="25">
        <f ca="1">IFERROR(__xludf.DUMMYFUNCTION("ROUND(D556*GOOGLEFINANCE(""RUBKZT"")*H556)"),1248470)</f>
        <v>1248470</v>
      </c>
      <c r="J556" s="26">
        <f ca="1">IFERROR(__xludf.DUMMYFUNCTION("ROUND(I556*GOOGLEFINANCE(""KZTEUR""))"),2615)</f>
        <v>2615</v>
      </c>
      <c r="K556" s="26">
        <f t="shared" ca="1" si="526"/>
        <v>12572</v>
      </c>
      <c r="L556" s="26">
        <f t="shared" ca="1" si="527"/>
        <v>2388.6799999999998</v>
      </c>
      <c r="M556" s="26">
        <f t="shared" ref="M556:N556" si="572">M$3</f>
        <v>500</v>
      </c>
      <c r="N556" s="26">
        <f t="shared" si="572"/>
        <v>500</v>
      </c>
      <c r="O556" s="26">
        <f ca="1">IFERROR(__xludf.DUMMYFUNCTION("ROUND(GOOGLEFINANCE(""Currency:EURKZT"")*K556)"),6004005)</f>
        <v>6004005</v>
      </c>
      <c r="P556" s="26">
        <f ca="1">IFERROR(__xludf.DUMMYFUNCTION("ROUND(GOOGLEFINANCE(""Currency:EURKZT"")*M556)"),238785)</f>
        <v>238785</v>
      </c>
      <c r="Q556" s="26">
        <f ca="1">IFERROR(__xludf.DUMMYFUNCTION("ROUND(GOOGLEFINANCE(""Currency:EURKZT"")*N556)"),238785)</f>
        <v>238785</v>
      </c>
      <c r="R556" s="26">
        <f t="shared" ca="1" si="529"/>
        <v>720481</v>
      </c>
      <c r="S556" s="26">
        <f t="shared" ca="1" si="530"/>
        <v>7202056</v>
      </c>
      <c r="T556" s="26">
        <f ca="1">IFERROR(__xludf.DUMMYFUNCTION("ROUND(GOOGLEFINANCE(""Currency:EURKZT"")*L556+S556)"),8342817)</f>
        <v>8342817</v>
      </c>
      <c r="U556" s="26">
        <f ca="1">IFERROR(__xludf.DUMMYFUNCTION("D556*GOOGLEFINANCE(""RUBKZT"")*1000/F556"),10913196.6949725)</f>
        <v>10913196.6949725</v>
      </c>
      <c r="V556" s="27">
        <f t="shared" ca="1" si="531"/>
        <v>0.30809493903228374</v>
      </c>
    </row>
    <row r="557" spans="1:22" ht="12.75" customHeight="1" x14ac:dyDescent="0.2">
      <c r="A557" s="6" t="s">
        <v>346</v>
      </c>
      <c r="B557" s="6" t="s">
        <v>15</v>
      </c>
      <c r="C557" s="7">
        <v>190640</v>
      </c>
      <c r="D557" s="8">
        <v>336848.39999999997</v>
      </c>
      <c r="E557" s="9" t="s">
        <v>16</v>
      </c>
      <c r="F557" s="23">
        <v>208</v>
      </c>
      <c r="G557" s="25"/>
      <c r="H557" s="14">
        <f t="shared" si="525"/>
        <v>0.55000000000000004</v>
      </c>
      <c r="I557" s="25">
        <f ca="1">IFERROR(__xludf.DUMMYFUNCTION("ROUND(D557*GOOGLEFINANCE(""RUBKZT"")*H557)"),1445732)</f>
        <v>1445732</v>
      </c>
      <c r="J557" s="26">
        <f ca="1">IFERROR(__xludf.DUMMYFUNCTION("ROUND(I557*GOOGLEFINANCE(""KZTEUR""))"),3028)</f>
        <v>3028</v>
      </c>
      <c r="K557" s="26">
        <f t="shared" ca="1" si="526"/>
        <v>14558</v>
      </c>
      <c r="L557" s="26">
        <f t="shared" ca="1" si="527"/>
        <v>2766.02</v>
      </c>
      <c r="M557" s="26">
        <f t="shared" ref="M557:N557" si="573">M$3</f>
        <v>500</v>
      </c>
      <c r="N557" s="26">
        <f t="shared" si="573"/>
        <v>500</v>
      </c>
      <c r="O557" s="26">
        <f ca="1">IFERROR(__xludf.DUMMYFUNCTION("ROUND(GOOGLEFINANCE(""Currency:EURKZT"")*K557)"),6952458)</f>
        <v>6952458</v>
      </c>
      <c r="P557" s="26">
        <f ca="1">IFERROR(__xludf.DUMMYFUNCTION("ROUND(GOOGLEFINANCE(""Currency:EURKZT"")*M557)"),238785)</f>
        <v>238785</v>
      </c>
      <c r="Q557" s="26">
        <f ca="1">IFERROR(__xludf.DUMMYFUNCTION("ROUND(GOOGLEFINANCE(""Currency:EURKZT"")*N557)"),238785)</f>
        <v>238785</v>
      </c>
      <c r="R557" s="26">
        <f t="shared" ca="1" si="529"/>
        <v>834295</v>
      </c>
      <c r="S557" s="26">
        <f t="shared" ca="1" si="530"/>
        <v>8264323</v>
      </c>
      <c r="T557" s="26">
        <f ca="1">IFERROR(__xludf.DUMMYFUNCTION("ROUND(GOOGLEFINANCE(""Currency:EURKZT"")*L557+S557)"),9585290)</f>
        <v>9585290</v>
      </c>
      <c r="U557" s="26">
        <f ca="1">IFERROR(__xludf.DUMMYFUNCTION("D557*GOOGLEFINANCE(""RUBKZT"")*1000/F557"),12637520.1300944)</f>
        <v>12637520.1300944</v>
      </c>
      <c r="V557" s="27">
        <f t="shared" ca="1" si="531"/>
        <v>0.31842856398652514</v>
      </c>
    </row>
    <row r="558" spans="1:22" ht="12.75" customHeight="1" x14ac:dyDescent="0.2">
      <c r="A558" s="6" t="s">
        <v>348</v>
      </c>
      <c r="B558" s="6" t="s">
        <v>15</v>
      </c>
      <c r="C558" s="7">
        <v>190655</v>
      </c>
      <c r="D558" s="8">
        <v>152812.79999999999</v>
      </c>
      <c r="E558" s="9" t="s">
        <v>16</v>
      </c>
      <c r="F558" s="23">
        <v>208</v>
      </c>
      <c r="G558" s="25"/>
      <c r="H558" s="14">
        <f t="shared" si="525"/>
        <v>0.55000000000000004</v>
      </c>
      <c r="I558" s="25">
        <f ca="1">IFERROR(__xludf.DUMMYFUNCTION("ROUND(D558*GOOGLEFINANCE(""RUBKZT"")*H558)"),655863)</f>
        <v>655863</v>
      </c>
      <c r="J558" s="26">
        <f ca="1">IFERROR(__xludf.DUMMYFUNCTION("ROUND(I558*GOOGLEFINANCE(""KZTEUR""))"),1374)</f>
        <v>1374</v>
      </c>
      <c r="K558" s="26">
        <f t="shared" ca="1" si="526"/>
        <v>6606</v>
      </c>
      <c r="L558" s="26">
        <f t="shared" ca="1" si="527"/>
        <v>1255.1400000000001</v>
      </c>
      <c r="M558" s="26">
        <f t="shared" ref="M558:N558" si="574">M$3</f>
        <v>500</v>
      </c>
      <c r="N558" s="26">
        <f t="shared" si="574"/>
        <v>500</v>
      </c>
      <c r="O558" s="26">
        <f ca="1">IFERROR(__xludf.DUMMYFUNCTION("ROUND(GOOGLEFINANCE(""Currency:EURKZT"")*K558)"),3154825)</f>
        <v>3154825</v>
      </c>
      <c r="P558" s="26">
        <f ca="1">IFERROR(__xludf.DUMMYFUNCTION("ROUND(GOOGLEFINANCE(""Currency:EURKZT"")*M558)"),238785)</f>
        <v>238785</v>
      </c>
      <c r="Q558" s="26">
        <f ca="1">IFERROR(__xludf.DUMMYFUNCTION("ROUND(GOOGLEFINANCE(""Currency:EURKZT"")*N558)"),238785)</f>
        <v>238785</v>
      </c>
      <c r="R558" s="26">
        <f t="shared" ca="1" si="529"/>
        <v>378579</v>
      </c>
      <c r="S558" s="26">
        <f t="shared" ca="1" si="530"/>
        <v>4010974</v>
      </c>
      <c r="T558" s="26">
        <f ca="1">IFERROR(__xludf.DUMMYFUNCTION("ROUND(GOOGLEFINANCE(""Currency:EURKZT"")*L558+S558)"),4610391)</f>
        <v>4610391</v>
      </c>
      <c r="U558" s="26">
        <f ca="1">IFERROR(__xludf.DUMMYFUNCTION("D558*GOOGLEFINANCE(""RUBKZT"")*1000/F558"),5733068.15806781)</f>
        <v>5733068.1580678103</v>
      </c>
      <c r="V558" s="27">
        <f t="shared" ca="1" si="531"/>
        <v>0.24351018342431485</v>
      </c>
    </row>
    <row r="559" spans="1:22" ht="12.75" customHeight="1" x14ac:dyDescent="0.2">
      <c r="A559" s="6" t="s">
        <v>349</v>
      </c>
      <c r="B559" s="6" t="s">
        <v>15</v>
      </c>
      <c r="C559" s="7">
        <v>193718</v>
      </c>
      <c r="D559" s="8">
        <v>100575.59999999999</v>
      </c>
      <c r="E559" s="9" t="s">
        <v>16</v>
      </c>
      <c r="F559" s="23">
        <v>208</v>
      </c>
      <c r="G559" s="25"/>
      <c r="H559" s="14">
        <f t="shared" si="525"/>
        <v>0.55000000000000004</v>
      </c>
      <c r="I559" s="25">
        <f ca="1">IFERROR(__xludf.DUMMYFUNCTION("ROUND(D559*GOOGLEFINANCE(""RUBKZT"")*H559)"),431664)</f>
        <v>431664</v>
      </c>
      <c r="J559" s="26">
        <f ca="1">IFERROR(__xludf.DUMMYFUNCTION("ROUND(I559*GOOGLEFINANCE(""KZTEUR""))"),904)</f>
        <v>904</v>
      </c>
      <c r="K559" s="26">
        <f t="shared" ca="1" si="526"/>
        <v>4346</v>
      </c>
      <c r="L559" s="26">
        <f t="shared" ca="1" si="527"/>
        <v>825.74</v>
      </c>
      <c r="M559" s="26">
        <f t="shared" ref="M559:N559" si="575">M$3</f>
        <v>500</v>
      </c>
      <c r="N559" s="26">
        <f t="shared" si="575"/>
        <v>500</v>
      </c>
      <c r="O559" s="26">
        <f ca="1">IFERROR(__xludf.DUMMYFUNCTION("ROUND(GOOGLEFINANCE(""Currency:EURKZT"")*K559)"),2075518)</f>
        <v>2075518</v>
      </c>
      <c r="P559" s="26">
        <f ca="1">IFERROR(__xludf.DUMMYFUNCTION("ROUND(GOOGLEFINANCE(""Currency:EURKZT"")*M559)"),238785)</f>
        <v>238785</v>
      </c>
      <c r="Q559" s="26">
        <f ca="1">IFERROR(__xludf.DUMMYFUNCTION("ROUND(GOOGLEFINANCE(""Currency:EURKZT"")*N559)"),238785)</f>
        <v>238785</v>
      </c>
      <c r="R559" s="26">
        <f t="shared" ca="1" si="529"/>
        <v>249062</v>
      </c>
      <c r="S559" s="26">
        <f t="shared" ca="1" si="530"/>
        <v>2802150</v>
      </c>
      <c r="T559" s="26">
        <f ca="1">IFERROR(__xludf.DUMMYFUNCTION("ROUND(GOOGLEFINANCE(""Currency:EURKZT"")*L559+S559)"),3196498)</f>
        <v>3196498</v>
      </c>
      <c r="U559" s="26">
        <f ca="1">IFERROR(__xludf.DUMMYFUNCTION("D559*GOOGLEFINANCE(""RUBKZT"")*1000/F559"),3773288.42766159)</f>
        <v>3773288.4276615898</v>
      </c>
      <c r="V559" s="27">
        <f t="shared" ca="1" si="531"/>
        <v>0.18044448257486467</v>
      </c>
    </row>
    <row r="560" spans="1:22" ht="12.75" customHeight="1" x14ac:dyDescent="0.2">
      <c r="A560" s="6" t="s">
        <v>351</v>
      </c>
      <c r="B560" s="6" t="s">
        <v>15</v>
      </c>
      <c r="C560" s="7">
        <v>194216</v>
      </c>
      <c r="D560" s="8">
        <v>197690.4</v>
      </c>
      <c r="E560" s="9" t="s">
        <v>16</v>
      </c>
      <c r="F560" s="23">
        <v>208</v>
      </c>
      <c r="G560" s="25"/>
      <c r="H560" s="14">
        <f t="shared" si="525"/>
        <v>0.55000000000000004</v>
      </c>
      <c r="I560" s="25">
        <f ca="1">IFERROR(__xludf.DUMMYFUNCTION("ROUND(D560*GOOGLEFINANCE(""RUBKZT"")*H560)"),848475)</f>
        <v>848475</v>
      </c>
      <c r="J560" s="26">
        <f ca="1">IFERROR(__xludf.DUMMYFUNCTION("ROUND(I560*GOOGLEFINANCE(""KZTEUR""))"),1777)</f>
        <v>1777</v>
      </c>
      <c r="K560" s="26">
        <f t="shared" ca="1" si="526"/>
        <v>8543</v>
      </c>
      <c r="L560" s="26">
        <f t="shared" ca="1" si="527"/>
        <v>1623.17</v>
      </c>
      <c r="M560" s="26">
        <f t="shared" ref="M560:N560" si="576">M$3</f>
        <v>500</v>
      </c>
      <c r="N560" s="26">
        <f t="shared" si="576"/>
        <v>500</v>
      </c>
      <c r="O560" s="26">
        <f ca="1">IFERROR(__xludf.DUMMYFUNCTION("ROUND(GOOGLEFINANCE(""Currency:EURKZT"")*K560)"),4079877)</f>
        <v>4079877</v>
      </c>
      <c r="P560" s="26">
        <f ca="1">IFERROR(__xludf.DUMMYFUNCTION("ROUND(GOOGLEFINANCE(""Currency:EURKZT"")*M560)"),238785)</f>
        <v>238785</v>
      </c>
      <c r="Q560" s="26">
        <f ca="1">IFERROR(__xludf.DUMMYFUNCTION("ROUND(GOOGLEFINANCE(""Currency:EURKZT"")*N560)"),238785)</f>
        <v>238785</v>
      </c>
      <c r="R560" s="26">
        <f t="shared" ca="1" si="529"/>
        <v>489585</v>
      </c>
      <c r="S560" s="26">
        <f t="shared" ca="1" si="530"/>
        <v>5047032</v>
      </c>
      <c r="T560" s="26">
        <f ca="1">IFERROR(__xludf.DUMMYFUNCTION("ROUND(GOOGLEFINANCE(""Currency:EURKZT"")*L560+S560)"),5822209)</f>
        <v>5822209</v>
      </c>
      <c r="U560" s="26">
        <f ca="1">IFERROR(__xludf.DUMMYFUNCTION("D560*GOOGLEFINANCE(""RUBKZT"")*1000/F560"),7416738.24048567)</f>
        <v>7416738.24048567</v>
      </c>
      <c r="V560" s="27">
        <f t="shared" ca="1" si="531"/>
        <v>0.27387014799463055</v>
      </c>
    </row>
    <row r="561" spans="1:22" ht="12.75" customHeight="1" x14ac:dyDescent="0.2">
      <c r="A561" s="6" t="s">
        <v>354</v>
      </c>
      <c r="B561" s="6" t="s">
        <v>15</v>
      </c>
      <c r="C561" s="7">
        <v>194773</v>
      </c>
      <c r="D561" s="8">
        <v>79570.8</v>
      </c>
      <c r="E561" s="9" t="s">
        <v>7</v>
      </c>
      <c r="F561" s="23">
        <v>208</v>
      </c>
      <c r="G561" s="25"/>
      <c r="H561" s="14">
        <f t="shared" si="525"/>
        <v>0.55000000000000004</v>
      </c>
      <c r="I561" s="25">
        <f ca="1">IFERROR(__xludf.DUMMYFUNCTION("ROUND(D561*GOOGLEFINANCE(""RUBKZT"")*H561)"),341513)</f>
        <v>341513</v>
      </c>
      <c r="J561" s="26">
        <f ca="1">IFERROR(__xludf.DUMMYFUNCTION("ROUND(I561*GOOGLEFINANCE(""KZTEUR""))"),715)</f>
        <v>715</v>
      </c>
      <c r="K561" s="26">
        <f t="shared" ca="1" si="526"/>
        <v>3438</v>
      </c>
      <c r="L561" s="26">
        <f t="shared" ca="1" si="527"/>
        <v>653.22</v>
      </c>
      <c r="M561" s="26">
        <f t="shared" ref="M561:N561" si="577">M$3</f>
        <v>500</v>
      </c>
      <c r="N561" s="26">
        <f t="shared" si="577"/>
        <v>500</v>
      </c>
      <c r="O561" s="26">
        <f ca="1">IFERROR(__xludf.DUMMYFUNCTION("ROUND(GOOGLEFINANCE(""Currency:EURKZT"")*K561)"),1641884)</f>
        <v>1641884</v>
      </c>
      <c r="P561" s="26">
        <f ca="1">IFERROR(__xludf.DUMMYFUNCTION("ROUND(GOOGLEFINANCE(""Currency:EURKZT"")*M561)"),238785)</f>
        <v>238785</v>
      </c>
      <c r="Q561" s="26">
        <f ca="1">IFERROR(__xludf.DUMMYFUNCTION("ROUND(GOOGLEFINANCE(""Currency:EURKZT"")*N561)"),238785)</f>
        <v>238785</v>
      </c>
      <c r="R561" s="26">
        <f t="shared" ca="1" si="529"/>
        <v>197026</v>
      </c>
      <c r="S561" s="26">
        <f t="shared" ca="1" si="530"/>
        <v>2316480</v>
      </c>
      <c r="T561" s="26">
        <f ca="1">IFERROR(__xludf.DUMMYFUNCTION("ROUND(GOOGLEFINANCE(""Currency:EURKZT"")*L561+S561)"),2628438)</f>
        <v>2628438</v>
      </c>
      <c r="U561" s="26">
        <f ca="1">IFERROR(__xludf.DUMMYFUNCTION("D561*GOOGLEFINANCE(""RUBKZT"")*1000/F561"),2985252.67380731)</f>
        <v>2985252.6738073099</v>
      </c>
      <c r="V561" s="27">
        <f t="shared" ca="1" si="531"/>
        <v>0.13575160373092687</v>
      </c>
    </row>
    <row r="562" spans="1:22" ht="12.75" customHeight="1" x14ac:dyDescent="0.2">
      <c r="A562" s="6" t="s">
        <v>356</v>
      </c>
      <c r="B562" s="6" t="s">
        <v>15</v>
      </c>
      <c r="C562" s="7">
        <v>194782</v>
      </c>
      <c r="D562" s="8">
        <v>118328.4</v>
      </c>
      <c r="E562" s="9" t="s">
        <v>7</v>
      </c>
      <c r="F562" s="23">
        <v>208</v>
      </c>
      <c r="G562" s="25"/>
      <c r="H562" s="14">
        <f t="shared" si="525"/>
        <v>0.55000000000000004</v>
      </c>
      <c r="I562" s="25">
        <f ca="1">IFERROR(__xludf.DUMMYFUNCTION("ROUND(D562*GOOGLEFINANCE(""RUBKZT"")*H562)"),507858)</f>
        <v>507858</v>
      </c>
      <c r="J562" s="26">
        <f ca="1">IFERROR(__xludf.DUMMYFUNCTION("ROUND(I562*GOOGLEFINANCE(""KZTEUR""))"),1064)</f>
        <v>1064</v>
      </c>
      <c r="K562" s="26">
        <f t="shared" ca="1" si="526"/>
        <v>5115</v>
      </c>
      <c r="L562" s="26">
        <f t="shared" ca="1" si="527"/>
        <v>971.85</v>
      </c>
      <c r="M562" s="26">
        <f t="shared" ref="M562:N562" si="578">M$3</f>
        <v>500</v>
      </c>
      <c r="N562" s="26">
        <f t="shared" si="578"/>
        <v>500</v>
      </c>
      <c r="O562" s="26">
        <f ca="1">IFERROR(__xludf.DUMMYFUNCTION("ROUND(GOOGLEFINANCE(""Currency:EURKZT"")*K562)"),2442769)</f>
        <v>2442769</v>
      </c>
      <c r="P562" s="26">
        <f ca="1">IFERROR(__xludf.DUMMYFUNCTION("ROUND(GOOGLEFINANCE(""Currency:EURKZT"")*M562)"),238785)</f>
        <v>238785</v>
      </c>
      <c r="Q562" s="26">
        <f ca="1">IFERROR(__xludf.DUMMYFUNCTION("ROUND(GOOGLEFINANCE(""Currency:EURKZT"")*N562)"),238785)</f>
        <v>238785</v>
      </c>
      <c r="R562" s="26">
        <f t="shared" ca="1" si="529"/>
        <v>293132</v>
      </c>
      <c r="S562" s="26">
        <f t="shared" ca="1" si="530"/>
        <v>3213471</v>
      </c>
      <c r="T562" s="26">
        <f ca="1">IFERROR(__xludf.DUMMYFUNCTION("ROUND(GOOGLEFINANCE(""Currency:EURKZT"")*L562+S562)"),3677597)</f>
        <v>3677597</v>
      </c>
      <c r="U562" s="26">
        <f ca="1">IFERROR(__xludf.DUMMYFUNCTION("D562*GOOGLEFINANCE(""RUBKZT"")*1000/F562"),4439319.10307979)</f>
        <v>4439319.1030797902</v>
      </c>
      <c r="V562" s="27">
        <f t="shared" ca="1" si="531"/>
        <v>0.20712495226632779</v>
      </c>
    </row>
    <row r="563" spans="1:22" ht="12.75" customHeight="1" x14ac:dyDescent="0.2">
      <c r="A563" s="6" t="s">
        <v>359</v>
      </c>
      <c r="B563" s="6" t="s">
        <v>15</v>
      </c>
      <c r="C563" s="7">
        <v>194792</v>
      </c>
      <c r="D563" s="8">
        <v>113257.2</v>
      </c>
      <c r="E563" s="9" t="s">
        <v>7</v>
      </c>
      <c r="F563" s="23">
        <v>208</v>
      </c>
      <c r="G563" s="25"/>
      <c r="H563" s="14">
        <f t="shared" si="525"/>
        <v>0.55000000000000004</v>
      </c>
      <c r="I563" s="25">
        <f ca="1">IFERROR(__xludf.DUMMYFUNCTION("ROUND(D563*GOOGLEFINANCE(""RUBKZT"")*H563)"),486093)</f>
        <v>486093</v>
      </c>
      <c r="J563" s="26">
        <f ca="1">IFERROR(__xludf.DUMMYFUNCTION("ROUND(I563*GOOGLEFINANCE(""KZTEUR""))"),1018)</f>
        <v>1018</v>
      </c>
      <c r="K563" s="26">
        <f t="shared" ca="1" si="526"/>
        <v>4894</v>
      </c>
      <c r="L563" s="26">
        <f t="shared" ca="1" si="527"/>
        <v>929.86</v>
      </c>
      <c r="M563" s="26">
        <f t="shared" ref="M563:N563" si="579">M$3</f>
        <v>500</v>
      </c>
      <c r="N563" s="26">
        <f t="shared" si="579"/>
        <v>500</v>
      </c>
      <c r="O563" s="26">
        <f ca="1">IFERROR(__xludf.DUMMYFUNCTION("ROUND(GOOGLEFINANCE(""Currency:EURKZT"")*K563)"),2337226)</f>
        <v>2337226</v>
      </c>
      <c r="P563" s="26">
        <f ca="1">IFERROR(__xludf.DUMMYFUNCTION("ROUND(GOOGLEFINANCE(""Currency:EURKZT"")*M563)"),238785)</f>
        <v>238785</v>
      </c>
      <c r="Q563" s="26">
        <f ca="1">IFERROR(__xludf.DUMMYFUNCTION("ROUND(GOOGLEFINANCE(""Currency:EURKZT"")*N563)"),238785)</f>
        <v>238785</v>
      </c>
      <c r="R563" s="26">
        <f t="shared" ca="1" si="529"/>
        <v>280467</v>
      </c>
      <c r="S563" s="26">
        <f t="shared" ca="1" si="530"/>
        <v>3095263</v>
      </c>
      <c r="T563" s="26">
        <f ca="1">IFERROR(__xludf.DUMMYFUNCTION("ROUND(GOOGLEFINANCE(""Currency:EURKZT"")*L563+S563)"),3539336)</f>
        <v>3539336</v>
      </c>
      <c r="U563" s="26">
        <f ca="1">IFERROR(__xludf.DUMMYFUNCTION("D563*GOOGLEFINANCE(""RUBKZT"")*1000/F563"),4249063.21323814)</f>
        <v>4249063.2132381396</v>
      </c>
      <c r="V563" s="27">
        <f t="shared" ca="1" si="531"/>
        <v>0.20052552604164725</v>
      </c>
    </row>
    <row r="564" spans="1:22" ht="12.75" customHeight="1" x14ac:dyDescent="0.2">
      <c r="A564" s="6" t="s">
        <v>355</v>
      </c>
      <c r="B564" s="6" t="s">
        <v>15</v>
      </c>
      <c r="C564" s="7">
        <v>194793</v>
      </c>
      <c r="D564" s="8">
        <v>111748.8</v>
      </c>
      <c r="E564" s="9" t="s">
        <v>7</v>
      </c>
      <c r="F564" s="23">
        <v>208</v>
      </c>
      <c r="G564" s="25"/>
      <c r="H564" s="14">
        <f t="shared" si="525"/>
        <v>0.55000000000000004</v>
      </c>
      <c r="I564" s="25">
        <f ca="1">IFERROR(__xludf.DUMMYFUNCTION("ROUND(D564*GOOGLEFINANCE(""RUBKZT"")*H564)"),479619)</f>
        <v>479619</v>
      </c>
      <c r="J564" s="26">
        <f ca="1">IFERROR(__xludf.DUMMYFUNCTION("ROUND(I564*GOOGLEFINANCE(""KZTEUR""))"),1004)</f>
        <v>1004</v>
      </c>
      <c r="K564" s="26">
        <f t="shared" ca="1" si="526"/>
        <v>4827</v>
      </c>
      <c r="L564" s="26">
        <f t="shared" ca="1" si="527"/>
        <v>917.13</v>
      </c>
      <c r="M564" s="26">
        <f t="shared" ref="M564:N564" si="580">M$3</f>
        <v>500</v>
      </c>
      <c r="N564" s="26">
        <f t="shared" si="580"/>
        <v>500</v>
      </c>
      <c r="O564" s="26">
        <f ca="1">IFERROR(__xludf.DUMMYFUNCTION("ROUND(GOOGLEFINANCE(""Currency:EURKZT"")*K564)"),2305229)</f>
        <v>2305229</v>
      </c>
      <c r="P564" s="26">
        <f ca="1">IFERROR(__xludf.DUMMYFUNCTION("ROUND(GOOGLEFINANCE(""Currency:EURKZT"")*M564)"),238785)</f>
        <v>238785</v>
      </c>
      <c r="Q564" s="26">
        <f ca="1">IFERROR(__xludf.DUMMYFUNCTION("ROUND(GOOGLEFINANCE(""Currency:EURKZT"")*N564)"),238785)</f>
        <v>238785</v>
      </c>
      <c r="R564" s="26">
        <f t="shared" ca="1" si="529"/>
        <v>276627</v>
      </c>
      <c r="S564" s="26">
        <f t="shared" ca="1" si="530"/>
        <v>3059426</v>
      </c>
      <c r="T564" s="26">
        <f ca="1">IFERROR(__xludf.DUMMYFUNCTION("ROUND(GOOGLEFINANCE(""Currency:EURKZT"")*L564+S564)"),3497419)</f>
        <v>3497419</v>
      </c>
      <c r="U564" s="26">
        <f ca="1">IFERROR(__xludf.DUMMYFUNCTION("D564*GOOGLEFINANCE(""RUBKZT"")*1000/F564"),4192472.66578643)</f>
        <v>4192472.6657864298</v>
      </c>
      <c r="V564" s="27">
        <f t="shared" ca="1" si="531"/>
        <v>0.19873331327657046</v>
      </c>
    </row>
    <row r="565" spans="1:22" ht="12.75" customHeight="1" x14ac:dyDescent="0.2">
      <c r="A565" s="6" t="s">
        <v>357</v>
      </c>
      <c r="B565" s="6" t="s">
        <v>15</v>
      </c>
      <c r="C565" s="7">
        <v>194795</v>
      </c>
      <c r="D565" s="8">
        <v>131034</v>
      </c>
      <c r="E565" s="9" t="s">
        <v>7</v>
      </c>
      <c r="F565" s="23">
        <v>208</v>
      </c>
      <c r="G565" s="25"/>
      <c r="H565" s="14">
        <f t="shared" si="525"/>
        <v>0.55000000000000004</v>
      </c>
      <c r="I565" s="25">
        <f ca="1">IFERROR(__xludf.DUMMYFUNCTION("ROUND(D565*GOOGLEFINANCE(""RUBKZT"")*H565)"),562390)</f>
        <v>562390</v>
      </c>
      <c r="J565" s="26">
        <f ca="1">IFERROR(__xludf.DUMMYFUNCTION("ROUND(I565*GOOGLEFINANCE(""KZTEUR""))"),1178)</f>
        <v>1178</v>
      </c>
      <c r="K565" s="26">
        <f t="shared" ca="1" si="526"/>
        <v>5663</v>
      </c>
      <c r="L565" s="26">
        <f t="shared" ca="1" si="527"/>
        <v>1075.97</v>
      </c>
      <c r="M565" s="26">
        <f t="shared" ref="M565:N565" si="581">M$3</f>
        <v>500</v>
      </c>
      <c r="N565" s="26">
        <f t="shared" si="581"/>
        <v>500</v>
      </c>
      <c r="O565" s="26">
        <f ca="1">IFERROR(__xludf.DUMMYFUNCTION("ROUND(GOOGLEFINANCE(""Currency:EURKZT"")*K565)"),2704477)</f>
        <v>2704477</v>
      </c>
      <c r="P565" s="26">
        <f ca="1">IFERROR(__xludf.DUMMYFUNCTION("ROUND(GOOGLEFINANCE(""Currency:EURKZT"")*M565)"),238785)</f>
        <v>238785</v>
      </c>
      <c r="Q565" s="26">
        <f ca="1">IFERROR(__xludf.DUMMYFUNCTION("ROUND(GOOGLEFINANCE(""Currency:EURKZT"")*N565)"),238785)</f>
        <v>238785</v>
      </c>
      <c r="R565" s="26">
        <f t="shared" ca="1" si="529"/>
        <v>324537</v>
      </c>
      <c r="S565" s="26">
        <f t="shared" ca="1" si="530"/>
        <v>3506584</v>
      </c>
      <c r="T565" s="26">
        <f ca="1">IFERROR(__xludf.DUMMYFUNCTION("ROUND(GOOGLEFINANCE(""Currency:EURKZT"")*L565+S565)"),4020435)</f>
        <v>4020435</v>
      </c>
      <c r="U565" s="26">
        <f ca="1">IFERROR(__xludf.DUMMYFUNCTION("D565*GOOGLEFINANCE(""RUBKZT"")*1000/F565"),4915994.29513926)</f>
        <v>4915994.2951392597</v>
      </c>
      <c r="V565" s="27">
        <f t="shared" ca="1" si="531"/>
        <v>0.22275184032057715</v>
      </c>
    </row>
    <row r="566" spans="1:22" ht="12.75" customHeight="1" x14ac:dyDescent="0.2">
      <c r="A566" s="6" t="s">
        <v>358</v>
      </c>
      <c r="B566" s="6" t="s">
        <v>15</v>
      </c>
      <c r="C566" s="7">
        <v>194796</v>
      </c>
      <c r="D566" s="8">
        <v>112801.2</v>
      </c>
      <c r="E566" s="9" t="s">
        <v>7</v>
      </c>
      <c r="F566" s="23">
        <v>208</v>
      </c>
      <c r="G566" s="25"/>
      <c r="H566" s="14">
        <f t="shared" si="525"/>
        <v>0.55000000000000004</v>
      </c>
      <c r="I566" s="25">
        <f ca="1">IFERROR(__xludf.DUMMYFUNCTION("ROUND(D566*GOOGLEFINANCE(""RUBKZT"")*H566)"),484136)</f>
        <v>484136</v>
      </c>
      <c r="J566" s="26">
        <f ca="1">IFERROR(__xludf.DUMMYFUNCTION("ROUND(I566*GOOGLEFINANCE(""KZTEUR""))"),1014)</f>
        <v>1014</v>
      </c>
      <c r="K566" s="26">
        <f t="shared" ca="1" si="526"/>
        <v>4875</v>
      </c>
      <c r="L566" s="26">
        <f t="shared" ca="1" si="527"/>
        <v>926.25</v>
      </c>
      <c r="M566" s="26">
        <f t="shared" ref="M566:N566" si="582">M$3</f>
        <v>500</v>
      </c>
      <c r="N566" s="26">
        <f t="shared" si="582"/>
        <v>500</v>
      </c>
      <c r="O566" s="26">
        <f ca="1">IFERROR(__xludf.DUMMYFUNCTION("ROUND(GOOGLEFINANCE(""Currency:EURKZT"")*K566)"),2328152)</f>
        <v>2328152</v>
      </c>
      <c r="P566" s="26">
        <f ca="1">IFERROR(__xludf.DUMMYFUNCTION("ROUND(GOOGLEFINANCE(""Currency:EURKZT"")*M566)"),238785)</f>
        <v>238785</v>
      </c>
      <c r="Q566" s="26">
        <f ca="1">IFERROR(__xludf.DUMMYFUNCTION("ROUND(GOOGLEFINANCE(""Currency:EURKZT"")*N566)"),238785)</f>
        <v>238785</v>
      </c>
      <c r="R566" s="26">
        <f t="shared" ca="1" si="529"/>
        <v>279378</v>
      </c>
      <c r="S566" s="26">
        <f t="shared" ca="1" si="530"/>
        <v>3085100</v>
      </c>
      <c r="T566" s="26">
        <f ca="1">IFERROR(__xludf.DUMMYFUNCTION("ROUND(GOOGLEFINANCE(""Currency:EURKZT"")*L566+S566)"),3527449)</f>
        <v>3527449</v>
      </c>
      <c r="U566" s="26">
        <f ca="1">IFERROR(__xludf.DUMMYFUNCTION("D566*GOOGLEFINANCE(""RUBKZT"")*1000/F566"),4231955.4900626)</f>
        <v>4231955.4900626</v>
      </c>
      <c r="V566" s="27">
        <f t="shared" ca="1" si="531"/>
        <v>0.1997212404949299</v>
      </c>
    </row>
    <row r="567" spans="1:22" ht="12.75" customHeight="1" x14ac:dyDescent="0.2">
      <c r="A567" s="6" t="s">
        <v>360</v>
      </c>
      <c r="B567" s="6" t="s">
        <v>15</v>
      </c>
      <c r="C567" s="7">
        <v>194797</v>
      </c>
      <c r="D567" s="8">
        <v>118086</v>
      </c>
      <c r="E567" s="9" t="s">
        <v>7</v>
      </c>
      <c r="F567" s="23">
        <v>208</v>
      </c>
      <c r="G567" s="25"/>
      <c r="H567" s="14">
        <f t="shared" si="525"/>
        <v>0.55000000000000004</v>
      </c>
      <c r="I567" s="25">
        <f ca="1">IFERROR(__xludf.DUMMYFUNCTION("ROUND(D567*GOOGLEFINANCE(""RUBKZT"")*H567)"),506818)</f>
        <v>506818</v>
      </c>
      <c r="J567" s="26">
        <f ca="1">IFERROR(__xludf.DUMMYFUNCTION("ROUND(I567*GOOGLEFINANCE(""KZTEUR""))"),1061)</f>
        <v>1061</v>
      </c>
      <c r="K567" s="26">
        <f t="shared" ca="1" si="526"/>
        <v>5101</v>
      </c>
      <c r="L567" s="26">
        <f t="shared" ca="1" si="527"/>
        <v>969.19</v>
      </c>
      <c r="M567" s="26">
        <f t="shared" ref="M567:N567" si="583">M$3</f>
        <v>500</v>
      </c>
      <c r="N567" s="26">
        <f t="shared" si="583"/>
        <v>500</v>
      </c>
      <c r="O567" s="26">
        <f ca="1">IFERROR(__xludf.DUMMYFUNCTION("ROUND(GOOGLEFINANCE(""Currency:EURKZT"")*K567)"),2436083)</f>
        <v>2436083</v>
      </c>
      <c r="P567" s="26">
        <f ca="1">IFERROR(__xludf.DUMMYFUNCTION("ROUND(GOOGLEFINANCE(""Currency:EURKZT"")*M567)"),238785)</f>
        <v>238785</v>
      </c>
      <c r="Q567" s="26">
        <f ca="1">IFERROR(__xludf.DUMMYFUNCTION("ROUND(GOOGLEFINANCE(""Currency:EURKZT"")*N567)"),238785)</f>
        <v>238785</v>
      </c>
      <c r="R567" s="26">
        <f t="shared" ca="1" si="529"/>
        <v>292330</v>
      </c>
      <c r="S567" s="26">
        <f t="shared" ca="1" si="530"/>
        <v>3205983</v>
      </c>
      <c r="T567" s="26">
        <f ca="1">IFERROR(__xludf.DUMMYFUNCTION("ROUND(GOOGLEFINANCE(""Currency:EURKZT"")*L567+S567)"),3668839)</f>
        <v>3668839</v>
      </c>
      <c r="U567" s="26">
        <f ca="1">IFERROR(__xludf.DUMMYFUNCTION("D567*GOOGLEFINANCE(""RUBKZT"")*1000/F567"),4430224.99760227)</f>
        <v>4430224.99760227</v>
      </c>
      <c r="V567" s="27">
        <f t="shared" ca="1" si="531"/>
        <v>0.20752777584469365</v>
      </c>
    </row>
    <row r="568" spans="1:22" ht="12.75" customHeight="1" x14ac:dyDescent="0.2">
      <c r="A568" s="6" t="s">
        <v>361</v>
      </c>
      <c r="B568" s="6" t="s">
        <v>15</v>
      </c>
      <c r="C568" s="7">
        <v>194800</v>
      </c>
      <c r="D568" s="8">
        <v>118903.2</v>
      </c>
      <c r="E568" s="9" t="s">
        <v>7</v>
      </c>
      <c r="F568" s="23">
        <v>208</v>
      </c>
      <c r="G568" s="25"/>
      <c r="H568" s="14">
        <f t="shared" si="525"/>
        <v>0.55000000000000004</v>
      </c>
      <c r="I568" s="25">
        <f ca="1">IFERROR(__xludf.DUMMYFUNCTION("ROUND(D568*GOOGLEFINANCE(""RUBKZT"")*H568)"),510325)</f>
        <v>510325</v>
      </c>
      <c r="J568" s="26">
        <f ca="1">IFERROR(__xludf.DUMMYFUNCTION("ROUND(I568*GOOGLEFINANCE(""KZTEUR""))"),1069)</f>
        <v>1069</v>
      </c>
      <c r="K568" s="26">
        <f t="shared" ca="1" si="526"/>
        <v>5139</v>
      </c>
      <c r="L568" s="26">
        <f t="shared" ca="1" si="527"/>
        <v>976.41</v>
      </c>
      <c r="M568" s="26">
        <f t="shared" ref="M568:N568" si="584">M$3</f>
        <v>500</v>
      </c>
      <c r="N568" s="26">
        <f t="shared" si="584"/>
        <v>500</v>
      </c>
      <c r="O568" s="26">
        <f ca="1">IFERROR(__xludf.DUMMYFUNCTION("ROUND(GOOGLEFINANCE(""Currency:EURKZT"")*K568)"),2454230)</f>
        <v>2454230</v>
      </c>
      <c r="P568" s="26">
        <f ca="1">IFERROR(__xludf.DUMMYFUNCTION("ROUND(GOOGLEFINANCE(""Currency:EURKZT"")*M568)"),238785)</f>
        <v>238785</v>
      </c>
      <c r="Q568" s="26">
        <f ca="1">IFERROR(__xludf.DUMMYFUNCTION("ROUND(GOOGLEFINANCE(""Currency:EURKZT"")*N568)"),238785)</f>
        <v>238785</v>
      </c>
      <c r="R568" s="26">
        <f t="shared" ca="1" si="529"/>
        <v>294508</v>
      </c>
      <c r="S568" s="26">
        <f t="shared" ca="1" si="530"/>
        <v>3226308</v>
      </c>
      <c r="T568" s="26">
        <f ca="1">IFERROR(__xludf.DUMMYFUNCTION("ROUND(GOOGLEFINANCE(""Currency:EURKZT"")*L568+S568)"),3692612)</f>
        <v>3692612</v>
      </c>
      <c r="U568" s="26">
        <f ca="1">IFERROR(__xludf.DUMMYFUNCTION("D568*GOOGLEFINANCE(""RUBKZT"")*1000/F568"),4460883.8383458)</f>
        <v>4460883.8383457996</v>
      </c>
      <c r="V568" s="27">
        <f t="shared" ca="1" si="531"/>
        <v>0.20805647556412632</v>
      </c>
    </row>
    <row r="569" spans="1:22" ht="12.75" customHeight="1" x14ac:dyDescent="0.2">
      <c r="A569" s="6" t="s">
        <v>362</v>
      </c>
      <c r="B569" s="6" t="s">
        <v>15</v>
      </c>
      <c r="C569" s="7">
        <v>194803</v>
      </c>
      <c r="D569" s="8">
        <v>119971.2</v>
      </c>
      <c r="E569" s="9" t="s">
        <v>7</v>
      </c>
      <c r="F569" s="23">
        <v>208</v>
      </c>
      <c r="G569" s="25"/>
      <c r="H569" s="14">
        <f t="shared" si="525"/>
        <v>0.55000000000000004</v>
      </c>
      <c r="I569" s="25">
        <f ca="1">IFERROR(__xludf.DUMMYFUNCTION("ROUND(D569*GOOGLEFINANCE(""RUBKZT"")*H569)"),514909)</f>
        <v>514909</v>
      </c>
      <c r="J569" s="26">
        <f ca="1">IFERROR(__xludf.DUMMYFUNCTION("ROUND(I569*GOOGLEFINANCE(""KZTEUR""))"),1078)</f>
        <v>1078</v>
      </c>
      <c r="K569" s="26">
        <f t="shared" ca="1" si="526"/>
        <v>5183</v>
      </c>
      <c r="L569" s="26">
        <f t="shared" ca="1" si="527"/>
        <v>984.77</v>
      </c>
      <c r="M569" s="26">
        <f t="shared" ref="M569:N569" si="585">M$3</f>
        <v>500</v>
      </c>
      <c r="N569" s="26">
        <f t="shared" si="585"/>
        <v>500</v>
      </c>
      <c r="O569" s="26">
        <f ca="1">IFERROR(__xludf.DUMMYFUNCTION("ROUND(GOOGLEFINANCE(""Currency:EURKZT"")*K569)"),2475243)</f>
        <v>2475243</v>
      </c>
      <c r="P569" s="26">
        <f ca="1">IFERROR(__xludf.DUMMYFUNCTION("ROUND(GOOGLEFINANCE(""Currency:EURKZT"")*M569)"),238785)</f>
        <v>238785</v>
      </c>
      <c r="Q569" s="26">
        <f ca="1">IFERROR(__xludf.DUMMYFUNCTION("ROUND(GOOGLEFINANCE(""Currency:EURKZT"")*N569)"),238785)</f>
        <v>238785</v>
      </c>
      <c r="R569" s="26">
        <f t="shared" ca="1" si="529"/>
        <v>297029</v>
      </c>
      <c r="S569" s="26">
        <f t="shared" ca="1" si="530"/>
        <v>3249842</v>
      </c>
      <c r="T569" s="26">
        <f ca="1">IFERROR(__xludf.DUMMYFUNCTION("ROUND(GOOGLEFINANCE(""Currency:EURKZT"")*L569+S569)"),3720138)</f>
        <v>3720138</v>
      </c>
      <c r="U569" s="26">
        <f ca="1">IFERROR(__xludf.DUMMYFUNCTION("D569*GOOGLEFINANCE(""RUBKZT"")*1000/F569"),4500951.92683587)</f>
        <v>4500951.9268358704</v>
      </c>
      <c r="V569" s="27">
        <f t="shared" ca="1" si="531"/>
        <v>0.20988843070764321</v>
      </c>
    </row>
    <row r="570" spans="1:22" ht="12.75" customHeight="1" x14ac:dyDescent="0.2">
      <c r="A570" s="6" t="s">
        <v>363</v>
      </c>
      <c r="B570" s="6" t="s">
        <v>15</v>
      </c>
      <c r="C570" s="7">
        <v>194807</v>
      </c>
      <c r="D570" s="8">
        <v>124119.59999999999</v>
      </c>
      <c r="E570" s="9" t="s">
        <v>7</v>
      </c>
      <c r="F570" s="23">
        <v>208</v>
      </c>
      <c r="G570" s="25"/>
      <c r="H570" s="14">
        <f t="shared" si="525"/>
        <v>0.55000000000000004</v>
      </c>
      <c r="I570" s="25">
        <f ca="1">IFERROR(__xludf.DUMMYFUNCTION("ROUND(D570*GOOGLEFINANCE(""RUBKZT"")*H570)"),532714)</f>
        <v>532714</v>
      </c>
      <c r="J570" s="26">
        <f ca="1">IFERROR(__xludf.DUMMYFUNCTION("ROUND(I570*GOOGLEFINANCE(""KZTEUR""))"),1116)</f>
        <v>1116</v>
      </c>
      <c r="K570" s="26">
        <f t="shared" ca="1" si="526"/>
        <v>5365</v>
      </c>
      <c r="L570" s="26">
        <f t="shared" ca="1" si="527"/>
        <v>1019.35</v>
      </c>
      <c r="M570" s="26">
        <f t="shared" ref="M570:N570" si="586">M$3</f>
        <v>500</v>
      </c>
      <c r="N570" s="26">
        <f t="shared" si="586"/>
        <v>500</v>
      </c>
      <c r="O570" s="26">
        <f ca="1">IFERROR(__xludf.DUMMYFUNCTION("ROUND(GOOGLEFINANCE(""Currency:EURKZT"")*K570)"),2562161)</f>
        <v>2562161</v>
      </c>
      <c r="P570" s="26">
        <f ca="1">IFERROR(__xludf.DUMMYFUNCTION("ROUND(GOOGLEFINANCE(""Currency:EURKZT"")*M570)"),238785)</f>
        <v>238785</v>
      </c>
      <c r="Q570" s="26">
        <f ca="1">IFERROR(__xludf.DUMMYFUNCTION("ROUND(GOOGLEFINANCE(""Currency:EURKZT"")*N570)"),238785)</f>
        <v>238785</v>
      </c>
      <c r="R570" s="26">
        <f t="shared" ca="1" si="529"/>
        <v>307459</v>
      </c>
      <c r="S570" s="26">
        <f t="shared" ca="1" si="530"/>
        <v>3347190</v>
      </c>
      <c r="T570" s="26">
        <f ca="1">IFERROR(__xludf.DUMMYFUNCTION("ROUND(GOOGLEFINANCE(""Currency:EURKZT"")*L570+S570)"),3834001)</f>
        <v>3834001</v>
      </c>
      <c r="U570" s="26">
        <f ca="1">IFERROR(__xludf.DUMMYFUNCTION("D570*GOOGLEFINANCE(""RUBKZT"")*1000/F570"),4656587.18740913)</f>
        <v>4656587.1874091299</v>
      </c>
      <c r="V570" s="27">
        <f t="shared" ca="1" si="531"/>
        <v>0.21455033199238338</v>
      </c>
    </row>
    <row r="571" spans="1:22" ht="12.75" customHeight="1" x14ac:dyDescent="0.2">
      <c r="A571" s="6" t="s">
        <v>364</v>
      </c>
      <c r="B571" s="6" t="s">
        <v>15</v>
      </c>
      <c r="C571" s="7">
        <v>194811</v>
      </c>
      <c r="D571" s="8">
        <v>115903.2</v>
      </c>
      <c r="E571" s="9" t="s">
        <v>7</v>
      </c>
      <c r="F571" s="23">
        <v>208</v>
      </c>
      <c r="G571" s="25"/>
      <c r="H571" s="14">
        <f t="shared" si="525"/>
        <v>0.55000000000000004</v>
      </c>
      <c r="I571" s="25">
        <f ca="1">IFERROR(__xludf.DUMMYFUNCTION("ROUND(D571*GOOGLEFINANCE(""RUBKZT"")*H571)"),497449)</f>
        <v>497449</v>
      </c>
      <c r="J571" s="26">
        <f ca="1">IFERROR(__xludf.DUMMYFUNCTION("ROUND(I571*GOOGLEFINANCE(""KZTEUR""))"),1042)</f>
        <v>1042</v>
      </c>
      <c r="K571" s="26">
        <f t="shared" ca="1" si="526"/>
        <v>5010</v>
      </c>
      <c r="L571" s="26">
        <f t="shared" ca="1" si="527"/>
        <v>951.9</v>
      </c>
      <c r="M571" s="26">
        <f t="shared" ref="M571:N571" si="587">M$3</f>
        <v>500</v>
      </c>
      <c r="N571" s="26">
        <f t="shared" si="587"/>
        <v>500</v>
      </c>
      <c r="O571" s="26">
        <f ca="1">IFERROR(__xludf.DUMMYFUNCTION("ROUND(GOOGLEFINANCE(""Currency:EURKZT"")*K571)"),2392624)</f>
        <v>2392624</v>
      </c>
      <c r="P571" s="26">
        <f ca="1">IFERROR(__xludf.DUMMYFUNCTION("ROUND(GOOGLEFINANCE(""Currency:EURKZT"")*M571)"),238785)</f>
        <v>238785</v>
      </c>
      <c r="Q571" s="26">
        <f ca="1">IFERROR(__xludf.DUMMYFUNCTION("ROUND(GOOGLEFINANCE(""Currency:EURKZT"")*N571)"),238785)</f>
        <v>238785</v>
      </c>
      <c r="R571" s="26">
        <f t="shared" ca="1" si="529"/>
        <v>287115</v>
      </c>
      <c r="S571" s="26">
        <f t="shared" ca="1" si="530"/>
        <v>3157309</v>
      </c>
      <c r="T571" s="26">
        <f ca="1">IFERROR(__xludf.DUMMYFUNCTION("ROUND(GOOGLEFINANCE(""Currency:EURKZT"")*L571+S571)"),3611908)</f>
        <v>3611908</v>
      </c>
      <c r="U571" s="26">
        <f ca="1">IFERROR(__xludf.DUMMYFUNCTION("D571*GOOGLEFINANCE(""RUBKZT"")*1000/F571"),4348333.02798041)</f>
        <v>4348333.0279804096</v>
      </c>
      <c r="V571" s="27">
        <f t="shared" ca="1" si="531"/>
        <v>0.20388809127486346</v>
      </c>
    </row>
    <row r="572" spans="1:22" ht="12.75" customHeight="1" x14ac:dyDescent="0.2">
      <c r="A572" s="6" t="s">
        <v>367</v>
      </c>
      <c r="B572" s="6" t="s">
        <v>15</v>
      </c>
      <c r="C572" s="7">
        <v>195024</v>
      </c>
      <c r="D572" s="8">
        <v>141975.6</v>
      </c>
      <c r="E572" s="9" t="s">
        <v>16</v>
      </c>
      <c r="F572" s="23">
        <v>208</v>
      </c>
      <c r="G572" s="25"/>
      <c r="H572" s="14">
        <f t="shared" si="525"/>
        <v>0.55000000000000004</v>
      </c>
      <c r="I572" s="25">
        <f ca="1">IFERROR(__xludf.DUMMYFUNCTION("ROUND(D572*GOOGLEFINANCE(""RUBKZT"")*H572)"),609350)</f>
        <v>609350</v>
      </c>
      <c r="J572" s="26">
        <f ca="1">IFERROR(__xludf.DUMMYFUNCTION("ROUND(I572*GOOGLEFINANCE(""KZTEUR""))"),1276)</f>
        <v>1276</v>
      </c>
      <c r="K572" s="26">
        <f t="shared" ca="1" si="526"/>
        <v>6135</v>
      </c>
      <c r="L572" s="26">
        <f t="shared" ca="1" si="527"/>
        <v>1165.6500000000001</v>
      </c>
      <c r="M572" s="26">
        <f t="shared" ref="M572:N572" si="588">M$3</f>
        <v>500</v>
      </c>
      <c r="N572" s="26">
        <f t="shared" si="588"/>
        <v>500</v>
      </c>
      <c r="O572" s="26">
        <f ca="1">IFERROR(__xludf.DUMMYFUNCTION("ROUND(GOOGLEFINANCE(""Currency:EURKZT"")*K572)"),2929890)</f>
        <v>2929890</v>
      </c>
      <c r="P572" s="26">
        <f ca="1">IFERROR(__xludf.DUMMYFUNCTION("ROUND(GOOGLEFINANCE(""Currency:EURKZT"")*M572)"),238785)</f>
        <v>238785</v>
      </c>
      <c r="Q572" s="26">
        <f ca="1">IFERROR(__xludf.DUMMYFUNCTION("ROUND(GOOGLEFINANCE(""Currency:EURKZT"")*N572)"),238785)</f>
        <v>238785</v>
      </c>
      <c r="R572" s="26">
        <f t="shared" ca="1" si="529"/>
        <v>351587</v>
      </c>
      <c r="S572" s="26">
        <f t="shared" ca="1" si="530"/>
        <v>3759047</v>
      </c>
      <c r="T572" s="26">
        <f ca="1">IFERROR(__xludf.DUMMYFUNCTION("ROUND(GOOGLEFINANCE(""Currency:EURKZT"")*L572+S572)"),4315726)</f>
        <v>4315726</v>
      </c>
      <c r="U572" s="26">
        <f ca="1">IFERROR(__xludf.DUMMYFUNCTION("D572*GOOGLEFINANCE(""RUBKZT"")*1000/F572"),5326489.6107039)</f>
        <v>5326489.6107039005</v>
      </c>
      <c r="V572" s="27">
        <f t="shared" ca="1" si="531"/>
        <v>0.23420476895518863</v>
      </c>
    </row>
    <row r="573" spans="1:22" ht="12.75" customHeight="1" x14ac:dyDescent="0.2">
      <c r="A573" s="6" t="s">
        <v>368</v>
      </c>
      <c r="B573" s="6" t="s">
        <v>15</v>
      </c>
      <c r="C573" s="7">
        <v>195025</v>
      </c>
      <c r="D573" s="8">
        <v>140846.39999999999</v>
      </c>
      <c r="E573" s="9" t="s">
        <v>7</v>
      </c>
      <c r="F573" s="23">
        <v>208</v>
      </c>
      <c r="G573" s="25"/>
      <c r="H573" s="14">
        <f t="shared" si="525"/>
        <v>0.55000000000000004</v>
      </c>
      <c r="I573" s="25">
        <f ca="1">IFERROR(__xludf.DUMMYFUNCTION("ROUND(D573*GOOGLEFINANCE(""RUBKZT"")*H573)"),604504)</f>
        <v>604504</v>
      </c>
      <c r="J573" s="26">
        <f ca="1">IFERROR(__xludf.DUMMYFUNCTION("ROUND(I573*GOOGLEFINANCE(""KZTEUR""))"),1266)</f>
        <v>1266</v>
      </c>
      <c r="K573" s="26">
        <f t="shared" ca="1" si="526"/>
        <v>6087</v>
      </c>
      <c r="L573" s="26">
        <f t="shared" ca="1" si="527"/>
        <v>1156.53</v>
      </c>
      <c r="M573" s="26">
        <f t="shared" ref="M573:N573" si="589">M$3</f>
        <v>500</v>
      </c>
      <c r="N573" s="26">
        <f t="shared" si="589"/>
        <v>500</v>
      </c>
      <c r="O573" s="26">
        <f ca="1">IFERROR(__xludf.DUMMYFUNCTION("ROUND(GOOGLEFINANCE(""Currency:EURKZT"")*K573)"),2906966)</f>
        <v>2906966</v>
      </c>
      <c r="P573" s="26">
        <f ca="1">IFERROR(__xludf.DUMMYFUNCTION("ROUND(GOOGLEFINANCE(""Currency:EURKZT"")*M573)"),238785)</f>
        <v>238785</v>
      </c>
      <c r="Q573" s="26">
        <f ca="1">IFERROR(__xludf.DUMMYFUNCTION("ROUND(GOOGLEFINANCE(""Currency:EURKZT"")*N573)"),238785)</f>
        <v>238785</v>
      </c>
      <c r="R573" s="26">
        <f t="shared" ca="1" si="529"/>
        <v>348836</v>
      </c>
      <c r="S573" s="26">
        <f t="shared" ca="1" si="530"/>
        <v>3733372</v>
      </c>
      <c r="T573" s="26">
        <f ca="1">IFERROR(__xludf.DUMMYFUNCTION("ROUND(GOOGLEFINANCE(""Currency:EURKZT"")*L573+S573)"),4285696)</f>
        <v>4285696</v>
      </c>
      <c r="U573" s="26">
        <f ca="1">IFERROR(__xludf.DUMMYFUNCTION("D573*GOOGLEFINANCE(""RUBKZT"")*1000/F573"),5284125.48568236)</f>
        <v>5284125.4856823599</v>
      </c>
      <c r="V573" s="27">
        <f t="shared" ca="1" si="531"/>
        <v>0.232967873988813</v>
      </c>
    </row>
    <row r="574" spans="1:22" ht="12.75" customHeight="1" x14ac:dyDescent="0.2">
      <c r="A574" s="6" t="s">
        <v>369</v>
      </c>
      <c r="B574" s="6" t="s">
        <v>15</v>
      </c>
      <c r="C574" s="7">
        <v>195415</v>
      </c>
      <c r="D574" s="8">
        <v>140977.19999999998</v>
      </c>
      <c r="E574" s="9" t="s">
        <v>7</v>
      </c>
      <c r="F574" s="23">
        <v>208</v>
      </c>
      <c r="G574" s="25"/>
      <c r="H574" s="14">
        <f t="shared" si="525"/>
        <v>0.55000000000000004</v>
      </c>
      <c r="I574" s="25">
        <f ca="1">IFERROR(__xludf.DUMMYFUNCTION("ROUND(D574*GOOGLEFINANCE(""RUBKZT"")*H574)"),605065)</f>
        <v>605065</v>
      </c>
      <c r="J574" s="26">
        <f ca="1">IFERROR(__xludf.DUMMYFUNCTION("ROUND(I574*GOOGLEFINANCE(""KZTEUR""))"),1267)</f>
        <v>1267</v>
      </c>
      <c r="K574" s="26">
        <f t="shared" ca="1" si="526"/>
        <v>6091</v>
      </c>
      <c r="L574" s="26">
        <f t="shared" ca="1" si="527"/>
        <v>1157.29</v>
      </c>
      <c r="M574" s="26">
        <f t="shared" ref="M574:N574" si="590">M$3</f>
        <v>500</v>
      </c>
      <c r="N574" s="26">
        <f t="shared" si="590"/>
        <v>500</v>
      </c>
      <c r="O574" s="26">
        <f ca="1">IFERROR(__xludf.DUMMYFUNCTION("ROUND(GOOGLEFINANCE(""Currency:EURKZT"")*K574)"),2908877)</f>
        <v>2908877</v>
      </c>
      <c r="P574" s="26">
        <f ca="1">IFERROR(__xludf.DUMMYFUNCTION("ROUND(GOOGLEFINANCE(""Currency:EURKZT"")*M574)"),238785)</f>
        <v>238785</v>
      </c>
      <c r="Q574" s="26">
        <f ca="1">IFERROR(__xludf.DUMMYFUNCTION("ROUND(GOOGLEFINANCE(""Currency:EURKZT"")*N574)"),238785)</f>
        <v>238785</v>
      </c>
      <c r="R574" s="26">
        <f t="shared" ca="1" si="529"/>
        <v>349065</v>
      </c>
      <c r="S574" s="26">
        <f t="shared" ca="1" si="530"/>
        <v>3735512</v>
      </c>
      <c r="T574" s="26">
        <f ca="1">IFERROR(__xludf.DUMMYFUNCTION("ROUND(GOOGLEFINANCE(""Currency:EURKZT"")*L574+S574)"),4288199)</f>
        <v>4288199</v>
      </c>
      <c r="U574" s="26">
        <f ca="1">IFERROR(__xludf.DUMMYFUNCTION("D574*GOOGLEFINANCE(""RUBKZT"")*1000/F574"),5289032.7010143)</f>
        <v>5289032.7010142999</v>
      </c>
      <c r="V574" s="27">
        <f t="shared" ca="1" si="531"/>
        <v>0.23339255034906259</v>
      </c>
    </row>
    <row r="575" spans="1:22" ht="12.75" customHeight="1" x14ac:dyDescent="0.2">
      <c r="A575" s="6" t="s">
        <v>372</v>
      </c>
      <c r="B575" s="6" t="s">
        <v>15</v>
      </c>
      <c r="C575" s="7">
        <v>196327</v>
      </c>
      <c r="D575" s="8">
        <v>104673.59999999999</v>
      </c>
      <c r="E575" s="9" t="s">
        <v>16</v>
      </c>
      <c r="F575" s="23">
        <v>208</v>
      </c>
      <c r="G575" s="25"/>
      <c r="H575" s="14">
        <f t="shared" si="525"/>
        <v>0.55000000000000004</v>
      </c>
      <c r="I575" s="25">
        <f ca="1">IFERROR(__xludf.DUMMYFUNCTION("ROUND(D575*GOOGLEFINANCE(""RUBKZT"")*H575)"),449253)</f>
        <v>449253</v>
      </c>
      <c r="J575" s="26">
        <f ca="1">IFERROR(__xludf.DUMMYFUNCTION("ROUND(I575*GOOGLEFINANCE(""KZTEUR""))"),941)</f>
        <v>941</v>
      </c>
      <c r="K575" s="26">
        <f t="shared" ca="1" si="526"/>
        <v>4524</v>
      </c>
      <c r="L575" s="26">
        <f t="shared" ca="1" si="527"/>
        <v>859.56000000000006</v>
      </c>
      <c r="M575" s="26">
        <f t="shared" ref="M575:N575" si="591">M$3</f>
        <v>500</v>
      </c>
      <c r="N575" s="26">
        <f t="shared" si="591"/>
        <v>500</v>
      </c>
      <c r="O575" s="26">
        <f ca="1">IFERROR(__xludf.DUMMYFUNCTION("ROUND(GOOGLEFINANCE(""Currency:EURKZT"")*K575)"),2160525)</f>
        <v>2160525</v>
      </c>
      <c r="P575" s="26">
        <f ca="1">IFERROR(__xludf.DUMMYFUNCTION("ROUND(GOOGLEFINANCE(""Currency:EURKZT"")*M575)"),238785)</f>
        <v>238785</v>
      </c>
      <c r="Q575" s="26">
        <f ca="1">IFERROR(__xludf.DUMMYFUNCTION("ROUND(GOOGLEFINANCE(""Currency:EURKZT"")*N575)"),238785)</f>
        <v>238785</v>
      </c>
      <c r="R575" s="26">
        <f t="shared" ca="1" si="529"/>
        <v>259263</v>
      </c>
      <c r="S575" s="26">
        <f t="shared" ca="1" si="530"/>
        <v>2897358</v>
      </c>
      <c r="T575" s="26">
        <f ca="1">IFERROR(__xludf.DUMMYFUNCTION("ROUND(GOOGLEFINANCE(""Currency:EURKZT"")*L575+S575)"),3307858)</f>
        <v>3307858</v>
      </c>
      <c r="U575" s="26">
        <f ca="1">IFERROR(__xludf.DUMMYFUNCTION("D575*GOOGLEFINANCE(""RUBKZT"")*1000/F575"),3927032.8346207)</f>
        <v>3927032.8346207002</v>
      </c>
      <c r="V575" s="27">
        <f t="shared" ca="1" si="531"/>
        <v>0.18718301529893369</v>
      </c>
    </row>
    <row r="576" spans="1:22" ht="12.75" customHeight="1" x14ac:dyDescent="0.2">
      <c r="A576" s="6" t="s">
        <v>373</v>
      </c>
      <c r="B576" s="6" t="s">
        <v>15</v>
      </c>
      <c r="C576" s="7">
        <v>196473</v>
      </c>
      <c r="D576" s="8">
        <v>109863.59999999999</v>
      </c>
      <c r="E576" s="9" t="s">
        <v>16</v>
      </c>
      <c r="F576" s="23">
        <v>208</v>
      </c>
      <c r="G576" s="25"/>
      <c r="H576" s="14">
        <f t="shared" si="525"/>
        <v>0.55000000000000004</v>
      </c>
      <c r="I576" s="25">
        <f ca="1">IFERROR(__xludf.DUMMYFUNCTION("ROUND(D576*GOOGLEFINANCE(""RUBKZT"")*H576)"),471528)</f>
        <v>471528</v>
      </c>
      <c r="J576" s="26">
        <f ca="1">IFERROR(__xludf.DUMMYFUNCTION("ROUND(I576*GOOGLEFINANCE(""KZTEUR""))"),988)</f>
        <v>988</v>
      </c>
      <c r="K576" s="26">
        <f t="shared" ca="1" si="526"/>
        <v>4750</v>
      </c>
      <c r="L576" s="26">
        <f t="shared" ca="1" si="527"/>
        <v>902.5</v>
      </c>
      <c r="M576" s="26">
        <f t="shared" ref="M576:N576" si="592">M$3</f>
        <v>500</v>
      </c>
      <c r="N576" s="26">
        <f t="shared" si="592"/>
        <v>500</v>
      </c>
      <c r="O576" s="26">
        <f ca="1">IFERROR(__xludf.DUMMYFUNCTION("ROUND(GOOGLEFINANCE(""Currency:EURKZT"")*K576)"),2268456)</f>
        <v>2268456</v>
      </c>
      <c r="P576" s="26">
        <f ca="1">IFERROR(__xludf.DUMMYFUNCTION("ROUND(GOOGLEFINANCE(""Currency:EURKZT"")*M576)"),238785)</f>
        <v>238785</v>
      </c>
      <c r="Q576" s="26">
        <f ca="1">IFERROR(__xludf.DUMMYFUNCTION("ROUND(GOOGLEFINANCE(""Currency:EURKZT"")*N576)"),238785)</f>
        <v>238785</v>
      </c>
      <c r="R576" s="26">
        <f t="shared" ca="1" si="529"/>
        <v>272215</v>
      </c>
      <c r="S576" s="26">
        <f t="shared" ca="1" si="530"/>
        <v>3018241</v>
      </c>
      <c r="T576" s="26">
        <f ca="1">IFERROR(__xludf.DUMMYFUNCTION("ROUND(GOOGLEFINANCE(""Currency:EURKZT"")*L576+S576)"),3449248)</f>
        <v>3449248</v>
      </c>
      <c r="U576" s="26">
        <f ca="1">IFERROR(__xludf.DUMMYFUNCTION("D576*GOOGLEFINANCE(""RUBKZT"")*1000/F576"),4121745.73655282)</f>
        <v>4121745.7365528201</v>
      </c>
      <c r="V576" s="27">
        <f t="shared" ca="1" si="531"/>
        <v>0.19496937783331905</v>
      </c>
    </row>
    <row r="577" spans="1:22" ht="12.75" customHeight="1" x14ac:dyDescent="0.2">
      <c r="A577" s="6" t="s">
        <v>377</v>
      </c>
      <c r="B577" s="6" t="s">
        <v>15</v>
      </c>
      <c r="C577" s="7">
        <v>197731</v>
      </c>
      <c r="D577" s="8">
        <v>113688</v>
      </c>
      <c r="E577" s="9" t="s">
        <v>16</v>
      </c>
      <c r="F577" s="23">
        <v>208</v>
      </c>
      <c r="G577" s="25"/>
      <c r="H577" s="14">
        <f t="shared" si="525"/>
        <v>0.55000000000000004</v>
      </c>
      <c r="I577" s="25">
        <f ca="1">IFERROR(__xludf.DUMMYFUNCTION("ROUND(D577*GOOGLEFINANCE(""RUBKZT"")*H577)"),487942)</f>
        <v>487942</v>
      </c>
      <c r="J577" s="26">
        <f ca="1">IFERROR(__xludf.DUMMYFUNCTION("ROUND(I577*GOOGLEFINANCE(""KZTEUR""))"),1022)</f>
        <v>1022</v>
      </c>
      <c r="K577" s="26">
        <f t="shared" ca="1" si="526"/>
        <v>4913</v>
      </c>
      <c r="L577" s="26">
        <f t="shared" ca="1" si="527"/>
        <v>933.47</v>
      </c>
      <c r="M577" s="26">
        <f t="shared" ref="M577:N577" si="593">M$3</f>
        <v>500</v>
      </c>
      <c r="N577" s="26">
        <f t="shared" si="593"/>
        <v>500</v>
      </c>
      <c r="O577" s="26">
        <f ca="1">IFERROR(__xludf.DUMMYFUNCTION("ROUND(GOOGLEFINANCE(""Currency:EURKZT"")*K577)"),2346300)</f>
        <v>2346300</v>
      </c>
      <c r="P577" s="26">
        <f ca="1">IFERROR(__xludf.DUMMYFUNCTION("ROUND(GOOGLEFINANCE(""Currency:EURKZT"")*M577)"),238785)</f>
        <v>238785</v>
      </c>
      <c r="Q577" s="26">
        <f ca="1">IFERROR(__xludf.DUMMYFUNCTION("ROUND(GOOGLEFINANCE(""Currency:EURKZT"")*N577)"),238785)</f>
        <v>238785</v>
      </c>
      <c r="R577" s="26">
        <f t="shared" ca="1" si="529"/>
        <v>281556</v>
      </c>
      <c r="S577" s="26">
        <f t="shared" ca="1" si="530"/>
        <v>3105426</v>
      </c>
      <c r="T577" s="26">
        <f ca="1">IFERROR(__xludf.DUMMYFUNCTION("ROUND(GOOGLEFINANCE(""Currency:EURKZT"")*L577+S577)"),3551223)</f>
        <v>3551223</v>
      </c>
      <c r="U577" s="26">
        <f ca="1">IFERROR(__xludf.DUMMYFUNCTION("D577*GOOGLEFINANCE(""RUBKZT"")*1000/F577"),4265225.50960661)</f>
        <v>4265225.5096066101</v>
      </c>
      <c r="V577" s="27">
        <f t="shared" ca="1" si="531"/>
        <v>0.20105820152849033</v>
      </c>
    </row>
    <row r="578" spans="1:22" ht="12.75" customHeight="1" x14ac:dyDescent="0.2">
      <c r="A578" s="6" t="s">
        <v>378</v>
      </c>
      <c r="B578" s="6" t="s">
        <v>15</v>
      </c>
      <c r="C578" s="7">
        <v>198151</v>
      </c>
      <c r="D578" s="8">
        <v>277088.39999999997</v>
      </c>
      <c r="E578" s="9" t="s">
        <v>16</v>
      </c>
      <c r="F578" s="23">
        <v>208</v>
      </c>
      <c r="G578" s="25"/>
      <c r="H578" s="14">
        <f t="shared" si="525"/>
        <v>0.55000000000000004</v>
      </c>
      <c r="I578" s="25">
        <f ca="1">IFERROR(__xludf.DUMMYFUNCTION("ROUND(D578*GOOGLEFINANCE(""RUBKZT"")*H578)"),1189246)</f>
        <v>1189246</v>
      </c>
      <c r="J578" s="26">
        <f ca="1">IFERROR(__xludf.DUMMYFUNCTION("ROUND(I578*GOOGLEFINANCE(""KZTEUR""))"),2491)</f>
        <v>2491</v>
      </c>
      <c r="K578" s="26">
        <f t="shared" ca="1" si="526"/>
        <v>11976</v>
      </c>
      <c r="L578" s="26">
        <f t="shared" ca="1" si="527"/>
        <v>2275.44</v>
      </c>
      <c r="M578" s="26">
        <f t="shared" ref="M578:N578" si="594">M$3</f>
        <v>500</v>
      </c>
      <c r="N578" s="26">
        <f t="shared" si="594"/>
        <v>500</v>
      </c>
      <c r="O578" s="26">
        <f ca="1">IFERROR(__xludf.DUMMYFUNCTION("ROUND(GOOGLEFINANCE(""Currency:EURKZT"")*K578)"),5719374)</f>
        <v>5719374</v>
      </c>
      <c r="P578" s="26">
        <f ca="1">IFERROR(__xludf.DUMMYFUNCTION("ROUND(GOOGLEFINANCE(""Currency:EURKZT"")*M578)"),238785)</f>
        <v>238785</v>
      </c>
      <c r="Q578" s="26">
        <f ca="1">IFERROR(__xludf.DUMMYFUNCTION("ROUND(GOOGLEFINANCE(""Currency:EURKZT"")*N578)"),238785)</f>
        <v>238785</v>
      </c>
      <c r="R578" s="26">
        <f t="shared" ca="1" si="529"/>
        <v>686325</v>
      </c>
      <c r="S578" s="26">
        <f t="shared" ca="1" si="530"/>
        <v>6883269</v>
      </c>
      <c r="T578" s="26">
        <f ca="1">IFERROR(__xludf.DUMMYFUNCTION("ROUND(GOOGLEFINANCE(""Currency:EURKZT"")*L578+S578)"),7969950)</f>
        <v>7969950</v>
      </c>
      <c r="U578" s="26">
        <f ca="1">IFERROR(__xludf.DUMMYFUNCTION("D578*GOOGLEFINANCE(""RUBKZT"")*1000/F578"),10395507.9876159)</f>
        <v>10395507.9876159</v>
      </c>
      <c r="V578" s="27">
        <f t="shared" ca="1" si="531"/>
        <v>0.3043379177555568</v>
      </c>
    </row>
    <row r="579" spans="1:22" ht="12.75" customHeight="1" x14ac:dyDescent="0.2">
      <c r="A579" s="6" t="s">
        <v>379</v>
      </c>
      <c r="B579" s="6" t="s">
        <v>15</v>
      </c>
      <c r="C579" s="7">
        <v>198154</v>
      </c>
      <c r="D579" s="8">
        <v>292353.59999999998</v>
      </c>
      <c r="E579" s="9" t="s">
        <v>16</v>
      </c>
      <c r="F579" s="23">
        <v>208</v>
      </c>
      <c r="G579" s="25"/>
      <c r="H579" s="14">
        <f t="shared" si="525"/>
        <v>0.55000000000000004</v>
      </c>
      <c r="I579" s="25">
        <f ca="1">IFERROR(__xludf.DUMMYFUNCTION("ROUND(D579*GOOGLEFINANCE(""RUBKZT"")*H579)"),1254763)</f>
        <v>1254763</v>
      </c>
      <c r="J579" s="26">
        <f ca="1">IFERROR(__xludf.DUMMYFUNCTION("ROUND(I579*GOOGLEFINANCE(""KZTEUR""))"),2628)</f>
        <v>2628</v>
      </c>
      <c r="K579" s="26">
        <f t="shared" ca="1" si="526"/>
        <v>12635</v>
      </c>
      <c r="L579" s="26">
        <f t="shared" ca="1" si="527"/>
        <v>2400.65</v>
      </c>
      <c r="M579" s="26">
        <f t="shared" ref="M579:N579" si="595">M$3</f>
        <v>500</v>
      </c>
      <c r="N579" s="26">
        <f t="shared" si="595"/>
        <v>500</v>
      </c>
      <c r="O579" s="26">
        <f ca="1">IFERROR(__xludf.DUMMYFUNCTION("ROUND(GOOGLEFINANCE(""Currency:EURKZT"")*K579)"),6034092)</f>
        <v>6034092</v>
      </c>
      <c r="P579" s="26">
        <f ca="1">IFERROR(__xludf.DUMMYFUNCTION("ROUND(GOOGLEFINANCE(""Currency:EURKZT"")*M579)"),238785)</f>
        <v>238785</v>
      </c>
      <c r="Q579" s="26">
        <f ca="1">IFERROR(__xludf.DUMMYFUNCTION("ROUND(GOOGLEFINANCE(""Currency:EURKZT"")*N579)"),238785)</f>
        <v>238785</v>
      </c>
      <c r="R579" s="26">
        <f t="shared" ca="1" si="529"/>
        <v>724091</v>
      </c>
      <c r="S579" s="26">
        <f t="shared" ca="1" si="530"/>
        <v>7235753</v>
      </c>
      <c r="T579" s="26">
        <f ca="1">IFERROR(__xludf.DUMMYFUNCTION("ROUND(GOOGLEFINANCE(""Currency:EURKZT"")*L579+S579)"),8382230)</f>
        <v>8382230</v>
      </c>
      <c r="U579" s="26">
        <f ca="1">IFERROR(__xludf.DUMMYFUNCTION("D579*GOOGLEFINANCE(""RUBKZT"")*1000/F579"),10968211.5310791)</f>
        <v>10968211.5310791</v>
      </c>
      <c r="V579" s="27">
        <f t="shared" ca="1" si="531"/>
        <v>0.30850758462594086</v>
      </c>
    </row>
    <row r="580" spans="1:22" ht="12.75" customHeight="1" x14ac:dyDescent="0.2">
      <c r="A580" s="6" t="s">
        <v>380</v>
      </c>
      <c r="B580" s="6" t="s">
        <v>15</v>
      </c>
      <c r="C580" s="7">
        <v>198155</v>
      </c>
      <c r="D580" s="8">
        <v>310916.39999999997</v>
      </c>
      <c r="E580" s="9" t="s">
        <v>16</v>
      </c>
      <c r="F580" s="23">
        <v>208</v>
      </c>
      <c r="G580" s="25"/>
      <c r="H580" s="14">
        <f t="shared" si="525"/>
        <v>0.55000000000000004</v>
      </c>
      <c r="I580" s="25">
        <f ca="1">IFERROR(__xludf.DUMMYFUNCTION("ROUND(D580*GOOGLEFINANCE(""RUBKZT"")*H580)"),1334434)</f>
        <v>1334434</v>
      </c>
      <c r="J580" s="26">
        <f ca="1">IFERROR(__xludf.DUMMYFUNCTION("ROUND(I580*GOOGLEFINANCE(""KZTEUR""))"),2795)</f>
        <v>2795</v>
      </c>
      <c r="K580" s="26">
        <f t="shared" ca="1" si="526"/>
        <v>13438</v>
      </c>
      <c r="L580" s="26">
        <f t="shared" ca="1" si="527"/>
        <v>2553.2200000000003</v>
      </c>
      <c r="M580" s="26">
        <f t="shared" ref="M580:N580" si="596">M$3</f>
        <v>500</v>
      </c>
      <c r="N580" s="26">
        <f t="shared" si="596"/>
        <v>500</v>
      </c>
      <c r="O580" s="26">
        <f ca="1">IFERROR(__xludf.DUMMYFUNCTION("ROUND(GOOGLEFINANCE(""Currency:EURKZT"")*K580)"),6417580)</f>
        <v>6417580</v>
      </c>
      <c r="P580" s="26">
        <f ca="1">IFERROR(__xludf.DUMMYFUNCTION("ROUND(GOOGLEFINANCE(""Currency:EURKZT"")*M580)"),238785)</f>
        <v>238785</v>
      </c>
      <c r="Q580" s="26">
        <f ca="1">IFERROR(__xludf.DUMMYFUNCTION("ROUND(GOOGLEFINANCE(""Currency:EURKZT"")*N580)"),238785)</f>
        <v>238785</v>
      </c>
      <c r="R580" s="26">
        <f t="shared" ca="1" si="529"/>
        <v>770110</v>
      </c>
      <c r="S580" s="26">
        <f t="shared" ca="1" si="530"/>
        <v>7665260</v>
      </c>
      <c r="T580" s="26">
        <f ca="1">IFERROR(__xludf.DUMMYFUNCTION("ROUND(GOOGLEFINANCE(""Currency:EURKZT"")*L580+S580)"),8884600)</f>
        <v>8884600</v>
      </c>
      <c r="U580" s="26">
        <f ca="1">IFERROR(__xludf.DUMMYFUNCTION("D580*GOOGLEFINANCE(""RUBKZT"")*1000/F580"),11664630.925296)</f>
        <v>11664630.925295999</v>
      </c>
      <c r="V580" s="27">
        <f t="shared" ca="1" si="531"/>
        <v>0.31290445549557655</v>
      </c>
    </row>
    <row r="581" spans="1:22" ht="12.75" customHeight="1" x14ac:dyDescent="0.2">
      <c r="A581" s="6" t="s">
        <v>381</v>
      </c>
      <c r="B581" s="6" t="s">
        <v>15</v>
      </c>
      <c r="C581" s="7">
        <v>198157</v>
      </c>
      <c r="D581" s="8">
        <v>330752.39999999997</v>
      </c>
      <c r="E581" s="9" t="s">
        <v>16</v>
      </c>
      <c r="F581" s="23">
        <v>208</v>
      </c>
      <c r="G581" s="25"/>
      <c r="H581" s="14">
        <f t="shared" si="525"/>
        <v>0.55000000000000004</v>
      </c>
      <c r="I581" s="25">
        <f ca="1">IFERROR(__xludf.DUMMYFUNCTION("ROUND(D581*GOOGLEFINANCE(""RUBKZT"")*H581)"),1419569)</f>
        <v>1419569</v>
      </c>
      <c r="J581" s="26">
        <f ca="1">IFERROR(__xludf.DUMMYFUNCTION("ROUND(I581*GOOGLEFINANCE(""KZTEUR""))"),2973)</f>
        <v>2973</v>
      </c>
      <c r="K581" s="26">
        <f t="shared" ca="1" si="526"/>
        <v>14293</v>
      </c>
      <c r="L581" s="26">
        <f t="shared" ca="1" si="527"/>
        <v>2715.67</v>
      </c>
      <c r="M581" s="26">
        <f t="shared" ref="M581:N581" si="597">M$3</f>
        <v>500</v>
      </c>
      <c r="N581" s="26">
        <f t="shared" si="597"/>
        <v>500</v>
      </c>
      <c r="O581" s="26">
        <f ca="1">IFERROR(__xludf.DUMMYFUNCTION("ROUND(GOOGLEFINANCE(""Currency:EURKZT"")*K581)"),6825903)</f>
        <v>6825903</v>
      </c>
      <c r="P581" s="26">
        <f ca="1">IFERROR(__xludf.DUMMYFUNCTION("ROUND(GOOGLEFINANCE(""Currency:EURKZT"")*M581)"),238785)</f>
        <v>238785</v>
      </c>
      <c r="Q581" s="26">
        <f ca="1">IFERROR(__xludf.DUMMYFUNCTION("ROUND(GOOGLEFINANCE(""Currency:EURKZT"")*N581)"),238785)</f>
        <v>238785</v>
      </c>
      <c r="R581" s="26">
        <f t="shared" ca="1" si="529"/>
        <v>819108</v>
      </c>
      <c r="S581" s="26">
        <f t="shared" ca="1" si="530"/>
        <v>8122581</v>
      </c>
      <c r="T581" s="26">
        <f ca="1">IFERROR(__xludf.DUMMYFUNCTION("ROUND(GOOGLEFINANCE(""Currency:EURKZT"")*L581+S581)"),9419502)</f>
        <v>9419502</v>
      </c>
      <c r="U581" s="26">
        <f ca="1">IFERROR(__xludf.DUMMYFUNCTION("D581*GOOGLEFINANCE(""RUBKZT"")*1000/F581"),12408816.8834319)</f>
        <v>12408816.8834319</v>
      </c>
      <c r="V581" s="27">
        <f t="shared" ca="1" si="531"/>
        <v>0.31735381376126892</v>
      </c>
    </row>
    <row r="582" spans="1:22" ht="12.75" customHeight="1" x14ac:dyDescent="0.2">
      <c r="A582" s="6" t="s">
        <v>382</v>
      </c>
      <c r="B582" s="6" t="s">
        <v>15</v>
      </c>
      <c r="C582" s="7">
        <v>198182</v>
      </c>
      <c r="D582" s="8">
        <v>118713.59999999999</v>
      </c>
      <c r="E582" s="9" t="s">
        <v>16</v>
      </c>
      <c r="F582" s="23">
        <v>208</v>
      </c>
      <c r="G582" s="25"/>
      <c r="H582" s="14">
        <f t="shared" si="525"/>
        <v>0.55000000000000004</v>
      </c>
      <c r="I582" s="25">
        <f ca="1">IFERROR(__xludf.DUMMYFUNCTION("ROUND(D582*GOOGLEFINANCE(""RUBKZT"")*H582)"),509511)</f>
        <v>509511</v>
      </c>
      <c r="J582" s="26">
        <f ca="1">IFERROR(__xludf.DUMMYFUNCTION("ROUND(I582*GOOGLEFINANCE(""KZTEUR""))"),1067)</f>
        <v>1067</v>
      </c>
      <c r="K582" s="26">
        <f t="shared" ca="1" si="526"/>
        <v>5130</v>
      </c>
      <c r="L582" s="26">
        <f t="shared" ca="1" si="527"/>
        <v>974.7</v>
      </c>
      <c r="M582" s="26">
        <f t="shared" ref="M582:N582" si="598">M$3</f>
        <v>500</v>
      </c>
      <c r="N582" s="26">
        <f t="shared" si="598"/>
        <v>500</v>
      </c>
      <c r="O582" s="26">
        <f ca="1">IFERROR(__xludf.DUMMYFUNCTION("ROUND(GOOGLEFINANCE(""Currency:EURKZT"")*K582)"),2449932)</f>
        <v>2449932</v>
      </c>
      <c r="P582" s="26">
        <f ca="1">IFERROR(__xludf.DUMMYFUNCTION("ROUND(GOOGLEFINANCE(""Currency:EURKZT"")*M582)"),238785)</f>
        <v>238785</v>
      </c>
      <c r="Q582" s="26">
        <f ca="1">IFERROR(__xludf.DUMMYFUNCTION("ROUND(GOOGLEFINANCE(""Currency:EURKZT"")*N582)"),238785)</f>
        <v>238785</v>
      </c>
      <c r="R582" s="26">
        <f t="shared" ca="1" si="529"/>
        <v>293992</v>
      </c>
      <c r="S582" s="26">
        <f t="shared" ca="1" si="530"/>
        <v>3221494</v>
      </c>
      <c r="T582" s="26">
        <f ca="1">IFERROR(__xludf.DUMMYFUNCTION("ROUND(GOOGLEFINANCE(""Currency:EURKZT"")*L582+S582)"),3686981)</f>
        <v>3686981</v>
      </c>
      <c r="U582" s="26">
        <f ca="1">IFERROR(__xludf.DUMMYFUNCTION("D582*GOOGLEFINANCE(""RUBKZT"")*1000/F582"),4453770.6271307)</f>
        <v>4453770.6271307003</v>
      </c>
      <c r="V582" s="27">
        <f t="shared" ca="1" si="531"/>
        <v>0.20797222093921836</v>
      </c>
    </row>
    <row r="583" spans="1:22" ht="12.75" customHeight="1" x14ac:dyDescent="0.2">
      <c r="A583" s="6" t="s">
        <v>383</v>
      </c>
      <c r="B583" s="6" t="s">
        <v>15</v>
      </c>
      <c r="C583" s="7">
        <v>198280</v>
      </c>
      <c r="D583" s="8">
        <v>111087.59999999999</v>
      </c>
      <c r="E583" s="9" t="s">
        <v>7</v>
      </c>
      <c r="F583" s="23">
        <v>208</v>
      </c>
      <c r="G583" s="25"/>
      <c r="H583" s="14">
        <f t="shared" si="525"/>
        <v>0.55000000000000004</v>
      </c>
      <c r="I583" s="25">
        <f ca="1">IFERROR(__xludf.DUMMYFUNCTION("ROUND(D583*GOOGLEFINANCE(""RUBKZT"")*H583)"),476781)</f>
        <v>476781</v>
      </c>
      <c r="J583" s="26">
        <f ca="1">IFERROR(__xludf.DUMMYFUNCTION("ROUND(I583*GOOGLEFINANCE(""KZTEUR""))"),999)</f>
        <v>999</v>
      </c>
      <c r="K583" s="26">
        <f t="shared" ca="1" si="526"/>
        <v>4803</v>
      </c>
      <c r="L583" s="26">
        <f t="shared" ca="1" si="527"/>
        <v>912.57</v>
      </c>
      <c r="M583" s="26">
        <f t="shared" ref="M583:N583" si="599">M$3</f>
        <v>500</v>
      </c>
      <c r="N583" s="26">
        <f t="shared" si="599"/>
        <v>500</v>
      </c>
      <c r="O583" s="26">
        <f ca="1">IFERROR(__xludf.DUMMYFUNCTION("ROUND(GOOGLEFINANCE(""Currency:EURKZT"")*K583)"),2293767)</f>
        <v>2293767</v>
      </c>
      <c r="P583" s="26">
        <f ca="1">IFERROR(__xludf.DUMMYFUNCTION("ROUND(GOOGLEFINANCE(""Currency:EURKZT"")*M583)"),238785)</f>
        <v>238785</v>
      </c>
      <c r="Q583" s="26">
        <f ca="1">IFERROR(__xludf.DUMMYFUNCTION("ROUND(GOOGLEFINANCE(""Currency:EURKZT"")*N583)"),238785)</f>
        <v>238785</v>
      </c>
      <c r="R583" s="26">
        <f t="shared" ca="1" si="529"/>
        <v>275252</v>
      </c>
      <c r="S583" s="26">
        <f t="shared" ca="1" si="530"/>
        <v>3046589</v>
      </c>
      <c r="T583" s="26">
        <f ca="1">IFERROR(__xludf.DUMMYFUNCTION("ROUND(GOOGLEFINANCE(""Currency:EURKZT"")*L583+S583)"),3482405)</f>
        <v>3482405</v>
      </c>
      <c r="U583" s="26">
        <f ca="1">IFERROR(__xludf.DUMMYFUNCTION("D583*GOOGLEFINANCE(""RUBKZT"")*1000/F583"),4167666.46718189)</f>
        <v>4167666.4671818898</v>
      </c>
      <c r="V583" s="27">
        <f t="shared" ca="1" si="531"/>
        <v>0.1967782228608935</v>
      </c>
    </row>
    <row r="584" spans="1:22" ht="12.75" customHeight="1" x14ac:dyDescent="0.2">
      <c r="A584" s="6" t="s">
        <v>384</v>
      </c>
      <c r="B584" s="6" t="s">
        <v>15</v>
      </c>
      <c r="C584" s="7">
        <v>198536</v>
      </c>
      <c r="D584" s="8">
        <v>91669.2</v>
      </c>
      <c r="E584" s="9" t="s">
        <v>7</v>
      </c>
      <c r="F584" s="23">
        <v>208</v>
      </c>
      <c r="G584" s="25"/>
      <c r="H584" s="14">
        <f t="shared" si="525"/>
        <v>0.55000000000000004</v>
      </c>
      <c r="I584" s="25">
        <f ca="1">IFERROR(__xludf.DUMMYFUNCTION("ROUND(D584*GOOGLEFINANCE(""RUBKZT"")*H584)"),393438)</f>
        <v>393438</v>
      </c>
      <c r="J584" s="26">
        <f ca="1">IFERROR(__xludf.DUMMYFUNCTION("ROUND(I584*GOOGLEFINANCE(""KZTEUR""))"),824)</f>
        <v>824</v>
      </c>
      <c r="K584" s="26">
        <f t="shared" ca="1" si="526"/>
        <v>3962</v>
      </c>
      <c r="L584" s="26">
        <f t="shared" ca="1" si="527"/>
        <v>752.78</v>
      </c>
      <c r="M584" s="26">
        <f t="shared" ref="M584:N584" si="600">M$3</f>
        <v>500</v>
      </c>
      <c r="N584" s="26">
        <f t="shared" si="600"/>
        <v>500</v>
      </c>
      <c r="O584" s="26">
        <f ca="1">IFERROR(__xludf.DUMMYFUNCTION("ROUND(GOOGLEFINANCE(""Currency:EURKZT"")*K584)"),1892131)</f>
        <v>1892131</v>
      </c>
      <c r="P584" s="26">
        <f ca="1">IFERROR(__xludf.DUMMYFUNCTION("ROUND(GOOGLEFINANCE(""Currency:EURKZT"")*M584)"),238785)</f>
        <v>238785</v>
      </c>
      <c r="Q584" s="26">
        <f ca="1">IFERROR(__xludf.DUMMYFUNCTION("ROUND(GOOGLEFINANCE(""Currency:EURKZT"")*N584)"),238785)</f>
        <v>238785</v>
      </c>
      <c r="R584" s="26">
        <f t="shared" ca="1" si="529"/>
        <v>227056</v>
      </c>
      <c r="S584" s="26">
        <f t="shared" ca="1" si="530"/>
        <v>2596757</v>
      </c>
      <c r="T584" s="26">
        <f ca="1">IFERROR(__xludf.DUMMYFUNCTION("ROUND(GOOGLEFINANCE(""Currency:EURKZT"")*L584+S584)"),2956262)</f>
        <v>2956262</v>
      </c>
      <c r="U584" s="26">
        <f ca="1">IFERROR(__xludf.DUMMYFUNCTION("D584*GOOGLEFINANCE(""RUBKZT"")*1000/F584"),3439147.58184883)</f>
        <v>3439147.58184883</v>
      </c>
      <c r="V584" s="27">
        <f t="shared" ca="1" si="531"/>
        <v>0.16334329699087224</v>
      </c>
    </row>
    <row r="585" spans="1:22" ht="12.75" customHeight="1" x14ac:dyDescent="0.2">
      <c r="A585" s="6" t="s">
        <v>270</v>
      </c>
      <c r="B585" s="6" t="s">
        <v>15</v>
      </c>
      <c r="C585" s="7">
        <v>199180</v>
      </c>
      <c r="D585" s="8">
        <v>302288.39999999997</v>
      </c>
      <c r="E585" s="9" t="s">
        <v>16</v>
      </c>
      <c r="F585" s="23">
        <v>208</v>
      </c>
      <c r="G585" s="25"/>
      <c r="H585" s="14">
        <f t="shared" si="525"/>
        <v>0.55000000000000004</v>
      </c>
      <c r="I585" s="25">
        <f ca="1">IFERROR(__xludf.DUMMYFUNCTION("ROUND(D585*GOOGLEFINANCE(""RUBKZT"")*H585)"),1297403)</f>
        <v>1297403</v>
      </c>
      <c r="J585" s="26">
        <f ca="1">IFERROR(__xludf.DUMMYFUNCTION("ROUND(I585*GOOGLEFINANCE(""KZTEUR""))"),2717)</f>
        <v>2717</v>
      </c>
      <c r="K585" s="26">
        <f t="shared" ca="1" si="526"/>
        <v>13063</v>
      </c>
      <c r="L585" s="26">
        <f t="shared" ca="1" si="527"/>
        <v>2481.9700000000003</v>
      </c>
      <c r="M585" s="26">
        <f t="shared" ref="M585:N585" si="601">M$3</f>
        <v>500</v>
      </c>
      <c r="N585" s="26">
        <f t="shared" si="601"/>
        <v>500</v>
      </c>
      <c r="O585" s="26">
        <f ca="1">IFERROR(__xludf.DUMMYFUNCTION("ROUND(GOOGLEFINANCE(""Currency:EURKZT"")*K585)"),6238492)</f>
        <v>6238492</v>
      </c>
      <c r="P585" s="26">
        <f ca="1">IFERROR(__xludf.DUMMYFUNCTION("ROUND(GOOGLEFINANCE(""Currency:EURKZT"")*M585)"),238785)</f>
        <v>238785</v>
      </c>
      <c r="Q585" s="26">
        <f ca="1">IFERROR(__xludf.DUMMYFUNCTION("ROUND(GOOGLEFINANCE(""Currency:EURKZT"")*N585)"),238785)</f>
        <v>238785</v>
      </c>
      <c r="R585" s="26">
        <f t="shared" ca="1" si="529"/>
        <v>748619</v>
      </c>
      <c r="S585" s="26">
        <f t="shared" ca="1" si="530"/>
        <v>7464681</v>
      </c>
      <c r="T585" s="26">
        <f ca="1">IFERROR(__xludf.DUMMYFUNCTION("ROUND(GOOGLEFINANCE(""Currency:EURKZT"")*L585+S585)"),8649994)</f>
        <v>8649994</v>
      </c>
      <c r="U585" s="26">
        <f ca="1">IFERROR(__xludf.DUMMYFUNCTION("D585*GOOGLEFINANCE(""RUBKZT"")*1000/F585"),11340934.7946851)</f>
        <v>11340934.794685099</v>
      </c>
      <c r="V585" s="27">
        <f t="shared" ca="1" si="531"/>
        <v>0.31109163713698523</v>
      </c>
    </row>
    <row r="586" spans="1:22" ht="12.75" customHeight="1" x14ac:dyDescent="0.2">
      <c r="A586" s="6" t="s">
        <v>387</v>
      </c>
      <c r="B586" s="6" t="s">
        <v>15</v>
      </c>
      <c r="C586" s="7">
        <v>199190</v>
      </c>
      <c r="D586" s="8">
        <v>82744.800000000003</v>
      </c>
      <c r="E586" s="9" t="s">
        <v>16</v>
      </c>
      <c r="F586" s="23">
        <v>208</v>
      </c>
      <c r="G586" s="25"/>
      <c r="H586" s="14">
        <f t="shared" si="525"/>
        <v>0.55000000000000004</v>
      </c>
      <c r="I586" s="25">
        <f ca="1">IFERROR(__xludf.DUMMYFUNCTION("ROUND(D586*GOOGLEFINANCE(""RUBKZT"")*H586)"),355136)</f>
        <v>355136</v>
      </c>
      <c r="J586" s="26">
        <f ca="1">IFERROR(__xludf.DUMMYFUNCTION("ROUND(I586*GOOGLEFINANCE(""KZTEUR""))"),744)</f>
        <v>744</v>
      </c>
      <c r="K586" s="26">
        <f t="shared" ca="1" si="526"/>
        <v>3577</v>
      </c>
      <c r="L586" s="26">
        <f t="shared" ca="1" si="527"/>
        <v>679.63</v>
      </c>
      <c r="M586" s="26">
        <f t="shared" ref="M586:N586" si="602">M$3</f>
        <v>500</v>
      </c>
      <c r="N586" s="26">
        <f t="shared" si="602"/>
        <v>500</v>
      </c>
      <c r="O586" s="26">
        <f ca="1">IFERROR(__xludf.DUMMYFUNCTION("ROUND(GOOGLEFINANCE(""Currency:EURKZT"")*K586)"),1708267)</f>
        <v>1708267</v>
      </c>
      <c r="P586" s="26">
        <f ca="1">IFERROR(__xludf.DUMMYFUNCTION("ROUND(GOOGLEFINANCE(""Currency:EURKZT"")*M586)"),238785)</f>
        <v>238785</v>
      </c>
      <c r="Q586" s="26">
        <f ca="1">IFERROR(__xludf.DUMMYFUNCTION("ROUND(GOOGLEFINANCE(""Currency:EURKZT"")*N586)"),238785)</f>
        <v>238785</v>
      </c>
      <c r="R586" s="26">
        <f t="shared" ca="1" si="529"/>
        <v>204992</v>
      </c>
      <c r="S586" s="26">
        <f t="shared" ca="1" si="530"/>
        <v>2390829</v>
      </c>
      <c r="T586" s="26">
        <f ca="1">IFERROR(__xludf.DUMMYFUNCTION("ROUND(GOOGLEFINANCE(""Currency:EURKZT"")*L586+S586)"),2715400)</f>
        <v>2715400</v>
      </c>
      <c r="U586" s="26">
        <f ca="1">IFERROR(__xludf.DUMMYFUNCTION("D586*GOOGLEFINANCE(""RUBKZT"")*1000/F586"),3104331.43117389)</f>
        <v>3104331.4311738899</v>
      </c>
      <c r="V586" s="27">
        <f t="shared" ca="1" si="531"/>
        <v>0.14323172688145022</v>
      </c>
    </row>
    <row r="587" spans="1:22" ht="12.75" customHeight="1" x14ac:dyDescent="0.2">
      <c r="A587" s="6" t="s">
        <v>388</v>
      </c>
      <c r="B587" s="6" t="s">
        <v>15</v>
      </c>
      <c r="C587" s="7">
        <v>199239</v>
      </c>
      <c r="D587" s="8">
        <v>130372.79999999999</v>
      </c>
      <c r="E587" s="9" t="s">
        <v>16</v>
      </c>
      <c r="F587" s="23">
        <v>208</v>
      </c>
      <c r="G587" s="25"/>
      <c r="H587" s="14">
        <f t="shared" si="525"/>
        <v>0.55000000000000004</v>
      </c>
      <c r="I587" s="25">
        <f ca="1">IFERROR(__xludf.DUMMYFUNCTION("ROUND(D587*GOOGLEFINANCE(""RUBKZT"")*H587)"),559552)</f>
        <v>559552</v>
      </c>
      <c r="J587" s="26">
        <f ca="1">IFERROR(__xludf.DUMMYFUNCTION("ROUND(I587*GOOGLEFINANCE(""KZTEUR""))"),1172)</f>
        <v>1172</v>
      </c>
      <c r="K587" s="26">
        <f t="shared" ca="1" si="526"/>
        <v>5635</v>
      </c>
      <c r="L587" s="26">
        <f t="shared" ca="1" si="527"/>
        <v>1070.6500000000001</v>
      </c>
      <c r="M587" s="26">
        <f t="shared" ref="M587:N587" si="603">M$3</f>
        <v>500</v>
      </c>
      <c r="N587" s="26">
        <f t="shared" si="603"/>
        <v>500</v>
      </c>
      <c r="O587" s="26">
        <f ca="1">IFERROR(__xludf.DUMMYFUNCTION("ROUND(GOOGLEFINANCE(""Currency:EURKZT"")*K587)"),2691105)</f>
        <v>2691105</v>
      </c>
      <c r="P587" s="26">
        <f ca="1">IFERROR(__xludf.DUMMYFUNCTION("ROUND(GOOGLEFINANCE(""Currency:EURKZT"")*M587)"),238785)</f>
        <v>238785</v>
      </c>
      <c r="Q587" s="26">
        <f ca="1">IFERROR(__xludf.DUMMYFUNCTION("ROUND(GOOGLEFINANCE(""Currency:EURKZT"")*N587)"),238785)</f>
        <v>238785</v>
      </c>
      <c r="R587" s="26">
        <f t="shared" ca="1" si="529"/>
        <v>322933</v>
      </c>
      <c r="S587" s="26">
        <f t="shared" ca="1" si="530"/>
        <v>3491608</v>
      </c>
      <c r="T587" s="26">
        <f ca="1">IFERROR(__xludf.DUMMYFUNCTION("ROUND(GOOGLEFINANCE(""Currency:EURKZT"")*L587+S587)"),4002918)</f>
        <v>4002918</v>
      </c>
      <c r="U587" s="26">
        <f ca="1">IFERROR(__xludf.DUMMYFUNCTION("D587*GOOGLEFINANCE(""RUBKZT"")*1000/F587"),4891188.09653473)</f>
        <v>4891188.0965347299</v>
      </c>
      <c r="V587" s="27">
        <f t="shared" ca="1" si="531"/>
        <v>0.22190564396640899</v>
      </c>
    </row>
    <row r="588" spans="1:22" ht="12.75" customHeight="1" x14ac:dyDescent="0.2">
      <c r="A588" s="6" t="s">
        <v>393</v>
      </c>
      <c r="B588" s="6" t="s">
        <v>15</v>
      </c>
      <c r="C588" s="7">
        <v>199430</v>
      </c>
      <c r="D588" s="8">
        <v>123733.2</v>
      </c>
      <c r="E588" s="9" t="s">
        <v>16</v>
      </c>
      <c r="F588" s="23">
        <v>208</v>
      </c>
      <c r="G588" s="25"/>
      <c r="H588" s="14">
        <f t="shared" si="525"/>
        <v>0.55000000000000004</v>
      </c>
      <c r="I588" s="25">
        <f ca="1">IFERROR(__xludf.DUMMYFUNCTION("ROUND(D588*GOOGLEFINANCE(""RUBKZT"")*H588)"),531055)</f>
        <v>531055</v>
      </c>
      <c r="J588" s="26">
        <f ca="1">IFERROR(__xludf.DUMMYFUNCTION("ROUND(I588*GOOGLEFINANCE(""KZTEUR""))"),1112)</f>
        <v>1112</v>
      </c>
      <c r="K588" s="26">
        <f t="shared" ca="1" si="526"/>
        <v>5346</v>
      </c>
      <c r="L588" s="26">
        <f t="shared" ca="1" si="527"/>
        <v>1015.74</v>
      </c>
      <c r="M588" s="26">
        <f t="shared" ref="M588:N588" si="604">M$3</f>
        <v>500</v>
      </c>
      <c r="N588" s="26">
        <f t="shared" si="604"/>
        <v>500</v>
      </c>
      <c r="O588" s="26">
        <f ca="1">IFERROR(__xludf.DUMMYFUNCTION("ROUND(GOOGLEFINANCE(""Currency:EURKZT"")*K588)"),2553087)</f>
        <v>2553087</v>
      </c>
      <c r="P588" s="26">
        <f ca="1">IFERROR(__xludf.DUMMYFUNCTION("ROUND(GOOGLEFINANCE(""Currency:EURKZT"")*M588)"),238785)</f>
        <v>238785</v>
      </c>
      <c r="Q588" s="26">
        <f ca="1">IFERROR(__xludf.DUMMYFUNCTION("ROUND(GOOGLEFINANCE(""Currency:EURKZT"")*N588)"),238785)</f>
        <v>238785</v>
      </c>
      <c r="R588" s="26">
        <f t="shared" ca="1" si="529"/>
        <v>306370</v>
      </c>
      <c r="S588" s="26">
        <f t="shared" ca="1" si="530"/>
        <v>3337027</v>
      </c>
      <c r="T588" s="26">
        <f ca="1">IFERROR(__xludf.DUMMYFUNCTION("ROUND(GOOGLEFINANCE(""Currency:EURKZT"")*L588+S588)"),3822114)</f>
        <v>3822114</v>
      </c>
      <c r="U588" s="26">
        <f ca="1">IFERROR(__xludf.DUMMYFUNCTION("D588*GOOGLEFINANCE(""RUBKZT"")*1000/F588"),4642090.64303406)</f>
        <v>4642090.6430340596</v>
      </c>
      <c r="V588" s="27">
        <f t="shared" ca="1" si="531"/>
        <v>0.21453484721650362</v>
      </c>
    </row>
    <row r="589" spans="1:22" ht="12.75" customHeight="1" x14ac:dyDescent="0.2">
      <c r="A589" s="6" t="s">
        <v>394</v>
      </c>
      <c r="B589" s="6" t="s">
        <v>15</v>
      </c>
      <c r="C589" s="7">
        <v>199433</v>
      </c>
      <c r="D589" s="8">
        <v>92767.2</v>
      </c>
      <c r="E589" s="9" t="s">
        <v>16</v>
      </c>
      <c r="F589" s="23">
        <v>208</v>
      </c>
      <c r="G589" s="25"/>
      <c r="H589" s="14">
        <f t="shared" si="525"/>
        <v>0.55000000000000004</v>
      </c>
      <c r="I589" s="25">
        <f ca="1">IFERROR(__xludf.DUMMYFUNCTION("ROUND(D589*GOOGLEFINANCE(""RUBKZT"")*H589)"),398151)</f>
        <v>398151</v>
      </c>
      <c r="J589" s="26">
        <f ca="1">IFERROR(__xludf.DUMMYFUNCTION("ROUND(I589*GOOGLEFINANCE(""KZTEUR""))"),834)</f>
        <v>834</v>
      </c>
      <c r="K589" s="26">
        <f t="shared" ca="1" si="526"/>
        <v>4010</v>
      </c>
      <c r="L589" s="26">
        <f t="shared" ca="1" si="527"/>
        <v>761.9</v>
      </c>
      <c r="M589" s="26">
        <f t="shared" ref="M589:N589" si="605">M$3</f>
        <v>500</v>
      </c>
      <c r="N589" s="26">
        <f t="shared" si="605"/>
        <v>500</v>
      </c>
      <c r="O589" s="26">
        <f ca="1">IFERROR(__xludf.DUMMYFUNCTION("ROUND(GOOGLEFINANCE(""Currency:EURKZT"")*K589)"),1915054)</f>
        <v>1915054</v>
      </c>
      <c r="P589" s="26">
        <f ca="1">IFERROR(__xludf.DUMMYFUNCTION("ROUND(GOOGLEFINANCE(""Currency:EURKZT"")*M589)"),238785)</f>
        <v>238785</v>
      </c>
      <c r="Q589" s="26">
        <f ca="1">IFERROR(__xludf.DUMMYFUNCTION("ROUND(GOOGLEFINANCE(""Currency:EURKZT"")*N589)"),238785)</f>
        <v>238785</v>
      </c>
      <c r="R589" s="26">
        <f t="shared" ca="1" si="529"/>
        <v>229806</v>
      </c>
      <c r="S589" s="26">
        <f t="shared" ca="1" si="530"/>
        <v>2622430</v>
      </c>
      <c r="T589" s="26">
        <f ca="1">IFERROR(__xludf.DUMMYFUNCTION("ROUND(GOOGLEFINANCE(""Currency:EURKZT"")*L589+S589)"),2986290)</f>
        <v>2986290</v>
      </c>
      <c r="U589" s="26">
        <f ca="1">IFERROR(__xludf.DUMMYFUNCTION("D589*GOOGLEFINANCE(""RUBKZT"")*1000/F589"),3480341.17844256)</f>
        <v>3480341.1784425601</v>
      </c>
      <c r="V589" s="27">
        <f t="shared" ca="1" si="531"/>
        <v>0.1654397859694002</v>
      </c>
    </row>
    <row r="590" spans="1:22" ht="12.75" customHeight="1" x14ac:dyDescent="0.2">
      <c r="A590" s="6" t="s">
        <v>395</v>
      </c>
      <c r="B590" s="6" t="s">
        <v>15</v>
      </c>
      <c r="C590" s="7">
        <v>199506</v>
      </c>
      <c r="D590" s="8">
        <v>241923.59999999998</v>
      </c>
      <c r="E590" s="9" t="s">
        <v>16</v>
      </c>
      <c r="F590" s="23">
        <v>208</v>
      </c>
      <c r="G590" s="25"/>
      <c r="H590" s="14">
        <f t="shared" si="525"/>
        <v>0.55000000000000004</v>
      </c>
      <c r="I590" s="25">
        <f ca="1">IFERROR(__xludf.DUMMYFUNCTION("ROUND(D590*GOOGLEFINANCE(""RUBKZT"")*H590)"),1038321)</f>
        <v>1038321</v>
      </c>
      <c r="J590" s="26">
        <f ca="1">IFERROR(__xludf.DUMMYFUNCTION("ROUND(I590*GOOGLEFINANCE(""KZTEUR""))"),2175)</f>
        <v>2175</v>
      </c>
      <c r="K590" s="26">
        <f t="shared" ca="1" si="526"/>
        <v>10457</v>
      </c>
      <c r="L590" s="26">
        <f t="shared" ca="1" si="527"/>
        <v>1986.83</v>
      </c>
      <c r="M590" s="26">
        <f t="shared" ref="M590:N590" si="606">M$3</f>
        <v>500</v>
      </c>
      <c r="N590" s="26">
        <f t="shared" si="606"/>
        <v>500</v>
      </c>
      <c r="O590" s="26">
        <f ca="1">IFERROR(__xludf.DUMMYFUNCTION("ROUND(GOOGLEFINANCE(""Currency:EURKZT"")*K590)"),4993945)</f>
        <v>4993945</v>
      </c>
      <c r="P590" s="26">
        <f ca="1">IFERROR(__xludf.DUMMYFUNCTION("ROUND(GOOGLEFINANCE(""Currency:EURKZT"")*M590)"),238785)</f>
        <v>238785</v>
      </c>
      <c r="Q590" s="26">
        <f ca="1">IFERROR(__xludf.DUMMYFUNCTION("ROUND(GOOGLEFINANCE(""Currency:EURKZT"")*N590)"),238785)</f>
        <v>238785</v>
      </c>
      <c r="R590" s="26">
        <f t="shared" ca="1" si="529"/>
        <v>599273</v>
      </c>
      <c r="S590" s="26">
        <f t="shared" ca="1" si="530"/>
        <v>6070788</v>
      </c>
      <c r="T590" s="26">
        <f ca="1">IFERROR(__xludf.DUMMYFUNCTION("ROUND(GOOGLEFINANCE(""Currency:EURKZT"")*L590+S590)"),7019638)</f>
        <v>7019638</v>
      </c>
      <c r="U590" s="26">
        <f ca="1">IFERROR(__xludf.DUMMYFUNCTION("D590*GOOGLEFINANCE(""RUBKZT"")*1000/F590"),9076232.40883705)</f>
        <v>9076232.4088370502</v>
      </c>
      <c r="V590" s="27">
        <f t="shared" ca="1" si="531"/>
        <v>0.29297727444592586</v>
      </c>
    </row>
    <row r="591" spans="1:22" ht="12.75" customHeight="1" x14ac:dyDescent="0.2">
      <c r="A591" s="6" t="s">
        <v>396</v>
      </c>
      <c r="B591" s="6" t="s">
        <v>15</v>
      </c>
      <c r="C591" s="7">
        <v>199603</v>
      </c>
      <c r="D591" s="8">
        <v>120694.79999999999</v>
      </c>
      <c r="E591" s="9" t="s">
        <v>7</v>
      </c>
      <c r="F591" s="23">
        <v>208</v>
      </c>
      <c r="G591" s="25"/>
      <c r="H591" s="14">
        <f t="shared" si="525"/>
        <v>0.55000000000000004</v>
      </c>
      <c r="I591" s="25">
        <f ca="1">IFERROR(__xludf.DUMMYFUNCTION("ROUND(D591*GOOGLEFINANCE(""RUBKZT"")*H591)"),518015)</f>
        <v>518015</v>
      </c>
      <c r="J591" s="26">
        <f ca="1">IFERROR(__xludf.DUMMYFUNCTION("ROUND(I591*GOOGLEFINANCE(""KZTEUR""))"),1085)</f>
        <v>1085</v>
      </c>
      <c r="K591" s="26">
        <f t="shared" ca="1" si="526"/>
        <v>5216</v>
      </c>
      <c r="L591" s="26">
        <f t="shared" ca="1" si="527"/>
        <v>991.04</v>
      </c>
      <c r="M591" s="26">
        <f t="shared" ref="M591:N591" si="607">M$3</f>
        <v>500</v>
      </c>
      <c r="N591" s="26">
        <f t="shared" si="607"/>
        <v>500</v>
      </c>
      <c r="O591" s="26">
        <f ca="1">IFERROR(__xludf.DUMMYFUNCTION("ROUND(GOOGLEFINANCE(""Currency:EURKZT"")*K591)"),2491003)</f>
        <v>2491003</v>
      </c>
      <c r="P591" s="26">
        <f ca="1">IFERROR(__xludf.DUMMYFUNCTION("ROUND(GOOGLEFINANCE(""Currency:EURKZT"")*M591)"),238785)</f>
        <v>238785</v>
      </c>
      <c r="Q591" s="26">
        <f ca="1">IFERROR(__xludf.DUMMYFUNCTION("ROUND(GOOGLEFINANCE(""Currency:EURKZT"")*N591)"),238785)</f>
        <v>238785</v>
      </c>
      <c r="R591" s="26">
        <f t="shared" ca="1" si="529"/>
        <v>298920</v>
      </c>
      <c r="S591" s="26">
        <f t="shared" ca="1" si="530"/>
        <v>3267493</v>
      </c>
      <c r="T591" s="26">
        <f ca="1">IFERROR(__xludf.DUMMYFUNCTION("ROUND(GOOGLEFINANCE(""Currency:EURKZT"")*L591+S591)"),3740784)</f>
        <v>3740784</v>
      </c>
      <c r="U591" s="26">
        <f ca="1">IFERROR(__xludf.DUMMYFUNCTION("D591*GOOGLEFINANCE(""RUBKZT"")*1000/F591"),4528099.182296)</f>
        <v>4528099.1822960004</v>
      </c>
      <c r="V591" s="27">
        <f t="shared" ca="1" si="531"/>
        <v>0.2104679613407244</v>
      </c>
    </row>
    <row r="592" spans="1:22" ht="12.75" customHeight="1" x14ac:dyDescent="0.2">
      <c r="A592" s="6" t="s">
        <v>397</v>
      </c>
      <c r="B592" s="6" t="s">
        <v>15</v>
      </c>
      <c r="C592" s="7">
        <v>199635</v>
      </c>
      <c r="D592" s="8">
        <v>262580.39999999997</v>
      </c>
      <c r="E592" s="9" t="s">
        <v>16</v>
      </c>
      <c r="F592" s="23">
        <v>208</v>
      </c>
      <c r="G592" s="25"/>
      <c r="H592" s="14">
        <f t="shared" si="525"/>
        <v>0.55000000000000004</v>
      </c>
      <c r="I592" s="25">
        <f ca="1">IFERROR(__xludf.DUMMYFUNCTION("ROUND(D592*GOOGLEFINANCE(""RUBKZT"")*H592)"),1126979)</f>
        <v>1126979</v>
      </c>
      <c r="J592" s="26">
        <f ca="1">IFERROR(__xludf.DUMMYFUNCTION("ROUND(I592*GOOGLEFINANCE(""KZTEUR""))"),2360)</f>
        <v>2360</v>
      </c>
      <c r="K592" s="26">
        <f t="shared" ca="1" si="526"/>
        <v>11346</v>
      </c>
      <c r="L592" s="26">
        <f t="shared" ca="1" si="527"/>
        <v>2155.7400000000002</v>
      </c>
      <c r="M592" s="26">
        <f t="shared" ref="M592:N592" si="608">M$3</f>
        <v>500</v>
      </c>
      <c r="N592" s="26">
        <f t="shared" si="608"/>
        <v>500</v>
      </c>
      <c r="O592" s="26">
        <f ca="1">IFERROR(__xludf.DUMMYFUNCTION("ROUND(GOOGLEFINANCE(""Currency:EURKZT"")*K592)"),5418505)</f>
        <v>5418505</v>
      </c>
      <c r="P592" s="26">
        <f ca="1">IFERROR(__xludf.DUMMYFUNCTION("ROUND(GOOGLEFINANCE(""Currency:EURKZT"")*M592)"),238785)</f>
        <v>238785</v>
      </c>
      <c r="Q592" s="26">
        <f ca="1">IFERROR(__xludf.DUMMYFUNCTION("ROUND(GOOGLEFINANCE(""Currency:EURKZT"")*N592)"),238785)</f>
        <v>238785</v>
      </c>
      <c r="R592" s="26">
        <f t="shared" ca="1" si="529"/>
        <v>650221</v>
      </c>
      <c r="S592" s="26">
        <f t="shared" ca="1" si="530"/>
        <v>6546296</v>
      </c>
      <c r="T592" s="26">
        <f ca="1">IFERROR(__xludf.DUMMYFUNCTION("ROUND(GOOGLEFINANCE(""Currency:EURKZT"")*L592+S592)"),7575812)</f>
        <v>7575812</v>
      </c>
      <c r="U592" s="26">
        <f ca="1">IFERROR(__xludf.DUMMYFUNCTION("D592*GOOGLEFINANCE(""RUBKZT"")*1000/F592"),9851212.26868894)</f>
        <v>9851212.2686889395</v>
      </c>
      <c r="V592" s="27">
        <f t="shared" ca="1" si="531"/>
        <v>0.3003506777476711</v>
      </c>
    </row>
    <row r="593" spans="1:22" ht="12.75" customHeight="1" x14ac:dyDescent="0.2">
      <c r="A593" s="6" t="s">
        <v>398</v>
      </c>
      <c r="B593" s="6" t="s">
        <v>15</v>
      </c>
      <c r="C593" s="7">
        <v>199641</v>
      </c>
      <c r="D593" s="8">
        <v>274812</v>
      </c>
      <c r="E593" s="9" t="s">
        <v>16</v>
      </c>
      <c r="F593" s="23">
        <v>208</v>
      </c>
      <c r="G593" s="25"/>
      <c r="H593" s="14">
        <f t="shared" si="525"/>
        <v>0.55000000000000004</v>
      </c>
      <c r="I593" s="25">
        <f ca="1">IFERROR(__xludf.DUMMYFUNCTION("ROUND(D593*GOOGLEFINANCE(""RUBKZT"")*H593)"),1179476)</f>
        <v>1179476</v>
      </c>
      <c r="J593" s="26">
        <f ca="1">IFERROR(__xludf.DUMMYFUNCTION("ROUND(I593*GOOGLEFINANCE(""KZTEUR""))"),2470)</f>
        <v>2470</v>
      </c>
      <c r="K593" s="26">
        <f t="shared" ca="1" si="526"/>
        <v>11875</v>
      </c>
      <c r="L593" s="26">
        <f t="shared" ca="1" si="527"/>
        <v>2256.25</v>
      </c>
      <c r="M593" s="26">
        <f t="shared" ref="M593:N593" si="609">M$3</f>
        <v>500</v>
      </c>
      <c r="N593" s="26">
        <f t="shared" si="609"/>
        <v>500</v>
      </c>
      <c r="O593" s="26">
        <f ca="1">IFERROR(__xludf.DUMMYFUNCTION("ROUND(GOOGLEFINANCE(""Currency:EURKZT"")*K593)"),5671139)</f>
        <v>5671139</v>
      </c>
      <c r="P593" s="26">
        <f ca="1">IFERROR(__xludf.DUMMYFUNCTION("ROUND(GOOGLEFINANCE(""Currency:EURKZT"")*M593)"),238785)</f>
        <v>238785</v>
      </c>
      <c r="Q593" s="26">
        <f ca="1">IFERROR(__xludf.DUMMYFUNCTION("ROUND(GOOGLEFINANCE(""Currency:EURKZT"")*N593)"),238785)</f>
        <v>238785</v>
      </c>
      <c r="R593" s="26">
        <f t="shared" ca="1" si="529"/>
        <v>680537</v>
      </c>
      <c r="S593" s="26">
        <f t="shared" ca="1" si="530"/>
        <v>6829246</v>
      </c>
      <c r="T593" s="26">
        <f ca="1">IFERROR(__xludf.DUMMYFUNCTION("ROUND(GOOGLEFINANCE(""Currency:EURKZT"")*L593+S593)"),7906762)</f>
        <v>7906762</v>
      </c>
      <c r="U593" s="26">
        <f ca="1">IFERROR(__xludf.DUMMYFUNCTION("D593*GOOGLEFINANCE(""RUBKZT"")*1000/F593"),10310104.4327106)</f>
        <v>10310104.432710599</v>
      </c>
      <c r="V593" s="27">
        <f t="shared" ca="1" si="531"/>
        <v>0.30396038640224649</v>
      </c>
    </row>
    <row r="594" spans="1:22" ht="12.75" customHeight="1" x14ac:dyDescent="0.2">
      <c r="A594" s="6" t="s">
        <v>399</v>
      </c>
      <c r="B594" s="6" t="s">
        <v>15</v>
      </c>
      <c r="C594" s="7">
        <v>199648</v>
      </c>
      <c r="D594" s="8">
        <v>229886.4</v>
      </c>
      <c r="E594" s="9" t="s">
        <v>16</v>
      </c>
      <c r="F594" s="23">
        <v>208</v>
      </c>
      <c r="G594" s="25"/>
      <c r="H594" s="14">
        <f t="shared" si="525"/>
        <v>0.55000000000000004</v>
      </c>
      <c r="I594" s="25">
        <f ca="1">IFERROR(__xludf.DUMMYFUNCTION("ROUND(D594*GOOGLEFINANCE(""RUBKZT"")*H594)"),986658)</f>
        <v>986658</v>
      </c>
      <c r="J594" s="26">
        <f ca="1">IFERROR(__xludf.DUMMYFUNCTION("ROUND(I594*GOOGLEFINANCE(""KZTEUR""))"),2066)</f>
        <v>2066</v>
      </c>
      <c r="K594" s="26">
        <f t="shared" ca="1" si="526"/>
        <v>9933</v>
      </c>
      <c r="L594" s="26">
        <f t="shared" ca="1" si="527"/>
        <v>1887.27</v>
      </c>
      <c r="M594" s="26">
        <f t="shared" ref="M594:N594" si="610">M$3</f>
        <v>500</v>
      </c>
      <c r="N594" s="26">
        <f t="shared" si="610"/>
        <v>500</v>
      </c>
      <c r="O594" s="26">
        <f ca="1">IFERROR(__xludf.DUMMYFUNCTION("ROUND(GOOGLEFINANCE(""Currency:EURKZT"")*K594)"),4743699)</f>
        <v>4743699</v>
      </c>
      <c r="P594" s="26">
        <f ca="1">IFERROR(__xludf.DUMMYFUNCTION("ROUND(GOOGLEFINANCE(""Currency:EURKZT"")*M594)"),238785)</f>
        <v>238785</v>
      </c>
      <c r="Q594" s="26">
        <f ca="1">IFERROR(__xludf.DUMMYFUNCTION("ROUND(GOOGLEFINANCE(""Currency:EURKZT"")*N594)"),238785)</f>
        <v>238785</v>
      </c>
      <c r="R594" s="26">
        <f t="shared" ca="1" si="529"/>
        <v>569244</v>
      </c>
      <c r="S594" s="26">
        <f t="shared" ca="1" si="530"/>
        <v>5790513</v>
      </c>
      <c r="T594" s="26">
        <f ca="1">IFERROR(__xludf.DUMMYFUNCTION("ROUND(GOOGLEFINANCE(""Currency:EURKZT"")*L594+S594)"),6691816)</f>
        <v>6691816</v>
      </c>
      <c r="U594" s="26">
        <f ca="1">IFERROR(__xludf.DUMMYFUNCTION("D594*GOOGLEFINANCE(""RUBKZT"")*1000/F594"),8624633.53732698)</f>
        <v>8624633.5373269804</v>
      </c>
      <c r="V594" s="27">
        <f t="shared" ca="1" si="531"/>
        <v>0.288833036850831</v>
      </c>
    </row>
    <row r="595" spans="1:22" ht="12.75" customHeight="1" x14ac:dyDescent="0.2">
      <c r="A595" s="6" t="s">
        <v>401</v>
      </c>
      <c r="B595" s="6" t="s">
        <v>15</v>
      </c>
      <c r="C595" s="7">
        <v>199672</v>
      </c>
      <c r="D595" s="8">
        <v>232034.4</v>
      </c>
      <c r="E595" s="9" t="s">
        <v>16</v>
      </c>
      <c r="F595" s="23">
        <v>208</v>
      </c>
      <c r="G595" s="25"/>
      <c r="H595" s="14">
        <f t="shared" si="525"/>
        <v>0.55000000000000004</v>
      </c>
      <c r="I595" s="25">
        <f ca="1">IFERROR(__xludf.DUMMYFUNCTION("ROUND(D595*GOOGLEFINANCE(""RUBKZT"")*H595)"),995877)</f>
        <v>995877</v>
      </c>
      <c r="J595" s="26">
        <f ca="1">IFERROR(__xludf.DUMMYFUNCTION("ROUND(I595*GOOGLEFINANCE(""KZTEUR""))"),2086)</f>
        <v>2086</v>
      </c>
      <c r="K595" s="26">
        <f t="shared" ca="1" si="526"/>
        <v>10029</v>
      </c>
      <c r="L595" s="26">
        <f t="shared" ca="1" si="527"/>
        <v>1905.51</v>
      </c>
      <c r="M595" s="26">
        <f t="shared" ref="M595:N595" si="611">M$3</f>
        <v>500</v>
      </c>
      <c r="N595" s="26">
        <f t="shared" si="611"/>
        <v>500</v>
      </c>
      <c r="O595" s="26">
        <f ca="1">IFERROR(__xludf.DUMMYFUNCTION("ROUND(GOOGLEFINANCE(""Currency:EURKZT"")*K595)"),4789546)</f>
        <v>4789546</v>
      </c>
      <c r="P595" s="26">
        <f ca="1">IFERROR(__xludf.DUMMYFUNCTION("ROUND(GOOGLEFINANCE(""Currency:EURKZT"")*M595)"),238785)</f>
        <v>238785</v>
      </c>
      <c r="Q595" s="26">
        <f ca="1">IFERROR(__xludf.DUMMYFUNCTION("ROUND(GOOGLEFINANCE(""Currency:EURKZT"")*N595)"),238785)</f>
        <v>238785</v>
      </c>
      <c r="R595" s="26">
        <f t="shared" ca="1" si="529"/>
        <v>574746</v>
      </c>
      <c r="S595" s="26">
        <f t="shared" ca="1" si="530"/>
        <v>5841862</v>
      </c>
      <c r="T595" s="26">
        <f ca="1">IFERROR(__xludf.DUMMYFUNCTION("ROUND(GOOGLEFINANCE(""Currency:EURKZT"")*L595+S595)"),6751876)</f>
        <v>6751876</v>
      </c>
      <c r="U595" s="26">
        <f ca="1">IFERROR(__xludf.DUMMYFUNCTION("D595*GOOGLEFINANCE(""RUBKZT"")*1000/F595"),8705219.9175486)</f>
        <v>8705219.9175486006</v>
      </c>
      <c r="V595" s="27">
        <f t="shared" ca="1" si="531"/>
        <v>0.28930387903282001</v>
      </c>
    </row>
    <row r="596" spans="1:22" ht="12.75" customHeight="1" x14ac:dyDescent="0.2">
      <c r="A596" s="6" t="s">
        <v>409</v>
      </c>
      <c r="B596" s="6" t="s">
        <v>15</v>
      </c>
      <c r="C596" s="7">
        <v>201303</v>
      </c>
      <c r="D596" s="8">
        <v>110193.59999999999</v>
      </c>
      <c r="E596" s="9" t="s">
        <v>16</v>
      </c>
      <c r="F596" s="23">
        <v>208</v>
      </c>
      <c r="G596" s="25"/>
      <c r="H596" s="14">
        <f t="shared" si="525"/>
        <v>0.55000000000000004</v>
      </c>
      <c r="I596" s="25">
        <f ca="1">IFERROR(__xludf.DUMMYFUNCTION("ROUND(D596*GOOGLEFINANCE(""RUBKZT"")*H596)"),472944)</f>
        <v>472944</v>
      </c>
      <c r="J596" s="26">
        <f ca="1">IFERROR(__xludf.DUMMYFUNCTION("ROUND(I596*GOOGLEFINANCE(""KZTEUR""))"),990)</f>
        <v>990</v>
      </c>
      <c r="K596" s="26">
        <f t="shared" ca="1" si="526"/>
        <v>4760</v>
      </c>
      <c r="L596" s="26">
        <f t="shared" ca="1" si="527"/>
        <v>904.4</v>
      </c>
      <c r="M596" s="26">
        <f t="shared" ref="M596:N596" si="612">M$3</f>
        <v>500</v>
      </c>
      <c r="N596" s="26">
        <f t="shared" si="612"/>
        <v>500</v>
      </c>
      <c r="O596" s="26">
        <f ca="1">IFERROR(__xludf.DUMMYFUNCTION("ROUND(GOOGLEFINANCE(""Currency:EURKZT"")*K596)"),2273231)</f>
        <v>2273231</v>
      </c>
      <c r="P596" s="26">
        <f ca="1">IFERROR(__xludf.DUMMYFUNCTION("ROUND(GOOGLEFINANCE(""Currency:EURKZT"")*M596)"),238785)</f>
        <v>238785</v>
      </c>
      <c r="Q596" s="26">
        <f ca="1">IFERROR(__xludf.DUMMYFUNCTION("ROUND(GOOGLEFINANCE(""Currency:EURKZT"")*N596)"),238785)</f>
        <v>238785</v>
      </c>
      <c r="R596" s="26">
        <f t="shared" ca="1" si="529"/>
        <v>272788</v>
      </c>
      <c r="S596" s="26">
        <f t="shared" ca="1" si="530"/>
        <v>3023589</v>
      </c>
      <c r="T596" s="26">
        <f ca="1">IFERROR(__xludf.DUMMYFUNCTION("ROUND(GOOGLEFINANCE(""Currency:EURKZT"")*L596+S596)"),3455503)</f>
        <v>3455503</v>
      </c>
      <c r="U596" s="26">
        <f ca="1">IFERROR(__xludf.DUMMYFUNCTION("D596*GOOGLEFINANCE(""RUBKZT"")*1000/F596"),4134126.32569301)</f>
        <v>4134126.3256930099</v>
      </c>
      <c r="V596" s="27">
        <f t="shared" ca="1" si="531"/>
        <v>0.1963891583057546</v>
      </c>
    </row>
    <row r="597" spans="1:22" ht="12.75" customHeight="1" x14ac:dyDescent="0.2">
      <c r="A597" s="6" t="s">
        <v>412</v>
      </c>
      <c r="B597" s="6" t="s">
        <v>15</v>
      </c>
      <c r="C597" s="7">
        <v>201512</v>
      </c>
      <c r="D597" s="8">
        <v>123619.2</v>
      </c>
      <c r="E597" s="9" t="s">
        <v>16</v>
      </c>
      <c r="F597" s="23">
        <v>208</v>
      </c>
      <c r="G597" s="25"/>
      <c r="H597" s="14">
        <f t="shared" si="525"/>
        <v>0.55000000000000004</v>
      </c>
      <c r="I597" s="25">
        <f ca="1">IFERROR(__xludf.DUMMYFUNCTION("ROUND(D597*GOOGLEFINANCE(""RUBKZT"")*H597)"),530566)</f>
        <v>530566</v>
      </c>
      <c r="J597" s="26">
        <f ca="1">IFERROR(__xludf.DUMMYFUNCTION("ROUND(I597*GOOGLEFINANCE(""KZTEUR""))"),1111)</f>
        <v>1111</v>
      </c>
      <c r="K597" s="26">
        <f t="shared" ca="1" si="526"/>
        <v>5341</v>
      </c>
      <c r="L597" s="26">
        <f t="shared" ca="1" si="527"/>
        <v>1014.79</v>
      </c>
      <c r="M597" s="26">
        <f t="shared" ref="M597:N597" si="613">M$3</f>
        <v>500</v>
      </c>
      <c r="N597" s="26">
        <f t="shared" si="613"/>
        <v>500</v>
      </c>
      <c r="O597" s="26">
        <f ca="1">IFERROR(__xludf.DUMMYFUNCTION("ROUND(GOOGLEFINANCE(""Currency:EURKZT"")*K597)"),2550699)</f>
        <v>2550699</v>
      </c>
      <c r="P597" s="26">
        <f ca="1">IFERROR(__xludf.DUMMYFUNCTION("ROUND(GOOGLEFINANCE(""Currency:EURKZT"")*M597)"),238785)</f>
        <v>238785</v>
      </c>
      <c r="Q597" s="26">
        <f ca="1">IFERROR(__xludf.DUMMYFUNCTION("ROUND(GOOGLEFINANCE(""Currency:EURKZT"")*N597)"),238785)</f>
        <v>238785</v>
      </c>
      <c r="R597" s="26">
        <f t="shared" ca="1" si="529"/>
        <v>306084</v>
      </c>
      <c r="S597" s="26">
        <f t="shared" ca="1" si="530"/>
        <v>3334353</v>
      </c>
      <c r="T597" s="26">
        <f ca="1">IFERROR(__xludf.DUMMYFUNCTION("ROUND(GOOGLEFINANCE(""Currency:EURKZT"")*L597+S597)"),3818986)</f>
        <v>3818986</v>
      </c>
      <c r="U597" s="26">
        <f ca="1">IFERROR(__xludf.DUMMYFUNCTION("D597*GOOGLEFINANCE(""RUBKZT"")*1000/F597"),4637813.71224018)</f>
        <v>4637813.71224018</v>
      </c>
      <c r="V597" s="27">
        <f t="shared" ca="1" si="531"/>
        <v>0.21440971824462829</v>
      </c>
    </row>
    <row r="598" spans="1:22" ht="12.75" customHeight="1" x14ac:dyDescent="0.2">
      <c r="A598" s="6" t="s">
        <v>413</v>
      </c>
      <c r="B598" s="6" t="s">
        <v>15</v>
      </c>
      <c r="C598" s="7">
        <v>201514</v>
      </c>
      <c r="D598" s="8">
        <v>76806</v>
      </c>
      <c r="E598" s="9" t="s">
        <v>16</v>
      </c>
      <c r="F598" s="23">
        <v>208</v>
      </c>
      <c r="G598" s="25"/>
      <c r="H598" s="14">
        <f t="shared" si="525"/>
        <v>0.55000000000000004</v>
      </c>
      <c r="I598" s="25">
        <f ca="1">IFERROR(__xludf.DUMMYFUNCTION("ROUND(D598*GOOGLEFINANCE(""RUBKZT"")*H598)"),329647)</f>
        <v>329647</v>
      </c>
      <c r="J598" s="26">
        <f ca="1">IFERROR(__xludf.DUMMYFUNCTION("ROUND(I598*GOOGLEFINANCE(""KZTEUR""))"),690)</f>
        <v>690</v>
      </c>
      <c r="K598" s="26">
        <f t="shared" ca="1" si="526"/>
        <v>3317</v>
      </c>
      <c r="L598" s="26">
        <f t="shared" ca="1" si="527"/>
        <v>630.23</v>
      </c>
      <c r="M598" s="26">
        <f t="shared" ref="M598:N598" si="614">M$3</f>
        <v>500</v>
      </c>
      <c r="N598" s="26">
        <f t="shared" si="614"/>
        <v>500</v>
      </c>
      <c r="O598" s="26">
        <f ca="1">IFERROR(__xludf.DUMMYFUNCTION("ROUND(GOOGLEFINANCE(""Currency:EURKZT"")*K598)"),1584098)</f>
        <v>1584098</v>
      </c>
      <c r="P598" s="26">
        <f ca="1">IFERROR(__xludf.DUMMYFUNCTION("ROUND(GOOGLEFINANCE(""Currency:EURKZT"")*M598)"),238785)</f>
        <v>238785</v>
      </c>
      <c r="Q598" s="26">
        <f ca="1">IFERROR(__xludf.DUMMYFUNCTION("ROUND(GOOGLEFINANCE(""Currency:EURKZT"")*N598)"),238785)</f>
        <v>238785</v>
      </c>
      <c r="R598" s="26">
        <f t="shared" ca="1" si="529"/>
        <v>190092</v>
      </c>
      <c r="S598" s="26">
        <f t="shared" ca="1" si="530"/>
        <v>2251760</v>
      </c>
      <c r="T598" s="26">
        <f ca="1">IFERROR(__xludf.DUMMYFUNCTION("ROUND(GOOGLEFINANCE(""Currency:EURKZT"")*L598+S598)"),2552739)</f>
        <v>2552739</v>
      </c>
      <c r="U598" s="26">
        <f ca="1">IFERROR(__xludf.DUMMYFUNCTION("D598*GOOGLEFINANCE(""RUBKZT"")*1000/F598"),2881525.84697457)</f>
        <v>2881525.8469745698</v>
      </c>
      <c r="V598" s="27">
        <f t="shared" ca="1" si="531"/>
        <v>0.12879767456624819</v>
      </c>
    </row>
    <row r="599" spans="1:22" ht="12.75" customHeight="1" x14ac:dyDescent="0.2">
      <c r="A599" s="6" t="s">
        <v>414</v>
      </c>
      <c r="B599" s="6" t="s">
        <v>15</v>
      </c>
      <c r="C599" s="7">
        <v>201517</v>
      </c>
      <c r="D599" s="8">
        <v>83227.199999999997</v>
      </c>
      <c r="E599" s="9" t="s">
        <v>16</v>
      </c>
      <c r="F599" s="23">
        <v>208</v>
      </c>
      <c r="G599" s="25"/>
      <c r="H599" s="14">
        <f t="shared" si="525"/>
        <v>0.55000000000000004</v>
      </c>
      <c r="I599" s="25">
        <f ca="1">IFERROR(__xludf.DUMMYFUNCTION("ROUND(D599*GOOGLEFINANCE(""RUBKZT"")*H599)"),357206)</f>
        <v>357206</v>
      </c>
      <c r="J599" s="26">
        <f ca="1">IFERROR(__xludf.DUMMYFUNCTION("ROUND(I599*GOOGLEFINANCE(""KZTEUR""))"),748)</f>
        <v>748</v>
      </c>
      <c r="K599" s="26">
        <f t="shared" ca="1" si="526"/>
        <v>3596</v>
      </c>
      <c r="L599" s="26">
        <f t="shared" ca="1" si="527"/>
        <v>683.24</v>
      </c>
      <c r="M599" s="26">
        <f t="shared" ref="M599:N599" si="615">M$3</f>
        <v>500</v>
      </c>
      <c r="N599" s="26">
        <f t="shared" si="615"/>
        <v>500</v>
      </c>
      <c r="O599" s="26">
        <f ca="1">IFERROR(__xludf.DUMMYFUNCTION("ROUND(GOOGLEFINANCE(""Currency:EURKZT"")*K599)"),1717340)</f>
        <v>1717340</v>
      </c>
      <c r="P599" s="26">
        <f ca="1">IFERROR(__xludf.DUMMYFUNCTION("ROUND(GOOGLEFINANCE(""Currency:EURKZT"")*M599)"),238785)</f>
        <v>238785</v>
      </c>
      <c r="Q599" s="26">
        <f ca="1">IFERROR(__xludf.DUMMYFUNCTION("ROUND(GOOGLEFINANCE(""Currency:EURKZT"")*N599)"),238785)</f>
        <v>238785</v>
      </c>
      <c r="R599" s="26">
        <f t="shared" ca="1" si="529"/>
        <v>206081</v>
      </c>
      <c r="S599" s="26">
        <f t="shared" ca="1" si="530"/>
        <v>2400991</v>
      </c>
      <c r="T599" s="26">
        <f ca="1">IFERROR(__xludf.DUMMYFUNCTION("ROUND(GOOGLEFINANCE(""Currency:EURKZT"")*L599+S599)"),2727286)</f>
        <v>2727286</v>
      </c>
      <c r="U599" s="26">
        <f ca="1">IFERROR(__xludf.DUMMYFUNCTION("D599*GOOGLEFINANCE(""RUBKZT"")*1000/F599"),3122429.60148064)</f>
        <v>3122429.60148064</v>
      </c>
      <c r="V599" s="27">
        <f t="shared" ca="1" si="531"/>
        <v>0.14488528210119511</v>
      </c>
    </row>
    <row r="600" spans="1:22" ht="12.75" customHeight="1" x14ac:dyDescent="0.2">
      <c r="A600" s="6" t="s">
        <v>415</v>
      </c>
      <c r="B600" s="6" t="s">
        <v>15</v>
      </c>
      <c r="C600" s="7">
        <v>201531</v>
      </c>
      <c r="D600" s="8">
        <v>79533.599999999991</v>
      </c>
      <c r="E600" s="9" t="s">
        <v>16</v>
      </c>
      <c r="F600" s="23">
        <v>208</v>
      </c>
      <c r="G600" s="25"/>
      <c r="H600" s="14">
        <f t="shared" si="525"/>
        <v>0.55000000000000004</v>
      </c>
      <c r="I600" s="25">
        <f ca="1">IFERROR(__xludf.DUMMYFUNCTION("ROUND(D600*GOOGLEFINANCE(""RUBKZT"")*H600)"),341353)</f>
        <v>341353</v>
      </c>
      <c r="J600" s="26">
        <f ca="1">IFERROR(__xludf.DUMMYFUNCTION("ROUND(I600*GOOGLEFINANCE(""KZTEUR""))"),715)</f>
        <v>715</v>
      </c>
      <c r="K600" s="26">
        <f t="shared" ca="1" si="526"/>
        <v>3438</v>
      </c>
      <c r="L600" s="26">
        <f t="shared" ca="1" si="527"/>
        <v>653.22</v>
      </c>
      <c r="M600" s="26">
        <f t="shared" ref="M600:N600" si="616">M$3</f>
        <v>500</v>
      </c>
      <c r="N600" s="26">
        <f t="shared" si="616"/>
        <v>500</v>
      </c>
      <c r="O600" s="26">
        <f ca="1">IFERROR(__xludf.DUMMYFUNCTION("ROUND(GOOGLEFINANCE(""Currency:EURKZT"")*K600)"),1641884)</f>
        <v>1641884</v>
      </c>
      <c r="P600" s="26">
        <f ca="1">IFERROR(__xludf.DUMMYFUNCTION("ROUND(GOOGLEFINANCE(""Currency:EURKZT"")*M600)"),238785)</f>
        <v>238785</v>
      </c>
      <c r="Q600" s="26">
        <f ca="1">IFERROR(__xludf.DUMMYFUNCTION("ROUND(GOOGLEFINANCE(""Currency:EURKZT"")*N600)"),238785)</f>
        <v>238785</v>
      </c>
      <c r="R600" s="26">
        <f t="shared" ca="1" si="529"/>
        <v>197026</v>
      </c>
      <c r="S600" s="26">
        <f t="shared" ca="1" si="530"/>
        <v>2316480</v>
      </c>
      <c r="T600" s="26">
        <f ca="1">IFERROR(__xludf.DUMMYFUNCTION("ROUND(GOOGLEFINANCE(""Currency:EURKZT"")*L600+S600)"),2628438)</f>
        <v>2628438</v>
      </c>
      <c r="U600" s="26">
        <f ca="1">IFERROR(__xludf.DUMMYFUNCTION("D600*GOOGLEFINANCE(""RUBKZT"")*1000/F600"),2983857.04375878)</f>
        <v>2983857.0437587802</v>
      </c>
      <c r="V600" s="27">
        <f t="shared" ca="1" si="531"/>
        <v>0.13522063056415265</v>
      </c>
    </row>
    <row r="601" spans="1:22" ht="12.75" customHeight="1" x14ac:dyDescent="0.2">
      <c r="A601" s="6" t="s">
        <v>416</v>
      </c>
      <c r="B601" s="6" t="s">
        <v>15</v>
      </c>
      <c r="C601" s="7">
        <v>201542</v>
      </c>
      <c r="D601" s="8">
        <v>78314.399999999994</v>
      </c>
      <c r="E601" s="9" t="s">
        <v>7</v>
      </c>
      <c r="F601" s="23">
        <v>208</v>
      </c>
      <c r="G601" s="25"/>
      <c r="H601" s="14">
        <f t="shared" si="525"/>
        <v>0.55000000000000004</v>
      </c>
      <c r="I601" s="25">
        <f ca="1">IFERROR(__xludf.DUMMYFUNCTION("ROUND(D601*GOOGLEFINANCE(""RUBKZT"")*H601)"),336121)</f>
        <v>336121</v>
      </c>
      <c r="J601" s="26">
        <f ca="1">IFERROR(__xludf.DUMMYFUNCTION("ROUND(I601*GOOGLEFINANCE(""KZTEUR""))"),704)</f>
        <v>704</v>
      </c>
      <c r="K601" s="26">
        <f t="shared" ca="1" si="526"/>
        <v>3385</v>
      </c>
      <c r="L601" s="26">
        <f t="shared" ca="1" si="527"/>
        <v>643.15</v>
      </c>
      <c r="M601" s="26">
        <f t="shared" ref="M601:N601" si="617">M$3</f>
        <v>500</v>
      </c>
      <c r="N601" s="26">
        <f t="shared" si="617"/>
        <v>500</v>
      </c>
      <c r="O601" s="26">
        <f ca="1">IFERROR(__xludf.DUMMYFUNCTION("ROUND(GOOGLEFINANCE(""Currency:EURKZT"")*K601)"),1616573)</f>
        <v>1616573</v>
      </c>
      <c r="P601" s="26">
        <f ca="1">IFERROR(__xludf.DUMMYFUNCTION("ROUND(GOOGLEFINANCE(""Currency:EURKZT"")*M601)"),238785)</f>
        <v>238785</v>
      </c>
      <c r="Q601" s="26">
        <f ca="1">IFERROR(__xludf.DUMMYFUNCTION("ROUND(GOOGLEFINANCE(""Currency:EURKZT"")*N601)"),238785)</f>
        <v>238785</v>
      </c>
      <c r="R601" s="26">
        <f t="shared" ca="1" si="529"/>
        <v>193989</v>
      </c>
      <c r="S601" s="26">
        <f t="shared" ca="1" si="530"/>
        <v>2288132</v>
      </c>
      <c r="T601" s="26">
        <f ca="1">IFERROR(__xludf.DUMMYFUNCTION("ROUND(GOOGLEFINANCE(""Currency:EURKZT"")*L601+S601)"),2595281)</f>
        <v>2595281</v>
      </c>
      <c r="U601" s="26">
        <f ca="1">IFERROR(__xludf.DUMMYFUNCTION("D601*GOOGLEFINANCE(""RUBKZT"")*1000/F601"),2938116.39442629)</f>
        <v>2938116.3944262899</v>
      </c>
      <c r="V601" s="27">
        <f t="shared" ca="1" si="531"/>
        <v>0.1320995277298643</v>
      </c>
    </row>
    <row r="602" spans="1:22" ht="12.75" customHeight="1" x14ac:dyDescent="0.2">
      <c r="A602" s="6" t="s">
        <v>417</v>
      </c>
      <c r="B602" s="6" t="s">
        <v>15</v>
      </c>
      <c r="C602" s="7">
        <v>201546</v>
      </c>
      <c r="D602" s="8">
        <v>96216</v>
      </c>
      <c r="E602" s="9" t="s">
        <v>7</v>
      </c>
      <c r="F602" s="23">
        <v>208</v>
      </c>
      <c r="G602" s="25"/>
      <c r="H602" s="14">
        <f t="shared" si="525"/>
        <v>0.55000000000000004</v>
      </c>
      <c r="I602" s="25">
        <f ca="1">IFERROR(__xludf.DUMMYFUNCTION("ROUND(D602*GOOGLEFINANCE(""RUBKZT"")*H602)"),412953)</f>
        <v>412953</v>
      </c>
      <c r="J602" s="26">
        <f ca="1">IFERROR(__xludf.DUMMYFUNCTION("ROUND(I602*GOOGLEFINANCE(""KZTEUR""))"),865)</f>
        <v>865</v>
      </c>
      <c r="K602" s="26">
        <f t="shared" ca="1" si="526"/>
        <v>4159</v>
      </c>
      <c r="L602" s="26">
        <f t="shared" ca="1" si="527"/>
        <v>790.21</v>
      </c>
      <c r="M602" s="26">
        <f t="shared" ref="M602:N602" si="618">M$3</f>
        <v>500</v>
      </c>
      <c r="N602" s="26">
        <f t="shared" si="618"/>
        <v>500</v>
      </c>
      <c r="O602" s="26">
        <f ca="1">IFERROR(__xludf.DUMMYFUNCTION("ROUND(GOOGLEFINANCE(""Currency:EURKZT"")*K602)"),1986212)</f>
        <v>1986212</v>
      </c>
      <c r="P602" s="26">
        <f ca="1">IFERROR(__xludf.DUMMYFUNCTION("ROUND(GOOGLEFINANCE(""Currency:EURKZT"")*M602)"),238785)</f>
        <v>238785</v>
      </c>
      <c r="Q602" s="26">
        <f ca="1">IFERROR(__xludf.DUMMYFUNCTION("ROUND(GOOGLEFINANCE(""Currency:EURKZT"")*N602)"),238785)</f>
        <v>238785</v>
      </c>
      <c r="R602" s="26">
        <f t="shared" ca="1" si="529"/>
        <v>238345</v>
      </c>
      <c r="S602" s="26">
        <f t="shared" ca="1" si="530"/>
        <v>2702127</v>
      </c>
      <c r="T602" s="26">
        <f ca="1">IFERROR(__xludf.DUMMYFUNCTION("ROUND(GOOGLEFINANCE(""Currency:EURKZT"")*L602+S602)"),3079507)</f>
        <v>3079507</v>
      </c>
      <c r="U602" s="26">
        <f ca="1">IFERROR(__xludf.DUMMYFUNCTION("D602*GOOGLEFINANCE(""RUBKZT"")*1000/F602"),3609729.59003861)</f>
        <v>3609729.5900386102</v>
      </c>
      <c r="V602" s="27">
        <f t="shared" ca="1" si="531"/>
        <v>0.17217775119154141</v>
      </c>
    </row>
    <row r="603" spans="1:22" ht="12.75" customHeight="1" x14ac:dyDescent="0.2">
      <c r="A603" s="6" t="s">
        <v>422</v>
      </c>
      <c r="B603" s="6" t="s">
        <v>15</v>
      </c>
      <c r="C603" s="7">
        <v>203971</v>
      </c>
      <c r="D603" s="8">
        <v>141624</v>
      </c>
      <c r="E603" s="9" t="s">
        <v>16</v>
      </c>
      <c r="F603" s="23">
        <v>208</v>
      </c>
      <c r="G603" s="25"/>
      <c r="H603" s="14">
        <f t="shared" si="525"/>
        <v>0.55000000000000004</v>
      </c>
      <c r="I603" s="25">
        <f ca="1">IFERROR(__xludf.DUMMYFUNCTION("ROUND(D603*GOOGLEFINANCE(""RUBKZT"")*H603)"),607841)</f>
        <v>607841</v>
      </c>
      <c r="J603" s="26">
        <f ca="1">IFERROR(__xludf.DUMMYFUNCTION("ROUND(I603*GOOGLEFINANCE(""KZTEUR""))"),1273)</f>
        <v>1273</v>
      </c>
      <c r="K603" s="26">
        <f t="shared" ca="1" si="526"/>
        <v>6120</v>
      </c>
      <c r="L603" s="26">
        <f t="shared" ca="1" si="527"/>
        <v>1162.8</v>
      </c>
      <c r="M603" s="26">
        <f t="shared" ref="M603:N603" si="619">M$3</f>
        <v>500</v>
      </c>
      <c r="N603" s="26">
        <f t="shared" si="619"/>
        <v>500</v>
      </c>
      <c r="O603" s="26">
        <f ca="1">IFERROR(__xludf.DUMMYFUNCTION("ROUND(GOOGLEFINANCE(""Currency:EURKZT"")*K603)"),2922726)</f>
        <v>2922726</v>
      </c>
      <c r="P603" s="26">
        <f ca="1">IFERROR(__xludf.DUMMYFUNCTION("ROUND(GOOGLEFINANCE(""Currency:EURKZT"")*M603)"),238785)</f>
        <v>238785</v>
      </c>
      <c r="Q603" s="26">
        <f ca="1">IFERROR(__xludf.DUMMYFUNCTION("ROUND(GOOGLEFINANCE(""Currency:EURKZT"")*N603)"),238785)</f>
        <v>238785</v>
      </c>
      <c r="R603" s="26">
        <f t="shared" ca="1" si="529"/>
        <v>350727</v>
      </c>
      <c r="S603" s="26">
        <f t="shared" ca="1" si="530"/>
        <v>3751023</v>
      </c>
      <c r="T603" s="26">
        <f ca="1">IFERROR(__xludf.DUMMYFUNCTION("ROUND(GOOGLEFINANCE(""Currency:EURKZT"")*L603+S603)"),4306341)</f>
        <v>4306341</v>
      </c>
      <c r="U603" s="26">
        <f ca="1">IFERROR(__xludf.DUMMYFUNCTION("D603*GOOGLEFINANCE(""RUBKZT"")*1000/F603"),5313298.65572907)</f>
        <v>5313298.6557290703</v>
      </c>
      <c r="V603" s="27">
        <f t="shared" ca="1" si="531"/>
        <v>0.23383137929139153</v>
      </c>
    </row>
    <row r="604" spans="1:22" ht="12.75" customHeight="1" x14ac:dyDescent="0.2">
      <c r="A604" s="6" t="s">
        <v>423</v>
      </c>
      <c r="B604" s="6" t="s">
        <v>15</v>
      </c>
      <c r="C604" s="7">
        <v>203973</v>
      </c>
      <c r="D604" s="8">
        <v>111331.2</v>
      </c>
      <c r="E604" s="9" t="s">
        <v>16</v>
      </c>
      <c r="F604" s="23">
        <v>208</v>
      </c>
      <c r="G604" s="25"/>
      <c r="H604" s="14">
        <f t="shared" si="525"/>
        <v>0.55000000000000004</v>
      </c>
      <c r="I604" s="25">
        <f ca="1">IFERROR(__xludf.DUMMYFUNCTION("ROUND(D604*GOOGLEFINANCE(""RUBKZT"")*H604)"),477827)</f>
        <v>477827</v>
      </c>
      <c r="J604" s="26">
        <f ca="1">IFERROR(__xludf.DUMMYFUNCTION("ROUND(I604*GOOGLEFINANCE(""KZTEUR""))"),1001)</f>
        <v>1001</v>
      </c>
      <c r="K604" s="26">
        <f t="shared" ca="1" si="526"/>
        <v>4813</v>
      </c>
      <c r="L604" s="26">
        <f t="shared" ca="1" si="527"/>
        <v>914.47</v>
      </c>
      <c r="M604" s="26">
        <f t="shared" ref="M604:N604" si="620">M$3</f>
        <v>500</v>
      </c>
      <c r="N604" s="26">
        <f t="shared" si="620"/>
        <v>500</v>
      </c>
      <c r="O604" s="26">
        <f ca="1">IFERROR(__xludf.DUMMYFUNCTION("ROUND(GOOGLEFINANCE(""Currency:EURKZT"")*K604)"),2298543)</f>
        <v>2298543</v>
      </c>
      <c r="P604" s="26">
        <f ca="1">IFERROR(__xludf.DUMMYFUNCTION("ROUND(GOOGLEFINANCE(""Currency:EURKZT"")*M604)"),238785)</f>
        <v>238785</v>
      </c>
      <c r="Q604" s="26">
        <f ca="1">IFERROR(__xludf.DUMMYFUNCTION("ROUND(GOOGLEFINANCE(""Currency:EURKZT"")*N604)"),238785)</f>
        <v>238785</v>
      </c>
      <c r="R604" s="26">
        <f t="shared" ca="1" si="529"/>
        <v>275825</v>
      </c>
      <c r="S604" s="26">
        <f t="shared" ca="1" si="530"/>
        <v>3051938</v>
      </c>
      <c r="T604" s="26">
        <f ca="1">IFERROR(__xludf.DUMMYFUNCTION("ROUND(GOOGLEFINANCE(""Currency:EURKZT"")*L604+S604)"),3488661)</f>
        <v>3488661</v>
      </c>
      <c r="U604" s="26">
        <f ca="1">IFERROR(__xludf.DUMMYFUNCTION("D604*GOOGLEFINANCE(""RUBKZT"")*1000/F604"),4176805.59298356)</f>
        <v>4176805.5929835602</v>
      </c>
      <c r="V604" s="27">
        <f t="shared" ca="1" si="531"/>
        <v>0.19725178026284587</v>
      </c>
    </row>
    <row r="605" spans="1:22" ht="12.75" customHeight="1" x14ac:dyDescent="0.2">
      <c r="A605" s="6" t="s">
        <v>424</v>
      </c>
      <c r="B605" s="6" t="s">
        <v>15</v>
      </c>
      <c r="C605" s="7">
        <v>204085</v>
      </c>
      <c r="D605" s="8">
        <v>161563.19999999998</v>
      </c>
      <c r="E605" s="9" t="s">
        <v>16</v>
      </c>
      <c r="F605" s="23">
        <v>208</v>
      </c>
      <c r="G605" s="25"/>
      <c r="H605" s="14">
        <f t="shared" si="525"/>
        <v>0.55000000000000004</v>
      </c>
      <c r="I605" s="25">
        <f ca="1">IFERROR(__xludf.DUMMYFUNCTION("ROUND(D605*GOOGLEFINANCE(""RUBKZT"")*H605)"),693419)</f>
        <v>693419</v>
      </c>
      <c r="J605" s="26">
        <f ca="1">IFERROR(__xludf.DUMMYFUNCTION("ROUND(I605*GOOGLEFINANCE(""KZTEUR""))"),1452)</f>
        <v>1452</v>
      </c>
      <c r="K605" s="26">
        <f t="shared" ca="1" si="526"/>
        <v>6981</v>
      </c>
      <c r="L605" s="26">
        <f t="shared" ca="1" si="527"/>
        <v>1326.39</v>
      </c>
      <c r="M605" s="26">
        <f t="shared" ref="M605:N605" si="621">M$3</f>
        <v>500</v>
      </c>
      <c r="N605" s="26">
        <f t="shared" si="621"/>
        <v>500</v>
      </c>
      <c r="O605" s="26">
        <f ca="1">IFERROR(__xludf.DUMMYFUNCTION("ROUND(GOOGLEFINANCE(""Currency:EURKZT"")*K605)"),3333913)</f>
        <v>3333913</v>
      </c>
      <c r="P605" s="26">
        <f ca="1">IFERROR(__xludf.DUMMYFUNCTION("ROUND(GOOGLEFINANCE(""Currency:EURKZT"")*M605)"),238785)</f>
        <v>238785</v>
      </c>
      <c r="Q605" s="26">
        <f ca="1">IFERROR(__xludf.DUMMYFUNCTION("ROUND(GOOGLEFINANCE(""Currency:EURKZT"")*N605)"),238785)</f>
        <v>238785</v>
      </c>
      <c r="R605" s="26">
        <f t="shared" ca="1" si="529"/>
        <v>400070</v>
      </c>
      <c r="S605" s="26">
        <f t="shared" ca="1" si="530"/>
        <v>4211553</v>
      </c>
      <c r="T605" s="26">
        <f ca="1">IFERROR(__xludf.DUMMYFUNCTION("ROUND(GOOGLEFINANCE(""Currency:EURKZT"")*L605+S605)"),4844997)</f>
        <v>4844997</v>
      </c>
      <c r="U605" s="26">
        <f ca="1">IFERROR(__xludf.DUMMYFUNCTION("D605*GOOGLEFINANCE(""RUBKZT"")*1000/F605"),6061356.36174156)</f>
        <v>6061356.3617415596</v>
      </c>
      <c r="V605" s="27">
        <f t="shared" ca="1" si="531"/>
        <v>0.25105471927878587</v>
      </c>
    </row>
    <row r="606" spans="1:22" ht="12.75" customHeight="1" x14ac:dyDescent="0.2">
      <c r="A606" s="6" t="s">
        <v>425</v>
      </c>
      <c r="B606" s="6" t="s">
        <v>15</v>
      </c>
      <c r="C606" s="7">
        <v>204128</v>
      </c>
      <c r="D606" s="8">
        <v>184263.6</v>
      </c>
      <c r="E606" s="9" t="s">
        <v>16</v>
      </c>
      <c r="F606" s="23">
        <v>208</v>
      </c>
      <c r="G606" s="25"/>
      <c r="H606" s="14">
        <f t="shared" si="525"/>
        <v>0.55000000000000004</v>
      </c>
      <c r="I606" s="25">
        <f ca="1">IFERROR(__xludf.DUMMYFUNCTION("ROUND(D606*GOOGLEFINANCE(""RUBKZT"")*H606)"),790848)</f>
        <v>790848</v>
      </c>
      <c r="J606" s="26">
        <f ca="1">IFERROR(__xludf.DUMMYFUNCTION("ROUND(I606*GOOGLEFINANCE(""KZTEUR""))"),1656)</f>
        <v>1656</v>
      </c>
      <c r="K606" s="26">
        <f t="shared" ca="1" si="526"/>
        <v>7962</v>
      </c>
      <c r="L606" s="26">
        <f t="shared" ca="1" si="527"/>
        <v>1512.78</v>
      </c>
      <c r="M606" s="26">
        <f t="shared" ref="M606:N606" si="622">M$3</f>
        <v>500</v>
      </c>
      <c r="N606" s="26">
        <f t="shared" si="622"/>
        <v>500</v>
      </c>
      <c r="O606" s="26">
        <f ca="1">IFERROR(__xludf.DUMMYFUNCTION("ROUND(GOOGLEFINANCE(""Currency:EURKZT"")*K606)"),3802409)</f>
        <v>3802409</v>
      </c>
      <c r="P606" s="26">
        <f ca="1">IFERROR(__xludf.DUMMYFUNCTION("ROUND(GOOGLEFINANCE(""Currency:EURKZT"")*M606)"),238785)</f>
        <v>238785</v>
      </c>
      <c r="Q606" s="26">
        <f ca="1">IFERROR(__xludf.DUMMYFUNCTION("ROUND(GOOGLEFINANCE(""Currency:EURKZT"")*N606)"),238785)</f>
        <v>238785</v>
      </c>
      <c r="R606" s="26">
        <f t="shared" ca="1" si="529"/>
        <v>456289</v>
      </c>
      <c r="S606" s="26">
        <f t="shared" ca="1" si="530"/>
        <v>4736268</v>
      </c>
      <c r="T606" s="26">
        <f ca="1">IFERROR(__xludf.DUMMYFUNCTION("ROUND(GOOGLEFINANCE(""Currency:EURKZT"")*L606+S606)"),5458726)</f>
        <v>5458726</v>
      </c>
      <c r="U606" s="26">
        <f ca="1">IFERROR(__xludf.DUMMYFUNCTION("D606*GOOGLEFINANCE(""RUBKZT"")*1000/F606"),6913005.83361436)</f>
        <v>6913005.8336143596</v>
      </c>
      <c r="V606" s="27">
        <f t="shared" ca="1" si="531"/>
        <v>0.26641378109367636</v>
      </c>
    </row>
    <row r="607" spans="1:22" ht="12.75" customHeight="1" x14ac:dyDescent="0.2">
      <c r="A607" s="6" t="s">
        <v>426</v>
      </c>
      <c r="B607" s="6" t="s">
        <v>15</v>
      </c>
      <c r="C607" s="7">
        <v>204406</v>
      </c>
      <c r="D607" s="8">
        <v>96174</v>
      </c>
      <c r="E607" s="9" t="s">
        <v>16</v>
      </c>
      <c r="F607" s="23">
        <v>208</v>
      </c>
      <c r="G607" s="25"/>
      <c r="H607" s="14">
        <f t="shared" si="525"/>
        <v>0.55000000000000004</v>
      </c>
      <c r="I607" s="25">
        <f ca="1">IFERROR(__xludf.DUMMYFUNCTION("ROUND(D607*GOOGLEFINANCE(""RUBKZT"")*H607)"),412773)</f>
        <v>412773</v>
      </c>
      <c r="J607" s="26">
        <f ca="1">IFERROR(__xludf.DUMMYFUNCTION("ROUND(I607*GOOGLEFINANCE(""KZTEUR""))"),864)</f>
        <v>864</v>
      </c>
      <c r="K607" s="26">
        <f t="shared" ca="1" si="526"/>
        <v>4154</v>
      </c>
      <c r="L607" s="26">
        <f t="shared" ca="1" si="527"/>
        <v>789.26</v>
      </c>
      <c r="M607" s="26">
        <f t="shared" ref="M607:N607" si="623">M$3</f>
        <v>500</v>
      </c>
      <c r="N607" s="26">
        <f t="shared" si="623"/>
        <v>500</v>
      </c>
      <c r="O607" s="26">
        <f ca="1">IFERROR(__xludf.DUMMYFUNCTION("ROUND(GOOGLEFINANCE(""Currency:EURKZT"")*K607)"),1983824)</f>
        <v>1983824</v>
      </c>
      <c r="P607" s="26">
        <f ca="1">IFERROR(__xludf.DUMMYFUNCTION("ROUND(GOOGLEFINANCE(""Currency:EURKZT"")*M607)"),238785)</f>
        <v>238785</v>
      </c>
      <c r="Q607" s="26">
        <f ca="1">IFERROR(__xludf.DUMMYFUNCTION("ROUND(GOOGLEFINANCE(""Currency:EURKZT"")*N607)"),238785)</f>
        <v>238785</v>
      </c>
      <c r="R607" s="26">
        <f t="shared" ca="1" si="529"/>
        <v>238059</v>
      </c>
      <c r="S607" s="26">
        <f t="shared" ca="1" si="530"/>
        <v>2699453</v>
      </c>
      <c r="T607" s="26">
        <f ca="1">IFERROR(__xludf.DUMMYFUNCTION("ROUND(GOOGLEFINANCE(""Currency:EURKZT"")*L607+S607)"),3076380)</f>
        <v>3076380</v>
      </c>
      <c r="U607" s="26">
        <f ca="1">IFERROR(__xludf.DUMMYFUNCTION("D607*GOOGLEFINANCE(""RUBKZT"")*1000/F607"),3608153.8786935)</f>
        <v>3608153.8786935001</v>
      </c>
      <c r="V607" s="27">
        <f t="shared" ca="1" si="531"/>
        <v>0.17285701983938917</v>
      </c>
    </row>
    <row r="608" spans="1:22" ht="12.75" customHeight="1" x14ac:dyDescent="0.2">
      <c r="A608" s="6" t="s">
        <v>427</v>
      </c>
      <c r="B608" s="6" t="s">
        <v>15</v>
      </c>
      <c r="C608" s="7">
        <v>205314</v>
      </c>
      <c r="D608" s="8">
        <v>133905.60000000001</v>
      </c>
      <c r="E608" s="9" t="s">
        <v>16</v>
      </c>
      <c r="F608" s="23">
        <v>208</v>
      </c>
      <c r="G608" s="25"/>
      <c r="H608" s="14">
        <f t="shared" si="525"/>
        <v>0.55000000000000004</v>
      </c>
      <c r="I608" s="25">
        <f ca="1">IFERROR(__xludf.DUMMYFUNCTION("ROUND(D608*GOOGLEFINANCE(""RUBKZT"")*H608)"),574714)</f>
        <v>574714</v>
      </c>
      <c r="J608" s="26">
        <f ca="1">IFERROR(__xludf.DUMMYFUNCTION("ROUND(I608*GOOGLEFINANCE(""KZTEUR""))"),1204)</f>
        <v>1204</v>
      </c>
      <c r="K608" s="26">
        <f t="shared" ca="1" si="526"/>
        <v>5788</v>
      </c>
      <c r="L608" s="26">
        <f t="shared" ca="1" si="527"/>
        <v>1099.72</v>
      </c>
      <c r="M608" s="26">
        <f t="shared" ref="M608:N608" si="624">M$3</f>
        <v>500</v>
      </c>
      <c r="N608" s="26">
        <f t="shared" si="624"/>
        <v>500</v>
      </c>
      <c r="O608" s="26">
        <f ca="1">IFERROR(__xludf.DUMMYFUNCTION("ROUND(GOOGLEFINANCE(""Currency:EURKZT"")*K608)"),2764173)</f>
        <v>2764173</v>
      </c>
      <c r="P608" s="26">
        <f ca="1">IFERROR(__xludf.DUMMYFUNCTION("ROUND(GOOGLEFINANCE(""Currency:EURKZT"")*M608)"),238785)</f>
        <v>238785</v>
      </c>
      <c r="Q608" s="26">
        <f ca="1">IFERROR(__xludf.DUMMYFUNCTION("ROUND(GOOGLEFINANCE(""Currency:EURKZT"")*N608)"),238785)</f>
        <v>238785</v>
      </c>
      <c r="R608" s="26">
        <f t="shared" ca="1" si="529"/>
        <v>331701</v>
      </c>
      <c r="S608" s="26">
        <f t="shared" ca="1" si="530"/>
        <v>3573444</v>
      </c>
      <c r="T608" s="26">
        <f ca="1">IFERROR(__xludf.DUMMYFUNCTION("ROUND(GOOGLEFINANCE(""Currency:EURKZT"")*L608+S608)"),4098637)</f>
        <v>4098637</v>
      </c>
      <c r="U608" s="26">
        <f ca="1">IFERROR(__xludf.DUMMYFUNCTION("D608*GOOGLEFINANCE(""RUBKZT"")*1000/F608"),5023727.93082101)</f>
        <v>5023727.9308210099</v>
      </c>
      <c r="V608" s="27">
        <f t="shared" ca="1" si="531"/>
        <v>0.22570696815087793</v>
      </c>
    </row>
    <row r="609" spans="1:22" ht="12.75" customHeight="1" x14ac:dyDescent="0.2">
      <c r="A609" s="6" t="s">
        <v>431</v>
      </c>
      <c r="B609" s="6" t="s">
        <v>15</v>
      </c>
      <c r="C609" s="7">
        <v>205818</v>
      </c>
      <c r="D609" s="8">
        <v>142578</v>
      </c>
      <c r="E609" s="9" t="s">
        <v>16</v>
      </c>
      <c r="F609" s="23">
        <v>208</v>
      </c>
      <c r="G609" s="25"/>
      <c r="H609" s="14">
        <f t="shared" si="525"/>
        <v>0.55000000000000004</v>
      </c>
      <c r="I609" s="25">
        <f ca="1">IFERROR(__xludf.DUMMYFUNCTION("ROUND(D609*GOOGLEFINANCE(""RUBKZT"")*H609)"),611936)</f>
        <v>611936</v>
      </c>
      <c r="J609" s="26">
        <f ca="1">IFERROR(__xludf.DUMMYFUNCTION("ROUND(I609*GOOGLEFINANCE(""KZTEUR""))"),1282)</f>
        <v>1282</v>
      </c>
      <c r="K609" s="26">
        <f t="shared" ca="1" si="526"/>
        <v>6163</v>
      </c>
      <c r="L609" s="26">
        <f t="shared" ca="1" si="527"/>
        <v>1170.97</v>
      </c>
      <c r="M609" s="26">
        <f t="shared" ref="M609:N609" si="625">M$3</f>
        <v>500</v>
      </c>
      <c r="N609" s="26">
        <f t="shared" si="625"/>
        <v>500</v>
      </c>
      <c r="O609" s="26">
        <f ca="1">IFERROR(__xludf.DUMMYFUNCTION("ROUND(GOOGLEFINANCE(""Currency:EURKZT"")*K609)"),2943262)</f>
        <v>2943262</v>
      </c>
      <c r="P609" s="26">
        <f ca="1">IFERROR(__xludf.DUMMYFUNCTION("ROUND(GOOGLEFINANCE(""Currency:EURKZT"")*M609)"),238785)</f>
        <v>238785</v>
      </c>
      <c r="Q609" s="26">
        <f ca="1">IFERROR(__xludf.DUMMYFUNCTION("ROUND(GOOGLEFINANCE(""Currency:EURKZT"")*N609)"),238785)</f>
        <v>238785</v>
      </c>
      <c r="R609" s="26">
        <f t="shared" ca="1" si="529"/>
        <v>353191</v>
      </c>
      <c r="S609" s="26">
        <f t="shared" ca="1" si="530"/>
        <v>3774023</v>
      </c>
      <c r="T609" s="26">
        <f ca="1">IFERROR(__xludf.DUMMYFUNCTION("ROUND(GOOGLEFINANCE(""Currency:EURKZT"")*L609+S609)"),4333243)</f>
        <v>4333243</v>
      </c>
      <c r="U609" s="26">
        <f ca="1">IFERROR(__xludf.DUMMYFUNCTION("D609*GOOGLEFINANCE(""RUBKZT"")*1000/F609"),5349089.81342526)</f>
        <v>5349089.8134252597</v>
      </c>
      <c r="V609" s="27">
        <f t="shared" ca="1" si="531"/>
        <v>0.23443107469977098</v>
      </c>
    </row>
    <row r="610" spans="1:22" ht="12.75" customHeight="1" x14ac:dyDescent="0.2">
      <c r="A610" s="6" t="s">
        <v>432</v>
      </c>
      <c r="B610" s="6" t="s">
        <v>15</v>
      </c>
      <c r="C610" s="7">
        <v>206401</v>
      </c>
      <c r="D610" s="8">
        <v>237871.19999999998</v>
      </c>
      <c r="E610" s="9" t="s">
        <v>16</v>
      </c>
      <c r="F610" s="23">
        <v>208</v>
      </c>
      <c r="G610" s="25"/>
      <c r="H610" s="14">
        <f t="shared" si="525"/>
        <v>0.55000000000000004</v>
      </c>
      <c r="I610" s="25">
        <f ca="1">IFERROR(__xludf.DUMMYFUNCTION("ROUND(D610*GOOGLEFINANCE(""RUBKZT"")*H610)"),1020928)</f>
        <v>1020928</v>
      </c>
      <c r="J610" s="26">
        <f ca="1">IFERROR(__xludf.DUMMYFUNCTION("ROUND(I610*GOOGLEFINANCE(""KZTEUR""))"),2138)</f>
        <v>2138</v>
      </c>
      <c r="K610" s="26">
        <f t="shared" ca="1" si="526"/>
        <v>10279</v>
      </c>
      <c r="L610" s="26">
        <f t="shared" ca="1" si="527"/>
        <v>1953.01</v>
      </c>
      <c r="M610" s="26">
        <f t="shared" ref="M610:N610" si="626">M$3</f>
        <v>500</v>
      </c>
      <c r="N610" s="26">
        <f t="shared" si="626"/>
        <v>500</v>
      </c>
      <c r="O610" s="26">
        <f ca="1">IFERROR(__xludf.DUMMYFUNCTION("ROUND(GOOGLEFINANCE(""Currency:EURKZT"")*K610)"),4908938)</f>
        <v>4908938</v>
      </c>
      <c r="P610" s="26">
        <f ca="1">IFERROR(__xludf.DUMMYFUNCTION("ROUND(GOOGLEFINANCE(""Currency:EURKZT"")*M610)"),238785)</f>
        <v>238785</v>
      </c>
      <c r="Q610" s="26">
        <f ca="1">IFERROR(__xludf.DUMMYFUNCTION("ROUND(GOOGLEFINANCE(""Currency:EURKZT"")*N610)"),238785)</f>
        <v>238785</v>
      </c>
      <c r="R610" s="26">
        <f t="shared" ca="1" si="529"/>
        <v>589073</v>
      </c>
      <c r="S610" s="26">
        <f t="shared" ca="1" si="530"/>
        <v>5975581</v>
      </c>
      <c r="T610" s="26">
        <f ca="1">IFERROR(__xludf.DUMMYFUNCTION("ROUND(GOOGLEFINANCE(""Currency:EURKZT"")*L610+S610)"),6908279)</f>
        <v>6908279</v>
      </c>
      <c r="U610" s="26">
        <f ca="1">IFERROR(__xludf.DUMMYFUNCTION("D610*GOOGLEFINANCE(""RUBKZT"")*1000/F610"),8924198.77419549)</f>
        <v>8924198.7741954904</v>
      </c>
      <c r="V610" s="27">
        <f t="shared" ca="1" si="531"/>
        <v>0.29181215382231818</v>
      </c>
    </row>
    <row r="611" spans="1:22" ht="12.75" customHeight="1" x14ac:dyDescent="0.2">
      <c r="A611" s="6" t="s">
        <v>433</v>
      </c>
      <c r="B611" s="6" t="s">
        <v>15</v>
      </c>
      <c r="C611" s="7">
        <v>206716</v>
      </c>
      <c r="D611" s="8">
        <v>150670.79999999999</v>
      </c>
      <c r="E611" s="9" t="s">
        <v>16</v>
      </c>
      <c r="F611" s="23">
        <v>208</v>
      </c>
      <c r="G611" s="25"/>
      <c r="H611" s="14">
        <f t="shared" si="525"/>
        <v>0.55000000000000004</v>
      </c>
      <c r="I611" s="25">
        <f ca="1">IFERROR(__xludf.DUMMYFUNCTION("ROUND(D611*GOOGLEFINANCE(""RUBKZT"")*H611)"),646670)</f>
        <v>646670</v>
      </c>
      <c r="J611" s="26">
        <f ca="1">IFERROR(__xludf.DUMMYFUNCTION("ROUND(I611*GOOGLEFINANCE(""KZTEUR""))"),1354)</f>
        <v>1354</v>
      </c>
      <c r="K611" s="26">
        <f t="shared" ca="1" si="526"/>
        <v>6510</v>
      </c>
      <c r="L611" s="26">
        <f t="shared" ca="1" si="527"/>
        <v>1236.9000000000001</v>
      </c>
      <c r="M611" s="26">
        <f t="shared" ref="M611:N611" si="627">M$3</f>
        <v>500</v>
      </c>
      <c r="N611" s="26">
        <f t="shared" si="627"/>
        <v>500</v>
      </c>
      <c r="O611" s="26">
        <f ca="1">IFERROR(__xludf.DUMMYFUNCTION("ROUND(GOOGLEFINANCE(""Currency:EURKZT"")*K611)"),3108978)</f>
        <v>3108978</v>
      </c>
      <c r="P611" s="26">
        <f ca="1">IFERROR(__xludf.DUMMYFUNCTION("ROUND(GOOGLEFINANCE(""Currency:EURKZT"")*M611)"),238785)</f>
        <v>238785</v>
      </c>
      <c r="Q611" s="26">
        <f ca="1">IFERROR(__xludf.DUMMYFUNCTION("ROUND(GOOGLEFINANCE(""Currency:EURKZT"")*N611)"),238785)</f>
        <v>238785</v>
      </c>
      <c r="R611" s="26">
        <f t="shared" ca="1" si="529"/>
        <v>373077</v>
      </c>
      <c r="S611" s="26">
        <f t="shared" ca="1" si="530"/>
        <v>3959625</v>
      </c>
      <c r="T611" s="26">
        <f ca="1">IFERROR(__xludf.DUMMYFUNCTION("ROUND(GOOGLEFINANCE(""Currency:EURKZT"")*L611+S611)"),4550331)</f>
        <v>4550331</v>
      </c>
      <c r="U611" s="26">
        <f ca="1">IFERROR(__xludf.DUMMYFUNCTION("D611*GOOGLEFINANCE(""RUBKZT"")*1000/F611"),5652706.87946693)</f>
        <v>5652706.8794669304</v>
      </c>
      <c r="V611" s="27">
        <f t="shared" ca="1" si="531"/>
        <v>0.24226278911730387</v>
      </c>
    </row>
    <row r="612" spans="1:22" ht="12.75" customHeight="1" x14ac:dyDescent="0.2">
      <c r="A612" s="6" t="s">
        <v>434</v>
      </c>
      <c r="B612" s="6" t="s">
        <v>15</v>
      </c>
      <c r="C612" s="7">
        <v>206720</v>
      </c>
      <c r="D612" s="8">
        <v>141451.19999999998</v>
      </c>
      <c r="E612" s="9" t="s">
        <v>7</v>
      </c>
      <c r="F612" s="23">
        <v>208</v>
      </c>
      <c r="G612" s="25"/>
      <c r="H612" s="14">
        <f t="shared" si="525"/>
        <v>0.55000000000000004</v>
      </c>
      <c r="I612" s="25">
        <f ca="1">IFERROR(__xludf.DUMMYFUNCTION("ROUND(D612*GOOGLEFINANCE(""RUBKZT"")*H612)"),607100)</f>
        <v>607100</v>
      </c>
      <c r="J612" s="26">
        <f ca="1">IFERROR(__xludf.DUMMYFUNCTION("ROUND(I612*GOOGLEFINANCE(""KZTEUR""))"),1271)</f>
        <v>1271</v>
      </c>
      <c r="K612" s="26">
        <f t="shared" ca="1" si="526"/>
        <v>6111</v>
      </c>
      <c r="L612" s="26">
        <f t="shared" ca="1" si="527"/>
        <v>1161.0899999999999</v>
      </c>
      <c r="M612" s="26">
        <f t="shared" ref="M612:N612" si="628">M$3</f>
        <v>500</v>
      </c>
      <c r="N612" s="26">
        <f t="shared" si="628"/>
        <v>500</v>
      </c>
      <c r="O612" s="26">
        <f ca="1">IFERROR(__xludf.DUMMYFUNCTION("ROUND(GOOGLEFINANCE(""Currency:EURKZT"")*K612)"),2918428)</f>
        <v>2918428</v>
      </c>
      <c r="P612" s="26">
        <f ca="1">IFERROR(__xludf.DUMMYFUNCTION("ROUND(GOOGLEFINANCE(""Currency:EURKZT"")*M612)"),238785)</f>
        <v>238785</v>
      </c>
      <c r="Q612" s="26">
        <f ca="1">IFERROR(__xludf.DUMMYFUNCTION("ROUND(GOOGLEFINANCE(""Currency:EURKZT"")*N612)"),238785)</f>
        <v>238785</v>
      </c>
      <c r="R612" s="26">
        <f t="shared" ca="1" si="529"/>
        <v>350211</v>
      </c>
      <c r="S612" s="26">
        <f t="shared" ca="1" si="530"/>
        <v>3746209</v>
      </c>
      <c r="T612" s="26">
        <f ca="1">IFERROR(__xludf.DUMMYFUNCTION("ROUND(GOOGLEFINANCE(""Currency:EURKZT"")*L612+S612)"),4300710)</f>
        <v>4300710</v>
      </c>
      <c r="U612" s="26">
        <f ca="1">IFERROR(__xludf.DUMMYFUNCTION("D612*GOOGLEFINANCE(""RUBKZT"")*1000/F612"),5306815.72905203)</f>
        <v>5306815.7290520296</v>
      </c>
      <c r="V612" s="27">
        <f t="shared" ca="1" si="531"/>
        <v>0.23393944931232971</v>
      </c>
    </row>
    <row r="613" spans="1:22" ht="12.75" customHeight="1" x14ac:dyDescent="0.2">
      <c r="A613" s="6" t="s">
        <v>435</v>
      </c>
      <c r="B613" s="6" t="s">
        <v>15</v>
      </c>
      <c r="C613" s="7">
        <v>206767</v>
      </c>
      <c r="D613" s="8">
        <v>157600.79999999999</v>
      </c>
      <c r="E613" s="9" t="s">
        <v>7</v>
      </c>
      <c r="F613" s="23">
        <v>208</v>
      </c>
      <c r="G613" s="25"/>
      <c r="H613" s="14">
        <f t="shared" si="525"/>
        <v>0.55000000000000004</v>
      </c>
      <c r="I613" s="25">
        <f ca="1">IFERROR(__xludf.DUMMYFUNCTION("ROUND(D613*GOOGLEFINANCE(""RUBKZT"")*H613)"),676413)</f>
        <v>676413</v>
      </c>
      <c r="J613" s="26">
        <f ca="1">IFERROR(__xludf.DUMMYFUNCTION("ROUND(I613*GOOGLEFINANCE(""KZTEUR""))"),1417)</f>
        <v>1417</v>
      </c>
      <c r="K613" s="26">
        <f t="shared" ca="1" si="526"/>
        <v>6813</v>
      </c>
      <c r="L613" s="26">
        <f t="shared" ca="1" si="527"/>
        <v>1294.47</v>
      </c>
      <c r="M613" s="26">
        <f t="shared" ref="M613:N613" si="629">M$3</f>
        <v>500</v>
      </c>
      <c r="N613" s="26">
        <f t="shared" si="629"/>
        <v>500</v>
      </c>
      <c r="O613" s="26">
        <f ca="1">IFERROR(__xludf.DUMMYFUNCTION("ROUND(GOOGLEFINANCE(""Currency:EURKZT"")*K613)"),3253682)</f>
        <v>3253682</v>
      </c>
      <c r="P613" s="26">
        <f ca="1">IFERROR(__xludf.DUMMYFUNCTION("ROUND(GOOGLEFINANCE(""Currency:EURKZT"")*M613)"),238785)</f>
        <v>238785</v>
      </c>
      <c r="Q613" s="26">
        <f ca="1">IFERROR(__xludf.DUMMYFUNCTION("ROUND(GOOGLEFINANCE(""Currency:EURKZT"")*N613)"),238785)</f>
        <v>238785</v>
      </c>
      <c r="R613" s="26">
        <f t="shared" ca="1" si="529"/>
        <v>390442</v>
      </c>
      <c r="S613" s="26">
        <f t="shared" ca="1" si="530"/>
        <v>4121694</v>
      </c>
      <c r="T613" s="26">
        <f ca="1">IFERROR(__xludf.DUMMYFUNCTION("ROUND(GOOGLEFINANCE(""Currency:EURKZT"")*L613+S613)"),4739894)</f>
        <v>4739894</v>
      </c>
      <c r="U613" s="26">
        <f ca="1">IFERROR(__xludf.DUMMYFUNCTION("D613*GOOGLEFINANCE(""RUBKZT"")*1000/F613"),5912699.25141096)</f>
        <v>5912699.2514109602</v>
      </c>
      <c r="V613" s="27">
        <f t="shared" ca="1" si="531"/>
        <v>0.24743280153753655</v>
      </c>
    </row>
    <row r="614" spans="1:22" ht="12.75" customHeight="1" x14ac:dyDescent="0.2">
      <c r="A614" s="6" t="s">
        <v>437</v>
      </c>
      <c r="B614" s="6" t="s">
        <v>15</v>
      </c>
      <c r="C614" s="7">
        <v>207423</v>
      </c>
      <c r="D614" s="8">
        <v>93447.599999999991</v>
      </c>
      <c r="E614" s="9" t="s">
        <v>16</v>
      </c>
      <c r="F614" s="23">
        <v>208</v>
      </c>
      <c r="G614" s="25"/>
      <c r="H614" s="14">
        <f t="shared" si="525"/>
        <v>0.55000000000000004</v>
      </c>
      <c r="I614" s="25">
        <f ca="1">IFERROR(__xludf.DUMMYFUNCTION("ROUND(D614*GOOGLEFINANCE(""RUBKZT"")*H614)"),401071)</f>
        <v>401071</v>
      </c>
      <c r="J614" s="26">
        <f ca="1">IFERROR(__xludf.DUMMYFUNCTION("ROUND(I614*GOOGLEFINANCE(""KZTEUR""))"),840)</f>
        <v>840</v>
      </c>
      <c r="K614" s="26">
        <f t="shared" ca="1" si="526"/>
        <v>4038</v>
      </c>
      <c r="L614" s="26">
        <f t="shared" ca="1" si="527"/>
        <v>767.22</v>
      </c>
      <c r="M614" s="26">
        <f t="shared" ref="M614:N614" si="630">M$3</f>
        <v>500</v>
      </c>
      <c r="N614" s="26">
        <f t="shared" si="630"/>
        <v>500</v>
      </c>
      <c r="O614" s="26">
        <f ca="1">IFERROR(__xludf.DUMMYFUNCTION("ROUND(GOOGLEFINANCE(""Currency:EURKZT"")*K614)"),1928426)</f>
        <v>1928426</v>
      </c>
      <c r="P614" s="26">
        <f ca="1">IFERROR(__xludf.DUMMYFUNCTION("ROUND(GOOGLEFINANCE(""Currency:EURKZT"")*M614)"),238785)</f>
        <v>238785</v>
      </c>
      <c r="Q614" s="26">
        <f ca="1">IFERROR(__xludf.DUMMYFUNCTION("ROUND(GOOGLEFINANCE(""Currency:EURKZT"")*N614)"),238785)</f>
        <v>238785</v>
      </c>
      <c r="R614" s="26">
        <f t="shared" ca="1" si="529"/>
        <v>231411</v>
      </c>
      <c r="S614" s="26">
        <f t="shared" ca="1" si="530"/>
        <v>2637407</v>
      </c>
      <c r="T614" s="26">
        <f ca="1">IFERROR(__xludf.DUMMYFUNCTION("ROUND(GOOGLEFINANCE(""Currency:EURKZT"")*L614+S614)"),3003808)</f>
        <v>3003808</v>
      </c>
      <c r="U614" s="26">
        <f ca="1">IFERROR(__xludf.DUMMYFUNCTION("D614*GOOGLEFINANCE(""RUBKZT"")*1000/F614"),3505867.70223343)</f>
        <v>3505867.70223343</v>
      </c>
      <c r="V614" s="27">
        <f t="shared" ca="1" si="531"/>
        <v>0.16714107633824465</v>
      </c>
    </row>
    <row r="615" spans="1:22" ht="12.75" customHeight="1" x14ac:dyDescent="0.2">
      <c r="A615" s="6" t="s">
        <v>438</v>
      </c>
      <c r="B615" s="6" t="s">
        <v>15</v>
      </c>
      <c r="C615" s="7">
        <v>207444</v>
      </c>
      <c r="D615" s="8">
        <v>94629.599999999991</v>
      </c>
      <c r="E615" s="9" t="s">
        <v>16</v>
      </c>
      <c r="F615" s="23">
        <v>208</v>
      </c>
      <c r="G615" s="25"/>
      <c r="H615" s="14">
        <f t="shared" si="525"/>
        <v>0.55000000000000004</v>
      </c>
      <c r="I615" s="25">
        <f ca="1">IFERROR(__xludf.DUMMYFUNCTION("ROUND(D615*GOOGLEFINANCE(""RUBKZT"")*H615)"),406144)</f>
        <v>406144</v>
      </c>
      <c r="J615" s="26">
        <f ca="1">IFERROR(__xludf.DUMMYFUNCTION("ROUND(I615*GOOGLEFINANCE(""KZTEUR""))"),851)</f>
        <v>851</v>
      </c>
      <c r="K615" s="26">
        <f t="shared" ca="1" si="526"/>
        <v>4091</v>
      </c>
      <c r="L615" s="26">
        <f t="shared" ca="1" si="527"/>
        <v>777.29</v>
      </c>
      <c r="M615" s="26">
        <f t="shared" ref="M615:N615" si="631">M$3</f>
        <v>500</v>
      </c>
      <c r="N615" s="26">
        <f t="shared" si="631"/>
        <v>500</v>
      </c>
      <c r="O615" s="26">
        <f ca="1">IFERROR(__xludf.DUMMYFUNCTION("ROUND(GOOGLEFINANCE(""Currency:EURKZT"")*K615)"),1953737)</f>
        <v>1953737</v>
      </c>
      <c r="P615" s="26">
        <f ca="1">IFERROR(__xludf.DUMMYFUNCTION("ROUND(GOOGLEFINANCE(""Currency:EURKZT"")*M615)"),238785)</f>
        <v>238785</v>
      </c>
      <c r="Q615" s="26">
        <f ca="1">IFERROR(__xludf.DUMMYFUNCTION("ROUND(GOOGLEFINANCE(""Currency:EURKZT"")*N615)"),238785)</f>
        <v>238785</v>
      </c>
      <c r="R615" s="26">
        <f t="shared" ca="1" si="529"/>
        <v>234448</v>
      </c>
      <c r="S615" s="26">
        <f t="shared" ca="1" si="530"/>
        <v>2665755</v>
      </c>
      <c r="T615" s="26">
        <f ca="1">IFERROR(__xludf.DUMMYFUNCTION("ROUND(GOOGLEFINANCE(""Currency:EURKZT"")*L615+S615)"),3036965)</f>
        <v>3036965</v>
      </c>
      <c r="U615" s="26">
        <f ca="1">IFERROR(__xludf.DUMMYFUNCTION("D615*GOOGLEFINANCE(""RUBKZT"")*1000/F615"),3550212.72151739)</f>
        <v>3550212.7215173901</v>
      </c>
      <c r="V615" s="27">
        <f t="shared" ca="1" si="531"/>
        <v>0.16900020958996567</v>
      </c>
    </row>
    <row r="616" spans="1:22" ht="12.75" customHeight="1" x14ac:dyDescent="0.2">
      <c r="A616" s="6" t="s">
        <v>439</v>
      </c>
      <c r="B616" s="6" t="s">
        <v>15</v>
      </c>
      <c r="C616" s="7">
        <v>207448</v>
      </c>
      <c r="D616" s="8">
        <v>98984.4</v>
      </c>
      <c r="E616" s="9" t="s">
        <v>16</v>
      </c>
      <c r="F616" s="23">
        <v>208</v>
      </c>
      <c r="G616" s="25"/>
      <c r="H616" s="14">
        <f t="shared" si="525"/>
        <v>0.55000000000000004</v>
      </c>
      <c r="I616" s="25">
        <f ca="1">IFERROR(__xludf.DUMMYFUNCTION("ROUND(D616*GOOGLEFINANCE(""RUBKZT"")*H616)"),424835)</f>
        <v>424835</v>
      </c>
      <c r="J616" s="26">
        <f ca="1">IFERROR(__xludf.DUMMYFUNCTION("ROUND(I616*GOOGLEFINANCE(""KZTEUR""))"),890)</f>
        <v>890</v>
      </c>
      <c r="K616" s="26">
        <f t="shared" ca="1" si="526"/>
        <v>4279</v>
      </c>
      <c r="L616" s="26">
        <f t="shared" ca="1" si="527"/>
        <v>813.01</v>
      </c>
      <c r="M616" s="26">
        <f t="shared" ref="M616:N616" si="632">M$3</f>
        <v>500</v>
      </c>
      <c r="N616" s="26">
        <f t="shared" si="632"/>
        <v>500</v>
      </c>
      <c r="O616" s="26">
        <f ca="1">IFERROR(__xludf.DUMMYFUNCTION("ROUND(GOOGLEFINANCE(""Currency:EURKZT"")*K616)"),2043520)</f>
        <v>2043520</v>
      </c>
      <c r="P616" s="26">
        <f ca="1">IFERROR(__xludf.DUMMYFUNCTION("ROUND(GOOGLEFINANCE(""Currency:EURKZT"")*M616)"),238785)</f>
        <v>238785</v>
      </c>
      <c r="Q616" s="26">
        <f ca="1">IFERROR(__xludf.DUMMYFUNCTION("ROUND(GOOGLEFINANCE(""Currency:EURKZT"")*N616)"),238785)</f>
        <v>238785</v>
      </c>
      <c r="R616" s="26">
        <f t="shared" ca="1" si="529"/>
        <v>245222</v>
      </c>
      <c r="S616" s="26">
        <f t="shared" ca="1" si="530"/>
        <v>2766312</v>
      </c>
      <c r="T616" s="26">
        <f ca="1">IFERROR(__xludf.DUMMYFUNCTION("ROUND(GOOGLEFINANCE(""Currency:EURKZT"")*L616+S616)"),3154581)</f>
        <v>3154581</v>
      </c>
      <c r="U616" s="26">
        <f ca="1">IFERROR(__xludf.DUMMYFUNCTION("D616*GOOGLEFINANCE(""RUBKZT"")*1000/F616"),3713591.47784379)</f>
        <v>3713591.4778437898</v>
      </c>
      <c r="V616" s="27">
        <f t="shared" ca="1" si="531"/>
        <v>0.17720593569915938</v>
      </c>
    </row>
    <row r="617" spans="1:22" ht="12.75" customHeight="1" x14ac:dyDescent="0.2">
      <c r="A617" s="6" t="s">
        <v>440</v>
      </c>
      <c r="B617" s="6" t="s">
        <v>15</v>
      </c>
      <c r="C617" s="7">
        <v>207680</v>
      </c>
      <c r="D617" s="8">
        <v>130388.4</v>
      </c>
      <c r="E617" s="9" t="s">
        <v>16</v>
      </c>
      <c r="F617" s="23">
        <v>208</v>
      </c>
      <c r="G617" s="25"/>
      <c r="H617" s="14">
        <f t="shared" si="525"/>
        <v>0.55000000000000004</v>
      </c>
      <c r="I617" s="25">
        <f ca="1">IFERROR(__xludf.DUMMYFUNCTION("ROUND(D617*GOOGLEFINANCE(""RUBKZT"")*H617)"),559619)</f>
        <v>559619</v>
      </c>
      <c r="J617" s="26">
        <f ca="1">IFERROR(__xludf.DUMMYFUNCTION("ROUND(I617*GOOGLEFINANCE(""KZTEUR""))"),1172)</f>
        <v>1172</v>
      </c>
      <c r="K617" s="26">
        <f t="shared" ca="1" si="526"/>
        <v>5635</v>
      </c>
      <c r="L617" s="26">
        <f t="shared" ca="1" si="527"/>
        <v>1070.6500000000001</v>
      </c>
      <c r="M617" s="26">
        <f t="shared" ref="M617:N617" si="633">M$3</f>
        <v>500</v>
      </c>
      <c r="N617" s="26">
        <f t="shared" si="633"/>
        <v>500</v>
      </c>
      <c r="O617" s="26">
        <f ca="1">IFERROR(__xludf.DUMMYFUNCTION("ROUND(GOOGLEFINANCE(""Currency:EURKZT"")*K617)"),2691105)</f>
        <v>2691105</v>
      </c>
      <c r="P617" s="26">
        <f ca="1">IFERROR(__xludf.DUMMYFUNCTION("ROUND(GOOGLEFINANCE(""Currency:EURKZT"")*M617)"),238785)</f>
        <v>238785</v>
      </c>
      <c r="Q617" s="26">
        <f ca="1">IFERROR(__xludf.DUMMYFUNCTION("ROUND(GOOGLEFINANCE(""Currency:EURKZT"")*N617)"),238785)</f>
        <v>238785</v>
      </c>
      <c r="R617" s="26">
        <f t="shared" ca="1" si="529"/>
        <v>322933</v>
      </c>
      <c r="S617" s="26">
        <f t="shared" ca="1" si="530"/>
        <v>3491608</v>
      </c>
      <c r="T617" s="26">
        <f ca="1">IFERROR(__xludf.DUMMYFUNCTION("ROUND(GOOGLEFINANCE(""Currency:EURKZT"")*L617+S617)"),4002918)</f>
        <v>4002918</v>
      </c>
      <c r="U617" s="26">
        <f ca="1">IFERROR(__xludf.DUMMYFUNCTION("D617*GOOGLEFINANCE(""RUBKZT"")*1000/F617"),4891773.36074863)</f>
        <v>4891773.36074863</v>
      </c>
      <c r="V617" s="27">
        <f t="shared" ca="1" si="531"/>
        <v>0.22205185336013128</v>
      </c>
    </row>
    <row r="618" spans="1:22" ht="12.75" customHeight="1" x14ac:dyDescent="0.2">
      <c r="A618" s="6" t="s">
        <v>441</v>
      </c>
      <c r="B618" s="6" t="s">
        <v>15</v>
      </c>
      <c r="C618" s="7">
        <v>207849</v>
      </c>
      <c r="D618" s="8">
        <v>84667.199999999997</v>
      </c>
      <c r="E618" s="9" t="s">
        <v>16</v>
      </c>
      <c r="F618" s="23">
        <v>208</v>
      </c>
      <c r="G618" s="25"/>
      <c r="H618" s="14">
        <f t="shared" si="525"/>
        <v>0.55000000000000004</v>
      </c>
      <c r="I618" s="25">
        <f ca="1">IFERROR(__xludf.DUMMYFUNCTION("ROUND(D618*GOOGLEFINANCE(""RUBKZT"")*H618)"),363386)</f>
        <v>363386</v>
      </c>
      <c r="J618" s="26">
        <f ca="1">IFERROR(__xludf.DUMMYFUNCTION("ROUND(I618*GOOGLEFINANCE(""KZTEUR""))"),761)</f>
        <v>761</v>
      </c>
      <c r="K618" s="26">
        <f t="shared" ca="1" si="526"/>
        <v>3659</v>
      </c>
      <c r="L618" s="26">
        <f t="shared" ca="1" si="527"/>
        <v>695.21</v>
      </c>
      <c r="M618" s="26">
        <f t="shared" ref="M618:N618" si="634">M$3</f>
        <v>500</v>
      </c>
      <c r="N618" s="26">
        <f t="shared" si="634"/>
        <v>500</v>
      </c>
      <c r="O618" s="26">
        <f ca="1">IFERROR(__xludf.DUMMYFUNCTION("ROUND(GOOGLEFINANCE(""Currency:EURKZT"")*K618)"),1747427)</f>
        <v>1747427</v>
      </c>
      <c r="P618" s="26">
        <f ca="1">IFERROR(__xludf.DUMMYFUNCTION("ROUND(GOOGLEFINANCE(""Currency:EURKZT"")*M618)"),238785)</f>
        <v>238785</v>
      </c>
      <c r="Q618" s="26">
        <f ca="1">IFERROR(__xludf.DUMMYFUNCTION("ROUND(GOOGLEFINANCE(""Currency:EURKZT"")*N618)"),238785)</f>
        <v>238785</v>
      </c>
      <c r="R618" s="26">
        <f t="shared" ca="1" si="529"/>
        <v>209691</v>
      </c>
      <c r="S618" s="26">
        <f t="shared" ca="1" si="530"/>
        <v>2434688</v>
      </c>
      <c r="T618" s="26">
        <f ca="1">IFERROR(__xludf.DUMMYFUNCTION("ROUND(GOOGLEFINANCE(""Currency:EURKZT"")*L618+S618)"),2766699)</f>
        <v>2766699</v>
      </c>
      <c r="U618" s="26">
        <f ca="1">IFERROR(__xludf.DUMMYFUNCTION("D618*GOOGLEFINANCE(""RUBKZT"")*1000/F618"),3176453.99045603)</f>
        <v>3176453.9904560298</v>
      </c>
      <c r="V618" s="27">
        <f t="shared" ca="1" si="531"/>
        <v>0.14810248258159986</v>
      </c>
    </row>
    <row r="619" spans="1:22" ht="12.75" customHeight="1" x14ac:dyDescent="0.2">
      <c r="A619" s="6" t="s">
        <v>442</v>
      </c>
      <c r="B619" s="6" t="s">
        <v>15</v>
      </c>
      <c r="C619" s="7">
        <v>207893</v>
      </c>
      <c r="D619" s="8">
        <v>84928.8</v>
      </c>
      <c r="E619" s="9" t="s">
        <v>16</v>
      </c>
      <c r="F619" s="23">
        <v>208</v>
      </c>
      <c r="G619" s="25"/>
      <c r="H619" s="14">
        <f t="shared" si="525"/>
        <v>0.55000000000000004</v>
      </c>
      <c r="I619" s="25">
        <f ca="1">IFERROR(__xludf.DUMMYFUNCTION("ROUND(D619*GOOGLEFINANCE(""RUBKZT"")*H619)"),364509)</f>
        <v>364509</v>
      </c>
      <c r="J619" s="26">
        <f ca="1">IFERROR(__xludf.DUMMYFUNCTION("ROUND(I619*GOOGLEFINANCE(""KZTEUR""))"),763)</f>
        <v>763</v>
      </c>
      <c r="K619" s="26">
        <f t="shared" ca="1" si="526"/>
        <v>3668</v>
      </c>
      <c r="L619" s="26">
        <f t="shared" ca="1" si="527"/>
        <v>696.92</v>
      </c>
      <c r="M619" s="26">
        <f t="shared" ref="M619:N619" si="635">M$3</f>
        <v>500</v>
      </c>
      <c r="N619" s="26">
        <f t="shared" si="635"/>
        <v>500</v>
      </c>
      <c r="O619" s="26">
        <f ca="1">IFERROR(__xludf.DUMMYFUNCTION("ROUND(GOOGLEFINANCE(""Currency:EURKZT"")*K619)"),1751725)</f>
        <v>1751725</v>
      </c>
      <c r="P619" s="26">
        <f ca="1">IFERROR(__xludf.DUMMYFUNCTION("ROUND(GOOGLEFINANCE(""Currency:EURKZT"")*M619)"),238785)</f>
        <v>238785</v>
      </c>
      <c r="Q619" s="26">
        <f ca="1">IFERROR(__xludf.DUMMYFUNCTION("ROUND(GOOGLEFINANCE(""Currency:EURKZT"")*N619)"),238785)</f>
        <v>238785</v>
      </c>
      <c r="R619" s="26">
        <f t="shared" ca="1" si="529"/>
        <v>210207</v>
      </c>
      <c r="S619" s="26">
        <f t="shared" ca="1" si="530"/>
        <v>2439502</v>
      </c>
      <c r="T619" s="26">
        <f ca="1">IFERROR(__xludf.DUMMYFUNCTION("ROUND(GOOGLEFINANCE(""Currency:EURKZT"")*L619+S619)"),2772330)</f>
        <v>2772330</v>
      </c>
      <c r="U619" s="26">
        <f ca="1">IFERROR(__xludf.DUMMYFUNCTION("D619*GOOGLEFINANCE(""RUBKZT"")*1000/F619"),3186268.42111989)</f>
        <v>3186268.4211198902</v>
      </c>
      <c r="V619" s="27">
        <f t="shared" ca="1" si="531"/>
        <v>0.14931065966890311</v>
      </c>
    </row>
    <row r="620" spans="1:22" ht="12.75" customHeight="1" x14ac:dyDescent="0.2">
      <c r="A620" s="6" t="s">
        <v>443</v>
      </c>
      <c r="B620" s="6" t="s">
        <v>15</v>
      </c>
      <c r="C620" s="7">
        <v>208895</v>
      </c>
      <c r="D620" s="8">
        <v>103132.8</v>
      </c>
      <c r="E620" s="9" t="s">
        <v>16</v>
      </c>
      <c r="F620" s="23">
        <v>208</v>
      </c>
      <c r="G620" s="25"/>
      <c r="H620" s="14">
        <f t="shared" si="525"/>
        <v>0.55000000000000004</v>
      </c>
      <c r="I620" s="25">
        <f ca="1">IFERROR(__xludf.DUMMYFUNCTION("ROUND(D620*GOOGLEFINANCE(""RUBKZT"")*H620)"),442640)</f>
        <v>442640</v>
      </c>
      <c r="J620" s="26">
        <f ca="1">IFERROR(__xludf.DUMMYFUNCTION("ROUND(I620*GOOGLEFINANCE(""KZTEUR""))"),927)</f>
        <v>927</v>
      </c>
      <c r="K620" s="26">
        <f t="shared" ca="1" si="526"/>
        <v>4457</v>
      </c>
      <c r="L620" s="26">
        <f t="shared" ca="1" si="527"/>
        <v>846.83</v>
      </c>
      <c r="M620" s="26">
        <f t="shared" ref="M620:N620" si="636">M$3</f>
        <v>500</v>
      </c>
      <c r="N620" s="26">
        <f t="shared" si="636"/>
        <v>500</v>
      </c>
      <c r="O620" s="26">
        <f ca="1">IFERROR(__xludf.DUMMYFUNCTION("ROUND(GOOGLEFINANCE(""Currency:EURKZT"")*K620)"),2128528)</f>
        <v>2128528</v>
      </c>
      <c r="P620" s="26">
        <f ca="1">IFERROR(__xludf.DUMMYFUNCTION("ROUND(GOOGLEFINANCE(""Currency:EURKZT"")*M620)"),238785)</f>
        <v>238785</v>
      </c>
      <c r="Q620" s="26">
        <f ca="1">IFERROR(__xludf.DUMMYFUNCTION("ROUND(GOOGLEFINANCE(""Currency:EURKZT"")*N620)"),238785)</f>
        <v>238785</v>
      </c>
      <c r="R620" s="26">
        <f t="shared" ca="1" si="529"/>
        <v>255423</v>
      </c>
      <c r="S620" s="26">
        <f t="shared" ca="1" si="530"/>
        <v>2861521</v>
      </c>
      <c r="T620" s="26">
        <f ca="1">IFERROR(__xludf.DUMMYFUNCTION("ROUND(GOOGLEFINANCE(""Currency:EURKZT"")*L620+S620)"),3265941)</f>
        <v>3265941</v>
      </c>
      <c r="U620" s="26">
        <f ca="1">IFERROR(__xludf.DUMMYFUNCTION("D620*GOOGLEFINANCE(""RUBKZT"")*1000/F620"),3869226.73841704)</f>
        <v>3869226.7384170401</v>
      </c>
      <c r="V620" s="27">
        <f t="shared" ca="1" si="531"/>
        <v>0.18472034198322629</v>
      </c>
    </row>
    <row r="621" spans="1:22" ht="12.75" customHeight="1" x14ac:dyDescent="0.2">
      <c r="A621" s="6" t="s">
        <v>444</v>
      </c>
      <c r="B621" s="6" t="s">
        <v>15</v>
      </c>
      <c r="C621" s="7">
        <v>209458</v>
      </c>
      <c r="D621" s="8">
        <v>92863.2</v>
      </c>
      <c r="E621" s="9" t="s">
        <v>16</v>
      </c>
      <c r="F621" s="23">
        <v>208</v>
      </c>
      <c r="G621" s="25"/>
      <c r="H621" s="14">
        <f t="shared" si="525"/>
        <v>0.55000000000000004</v>
      </c>
      <c r="I621" s="25">
        <f ca="1">IFERROR(__xludf.DUMMYFUNCTION("ROUND(D621*GOOGLEFINANCE(""RUBKZT"")*H621)"),398563)</f>
        <v>398563</v>
      </c>
      <c r="J621" s="26">
        <f ca="1">IFERROR(__xludf.DUMMYFUNCTION("ROUND(I621*GOOGLEFINANCE(""KZTEUR""))"),835)</f>
        <v>835</v>
      </c>
      <c r="K621" s="26">
        <f t="shared" ca="1" si="526"/>
        <v>4014</v>
      </c>
      <c r="L621" s="26">
        <f t="shared" ca="1" si="527"/>
        <v>762.66</v>
      </c>
      <c r="M621" s="26">
        <f t="shared" ref="M621:N621" si="637">M$3</f>
        <v>500</v>
      </c>
      <c r="N621" s="26">
        <f t="shared" si="637"/>
        <v>500</v>
      </c>
      <c r="O621" s="26">
        <f ca="1">IFERROR(__xludf.DUMMYFUNCTION("ROUND(GOOGLEFINANCE(""Currency:EURKZT"")*K621)"),1916964)</f>
        <v>1916964</v>
      </c>
      <c r="P621" s="26">
        <f ca="1">IFERROR(__xludf.DUMMYFUNCTION("ROUND(GOOGLEFINANCE(""Currency:EURKZT"")*M621)"),238785)</f>
        <v>238785</v>
      </c>
      <c r="Q621" s="26">
        <f ca="1">IFERROR(__xludf.DUMMYFUNCTION("ROUND(GOOGLEFINANCE(""Currency:EURKZT"")*N621)"),238785)</f>
        <v>238785</v>
      </c>
      <c r="R621" s="26">
        <f t="shared" ca="1" si="529"/>
        <v>230036</v>
      </c>
      <c r="S621" s="26">
        <f t="shared" ca="1" si="530"/>
        <v>2624570</v>
      </c>
      <c r="T621" s="26">
        <f ca="1">IFERROR(__xludf.DUMMYFUNCTION("ROUND(GOOGLEFINANCE(""Currency:EURKZT"")*L621+S621)"),2988793)</f>
        <v>2988793</v>
      </c>
      <c r="U621" s="26">
        <f ca="1">IFERROR(__xludf.DUMMYFUNCTION("D621*GOOGLEFINANCE(""RUBKZT"")*1000/F621"),3483942.80437426)</f>
        <v>3483942.8043742599</v>
      </c>
      <c r="V621" s="27">
        <f t="shared" ca="1" si="531"/>
        <v>0.16566881827355054</v>
      </c>
    </row>
    <row r="622" spans="1:22" ht="12.75" customHeight="1" x14ac:dyDescent="0.2">
      <c r="A622" s="6" t="s">
        <v>447</v>
      </c>
      <c r="B622" s="6" t="s">
        <v>15</v>
      </c>
      <c r="C622" s="7">
        <v>212513</v>
      </c>
      <c r="D622" s="8">
        <v>123939.59999999999</v>
      </c>
      <c r="E622" s="9" t="s">
        <v>16</v>
      </c>
      <c r="F622" s="23">
        <v>208</v>
      </c>
      <c r="G622" s="25"/>
      <c r="H622" s="14">
        <f t="shared" si="525"/>
        <v>0.55000000000000004</v>
      </c>
      <c r="I622" s="25">
        <f ca="1">IFERROR(__xludf.DUMMYFUNCTION("ROUND(D622*GOOGLEFINANCE(""RUBKZT"")*H622)"),531941)</f>
        <v>531941</v>
      </c>
      <c r="J622" s="26">
        <f ca="1">IFERROR(__xludf.DUMMYFUNCTION("ROUND(I622*GOOGLEFINANCE(""KZTEUR""))"),1114)</f>
        <v>1114</v>
      </c>
      <c r="K622" s="26">
        <f t="shared" ca="1" si="526"/>
        <v>5356</v>
      </c>
      <c r="L622" s="26">
        <f t="shared" ca="1" si="527"/>
        <v>1017.64</v>
      </c>
      <c r="M622" s="26">
        <f t="shared" ref="M622:N622" si="638">M$3</f>
        <v>500</v>
      </c>
      <c r="N622" s="26">
        <f t="shared" si="638"/>
        <v>500</v>
      </c>
      <c r="O622" s="26">
        <f ca="1">IFERROR(__xludf.DUMMYFUNCTION("ROUND(GOOGLEFINANCE(""Currency:EURKZT"")*K622)"),2557863)</f>
        <v>2557863</v>
      </c>
      <c r="P622" s="26">
        <f ca="1">IFERROR(__xludf.DUMMYFUNCTION("ROUND(GOOGLEFINANCE(""Currency:EURKZT"")*M622)"),238785)</f>
        <v>238785</v>
      </c>
      <c r="Q622" s="26">
        <f ca="1">IFERROR(__xludf.DUMMYFUNCTION("ROUND(GOOGLEFINANCE(""Currency:EURKZT"")*N622)"),238785)</f>
        <v>238785</v>
      </c>
      <c r="R622" s="26">
        <f t="shared" ca="1" si="529"/>
        <v>306944</v>
      </c>
      <c r="S622" s="26">
        <f t="shared" ca="1" si="530"/>
        <v>3342377</v>
      </c>
      <c r="T622" s="26">
        <f ca="1">IFERROR(__xludf.DUMMYFUNCTION("ROUND(GOOGLEFINANCE(""Currency:EURKZT"")*L622+S622)"),3828371)</f>
        <v>3828371</v>
      </c>
      <c r="U622" s="26">
        <f ca="1">IFERROR(__xludf.DUMMYFUNCTION("D622*GOOGLEFINANCE(""RUBKZT"")*1000/F622"),4649834.1387872)</f>
        <v>4649834.1387871997</v>
      </c>
      <c r="V622" s="27">
        <f t="shared" ca="1" si="531"/>
        <v>0.21457250062420799</v>
      </c>
    </row>
    <row r="623" spans="1:22" ht="12.75" customHeight="1" x14ac:dyDescent="0.2">
      <c r="A623" s="6" t="s">
        <v>448</v>
      </c>
      <c r="B623" s="6" t="s">
        <v>15</v>
      </c>
      <c r="C623" s="7">
        <v>213101</v>
      </c>
      <c r="D623" s="8">
        <v>125414.39999999999</v>
      </c>
      <c r="E623" s="9" t="s">
        <v>16</v>
      </c>
      <c r="F623" s="23">
        <v>208</v>
      </c>
      <c r="G623" s="25"/>
      <c r="H623" s="14">
        <f t="shared" si="525"/>
        <v>0.55000000000000004</v>
      </c>
      <c r="I623" s="25">
        <f ca="1">IFERROR(__xludf.DUMMYFUNCTION("ROUND(D623*GOOGLEFINANCE(""RUBKZT"")*H623)"),538271)</f>
        <v>538271</v>
      </c>
      <c r="J623" s="26">
        <f ca="1">IFERROR(__xludf.DUMMYFUNCTION("ROUND(I623*GOOGLEFINANCE(""KZTEUR""))"),1127)</f>
        <v>1127</v>
      </c>
      <c r="K623" s="26">
        <f t="shared" ca="1" si="526"/>
        <v>5418</v>
      </c>
      <c r="L623" s="26">
        <f t="shared" ca="1" si="527"/>
        <v>1029.42</v>
      </c>
      <c r="M623" s="26">
        <f t="shared" ref="M623:N623" si="639">M$3</f>
        <v>500</v>
      </c>
      <c r="N623" s="26">
        <f t="shared" si="639"/>
        <v>500</v>
      </c>
      <c r="O623" s="26">
        <f ca="1">IFERROR(__xludf.DUMMYFUNCTION("ROUND(GOOGLEFINANCE(""Currency:EURKZT"")*K623)"),2587472)</f>
        <v>2587472</v>
      </c>
      <c r="P623" s="26">
        <f ca="1">IFERROR(__xludf.DUMMYFUNCTION("ROUND(GOOGLEFINANCE(""Currency:EURKZT"")*M623)"),238785)</f>
        <v>238785</v>
      </c>
      <c r="Q623" s="26">
        <f ca="1">IFERROR(__xludf.DUMMYFUNCTION("ROUND(GOOGLEFINANCE(""Currency:EURKZT"")*N623)"),238785)</f>
        <v>238785</v>
      </c>
      <c r="R623" s="26">
        <f t="shared" ca="1" si="529"/>
        <v>310497</v>
      </c>
      <c r="S623" s="26">
        <f t="shared" ca="1" si="530"/>
        <v>3375539</v>
      </c>
      <c r="T623" s="26">
        <f ca="1">IFERROR(__xludf.DUMMYFUNCTION("ROUND(GOOGLEFINANCE(""Currency:EURKZT"")*L623+S623)"),3867159)</f>
        <v>3867159</v>
      </c>
      <c r="U623" s="26">
        <f ca="1">IFERROR(__xludf.DUMMYFUNCTION("D623*GOOGLEFINANCE(""RUBKZT"")*1000/F623"),4705164.11716283)</f>
        <v>4705164.1171628302</v>
      </c>
      <c r="V623" s="27">
        <f t="shared" ca="1" si="531"/>
        <v>0.21669786971852728</v>
      </c>
    </row>
    <row r="624" spans="1:22" ht="12.75" customHeight="1" x14ac:dyDescent="0.2">
      <c r="A624" s="6" t="s">
        <v>449</v>
      </c>
      <c r="B624" s="6" t="s">
        <v>15</v>
      </c>
      <c r="C624" s="7">
        <v>213457</v>
      </c>
      <c r="D624" s="8">
        <v>128792.4</v>
      </c>
      <c r="E624" s="9" t="s">
        <v>16</v>
      </c>
      <c r="F624" s="23">
        <v>208</v>
      </c>
      <c r="G624" s="25"/>
      <c r="H624" s="14">
        <f t="shared" si="525"/>
        <v>0.55000000000000004</v>
      </c>
      <c r="I624" s="25">
        <f ca="1">IFERROR(__xludf.DUMMYFUNCTION("ROUND(D624*GOOGLEFINANCE(""RUBKZT"")*H624)"),552769)</f>
        <v>552769</v>
      </c>
      <c r="J624" s="26">
        <f ca="1">IFERROR(__xludf.DUMMYFUNCTION("ROUND(I624*GOOGLEFINANCE(""KZTEUR""))"),1158)</f>
        <v>1158</v>
      </c>
      <c r="K624" s="26">
        <f t="shared" ca="1" si="526"/>
        <v>5567</v>
      </c>
      <c r="L624" s="26">
        <f t="shared" ca="1" si="527"/>
        <v>1057.73</v>
      </c>
      <c r="M624" s="26">
        <f t="shared" ref="M624:N624" si="640">M$3</f>
        <v>500</v>
      </c>
      <c r="N624" s="26">
        <f t="shared" si="640"/>
        <v>500</v>
      </c>
      <c r="O624" s="26">
        <f ca="1">IFERROR(__xludf.DUMMYFUNCTION("ROUND(GOOGLEFINANCE(""Currency:EURKZT"")*K624)"),2658630)</f>
        <v>2658630</v>
      </c>
      <c r="P624" s="26">
        <f ca="1">IFERROR(__xludf.DUMMYFUNCTION("ROUND(GOOGLEFINANCE(""Currency:EURKZT"")*M624)"),238785)</f>
        <v>238785</v>
      </c>
      <c r="Q624" s="26">
        <f ca="1">IFERROR(__xludf.DUMMYFUNCTION("ROUND(GOOGLEFINANCE(""Currency:EURKZT"")*N624)"),238785)</f>
        <v>238785</v>
      </c>
      <c r="R624" s="26">
        <f t="shared" ca="1" si="529"/>
        <v>319036</v>
      </c>
      <c r="S624" s="26">
        <f t="shared" ca="1" si="530"/>
        <v>3455236</v>
      </c>
      <c r="T624" s="26">
        <f ca="1">IFERROR(__xludf.DUMMYFUNCTION("ROUND(GOOGLEFINANCE(""Currency:EURKZT"")*L624+S624)"),3960376)</f>
        <v>3960376</v>
      </c>
      <c r="U624" s="26">
        <f ca="1">IFERROR(__xludf.DUMMYFUNCTION("D624*GOOGLEFINANCE(""RUBKZT"")*1000/F624"),4831896.32963425)</f>
        <v>4831896.3296342501</v>
      </c>
      <c r="V624" s="27">
        <f t="shared" ca="1" si="531"/>
        <v>0.22005999673623164</v>
      </c>
    </row>
    <row r="625" spans="1:22" ht="12.75" customHeight="1" x14ac:dyDescent="0.2">
      <c r="A625" s="6" t="s">
        <v>450</v>
      </c>
      <c r="B625" s="6" t="s">
        <v>15</v>
      </c>
      <c r="C625" s="7">
        <v>213632</v>
      </c>
      <c r="D625" s="8">
        <v>81411.599999999991</v>
      </c>
      <c r="E625" s="9" t="s">
        <v>16</v>
      </c>
      <c r="F625" s="23">
        <v>208</v>
      </c>
      <c r="G625" s="25"/>
      <c r="H625" s="14">
        <f t="shared" si="525"/>
        <v>0.55000000000000004</v>
      </c>
      <c r="I625" s="25">
        <f ca="1">IFERROR(__xludf.DUMMYFUNCTION("ROUND(D625*GOOGLEFINANCE(""RUBKZT"")*H625)"),349414)</f>
        <v>349414</v>
      </c>
      <c r="J625" s="26">
        <f ca="1">IFERROR(__xludf.DUMMYFUNCTION("ROUND(I625*GOOGLEFINANCE(""KZTEUR""))"),732)</f>
        <v>732</v>
      </c>
      <c r="K625" s="26">
        <f t="shared" ca="1" si="526"/>
        <v>3519</v>
      </c>
      <c r="L625" s="26">
        <f t="shared" ca="1" si="527"/>
        <v>668.61</v>
      </c>
      <c r="M625" s="26">
        <f t="shared" ref="M625:N625" si="641">M$3</f>
        <v>500</v>
      </c>
      <c r="N625" s="26">
        <f t="shared" si="641"/>
        <v>500</v>
      </c>
      <c r="O625" s="26">
        <f ca="1">IFERROR(__xludf.DUMMYFUNCTION("ROUND(GOOGLEFINANCE(""Currency:EURKZT"")*K625)"),1680567)</f>
        <v>1680567</v>
      </c>
      <c r="P625" s="26">
        <f ca="1">IFERROR(__xludf.DUMMYFUNCTION("ROUND(GOOGLEFINANCE(""Currency:EURKZT"")*M625)"),238785)</f>
        <v>238785</v>
      </c>
      <c r="Q625" s="26">
        <f ca="1">IFERROR(__xludf.DUMMYFUNCTION("ROUND(GOOGLEFINANCE(""Currency:EURKZT"")*N625)"),238785)</f>
        <v>238785</v>
      </c>
      <c r="R625" s="26">
        <f t="shared" ca="1" si="529"/>
        <v>201668</v>
      </c>
      <c r="S625" s="26">
        <f t="shared" ca="1" si="530"/>
        <v>2359805</v>
      </c>
      <c r="T625" s="26">
        <f ca="1">IFERROR(__xludf.DUMMYFUNCTION("ROUND(GOOGLEFINANCE(""Currency:EURKZT"")*L625+S625)"),2679113)</f>
        <v>2679113</v>
      </c>
      <c r="U625" s="26">
        <f ca="1">IFERROR(__xludf.DUMMYFUNCTION("D625*GOOGLEFINANCE(""RUBKZT"")*1000/F625"),3054313.85104751)</f>
        <v>3054313.8510475098</v>
      </c>
      <c r="V625" s="27">
        <f t="shared" ca="1" si="531"/>
        <v>0.14004666882192346</v>
      </c>
    </row>
    <row r="626" spans="1:22" ht="12.75" customHeight="1" x14ac:dyDescent="0.2">
      <c r="A626" s="6" t="s">
        <v>452</v>
      </c>
      <c r="B626" s="6" t="s">
        <v>15</v>
      </c>
      <c r="C626" s="7">
        <v>213642</v>
      </c>
      <c r="D626" s="8">
        <v>92262</v>
      </c>
      <c r="E626" s="9" t="s">
        <v>16</v>
      </c>
      <c r="F626" s="23">
        <v>208</v>
      </c>
      <c r="G626" s="25"/>
      <c r="H626" s="14">
        <f t="shared" si="525"/>
        <v>0.55000000000000004</v>
      </c>
      <c r="I626" s="25">
        <f ca="1">IFERROR(__xludf.DUMMYFUNCTION("ROUND(D626*GOOGLEFINANCE(""RUBKZT"")*H626)"),395983)</f>
        <v>395983</v>
      </c>
      <c r="J626" s="26">
        <f ca="1">IFERROR(__xludf.DUMMYFUNCTION("ROUND(I626*GOOGLEFINANCE(""KZTEUR""))"),829)</f>
        <v>829</v>
      </c>
      <c r="K626" s="26">
        <f t="shared" ca="1" si="526"/>
        <v>3986</v>
      </c>
      <c r="L626" s="26">
        <f t="shared" ca="1" si="527"/>
        <v>757.34</v>
      </c>
      <c r="M626" s="26">
        <f t="shared" ref="M626:N626" si="642">M$3</f>
        <v>500</v>
      </c>
      <c r="N626" s="26">
        <f t="shared" si="642"/>
        <v>500</v>
      </c>
      <c r="O626" s="26">
        <f ca="1">IFERROR(__xludf.DUMMYFUNCTION("ROUND(GOOGLEFINANCE(""Currency:EURKZT"")*K626)"),1903592)</f>
        <v>1903592</v>
      </c>
      <c r="P626" s="26">
        <f ca="1">IFERROR(__xludf.DUMMYFUNCTION("ROUND(GOOGLEFINANCE(""Currency:EURKZT"")*M626)"),238785)</f>
        <v>238785</v>
      </c>
      <c r="Q626" s="26">
        <f ca="1">IFERROR(__xludf.DUMMYFUNCTION("ROUND(GOOGLEFINANCE(""Currency:EURKZT"")*N626)"),238785)</f>
        <v>238785</v>
      </c>
      <c r="R626" s="26">
        <f t="shared" ca="1" si="529"/>
        <v>228431</v>
      </c>
      <c r="S626" s="26">
        <f t="shared" ca="1" si="530"/>
        <v>2609593</v>
      </c>
      <c r="T626" s="26">
        <f ca="1">IFERROR(__xludf.DUMMYFUNCTION("ROUND(GOOGLEFINANCE(""Currency:EURKZT"")*L626+S626)"),2971276)</f>
        <v>2971276</v>
      </c>
      <c r="U626" s="26">
        <f ca="1">IFERROR(__xludf.DUMMYFUNCTION("D626*GOOGLEFINANCE(""RUBKZT"")*1000/F626"),3461387.62197703)</f>
        <v>3461387.6219770298</v>
      </c>
      <c r="V626" s="27">
        <f t="shared" ca="1" si="531"/>
        <v>0.16494988078422532</v>
      </c>
    </row>
    <row r="627" spans="1:22" ht="12.75" customHeight="1" x14ac:dyDescent="0.2">
      <c r="A627" s="6" t="s">
        <v>455</v>
      </c>
      <c r="B627" s="6" t="s">
        <v>15</v>
      </c>
      <c r="C627" s="7">
        <v>213656</v>
      </c>
      <c r="D627" s="8">
        <v>88890</v>
      </c>
      <c r="E627" s="9" t="s">
        <v>16</v>
      </c>
      <c r="F627" s="23">
        <v>208</v>
      </c>
      <c r="G627" s="25"/>
      <c r="H627" s="14">
        <f t="shared" si="525"/>
        <v>0.55000000000000004</v>
      </c>
      <c r="I627" s="25">
        <f ca="1">IFERROR(__xludf.DUMMYFUNCTION("ROUND(D627*GOOGLEFINANCE(""RUBKZT"")*H627)"),381510)</f>
        <v>381510</v>
      </c>
      <c r="J627" s="26">
        <f ca="1">IFERROR(__xludf.DUMMYFUNCTION("ROUND(I627*GOOGLEFINANCE(""KZTEUR""))"),799)</f>
        <v>799</v>
      </c>
      <c r="K627" s="26">
        <f t="shared" ca="1" si="526"/>
        <v>3841</v>
      </c>
      <c r="L627" s="26">
        <f t="shared" ca="1" si="527"/>
        <v>729.79</v>
      </c>
      <c r="M627" s="26">
        <f t="shared" ref="M627:N627" si="643">M$3</f>
        <v>500</v>
      </c>
      <c r="N627" s="26">
        <f t="shared" si="643"/>
        <v>500</v>
      </c>
      <c r="O627" s="26">
        <f ca="1">IFERROR(__xludf.DUMMYFUNCTION("ROUND(GOOGLEFINANCE(""Currency:EURKZT"")*K627)"),1834345)</f>
        <v>1834345</v>
      </c>
      <c r="P627" s="26">
        <f ca="1">IFERROR(__xludf.DUMMYFUNCTION("ROUND(GOOGLEFINANCE(""Currency:EURKZT"")*M627)"),238785)</f>
        <v>238785</v>
      </c>
      <c r="Q627" s="26">
        <f ca="1">IFERROR(__xludf.DUMMYFUNCTION("ROUND(GOOGLEFINANCE(""Currency:EURKZT"")*N627)"),238785)</f>
        <v>238785</v>
      </c>
      <c r="R627" s="26">
        <f t="shared" ca="1" si="529"/>
        <v>220121</v>
      </c>
      <c r="S627" s="26">
        <f t="shared" ca="1" si="530"/>
        <v>2532036</v>
      </c>
      <c r="T627" s="26">
        <f ca="1">IFERROR(__xludf.DUMMYFUNCTION("ROUND(GOOGLEFINANCE(""Currency:EURKZT"")*L627+S627)"),2880562)</f>
        <v>2880562</v>
      </c>
      <c r="U627" s="26">
        <f ca="1">IFERROR(__xludf.DUMMYFUNCTION("D627*GOOGLEFINANCE(""RUBKZT"")*1000/F627"),3334880.51112634)</f>
        <v>3334880.5111263399</v>
      </c>
      <c r="V627" s="27">
        <f t="shared" ca="1" si="531"/>
        <v>0.1577187059769378</v>
      </c>
    </row>
    <row r="628" spans="1:22" ht="12.75" customHeight="1" x14ac:dyDescent="0.2">
      <c r="A628" s="6" t="s">
        <v>473</v>
      </c>
      <c r="B628" s="6" t="s">
        <v>15</v>
      </c>
      <c r="C628" s="7">
        <v>213693</v>
      </c>
      <c r="D628" s="8">
        <v>71788.800000000003</v>
      </c>
      <c r="E628" s="9" t="s">
        <v>16</v>
      </c>
      <c r="F628" s="23">
        <v>208</v>
      </c>
      <c r="G628" s="25"/>
      <c r="H628" s="14">
        <f t="shared" si="525"/>
        <v>0.55000000000000004</v>
      </c>
      <c r="I628" s="25">
        <f ca="1">IFERROR(__xludf.DUMMYFUNCTION("ROUND(D628*GOOGLEFINANCE(""RUBKZT"")*H628)"),308113)</f>
        <v>308113</v>
      </c>
      <c r="J628" s="26">
        <f ca="1">IFERROR(__xludf.DUMMYFUNCTION("ROUND(I628*GOOGLEFINANCE(""KZTEUR""))"),645)</f>
        <v>645</v>
      </c>
      <c r="K628" s="26">
        <f t="shared" ca="1" si="526"/>
        <v>3101</v>
      </c>
      <c r="L628" s="26">
        <f t="shared" ca="1" si="527"/>
        <v>589.19000000000005</v>
      </c>
      <c r="M628" s="26">
        <f t="shared" ref="M628:N628" si="644">M$3</f>
        <v>500</v>
      </c>
      <c r="N628" s="26">
        <f t="shared" si="644"/>
        <v>500</v>
      </c>
      <c r="O628" s="26">
        <f ca="1">IFERROR(__xludf.DUMMYFUNCTION("ROUND(GOOGLEFINANCE(""Currency:EURKZT"")*K628)"),1480943)</f>
        <v>1480943</v>
      </c>
      <c r="P628" s="26">
        <f ca="1">IFERROR(__xludf.DUMMYFUNCTION("ROUND(GOOGLEFINANCE(""Currency:EURKZT"")*M628)"),238785)</f>
        <v>238785</v>
      </c>
      <c r="Q628" s="26">
        <f ca="1">IFERROR(__xludf.DUMMYFUNCTION("ROUND(GOOGLEFINANCE(""Currency:EURKZT"")*N628)"),238785)</f>
        <v>238785</v>
      </c>
      <c r="R628" s="26">
        <f t="shared" ca="1" si="529"/>
        <v>177713</v>
      </c>
      <c r="S628" s="26">
        <f t="shared" ca="1" si="530"/>
        <v>2136226</v>
      </c>
      <c r="T628" s="26">
        <f ca="1">IFERROR(__xludf.DUMMYFUNCTION("ROUND(GOOGLEFINANCE(""Currency:EURKZT"")*L628+S628)"),2417605)</f>
        <v>2417605</v>
      </c>
      <c r="U628" s="26">
        <f ca="1">IFERROR(__xludf.DUMMYFUNCTION("D628*GOOGLEFINANCE(""RUBKZT"")*1000/F628"),2693295.8717195)</f>
        <v>2693295.8717195</v>
      </c>
      <c r="V628" s="27">
        <f t="shared" ca="1" si="531"/>
        <v>0.11403470447798547</v>
      </c>
    </row>
    <row r="629" spans="1:22" ht="12.75" customHeight="1" x14ac:dyDescent="0.2">
      <c r="A629" s="6" t="s">
        <v>481</v>
      </c>
      <c r="B629" s="6" t="s">
        <v>15</v>
      </c>
      <c r="C629" s="7">
        <v>213721</v>
      </c>
      <c r="D629" s="8">
        <v>131258.4</v>
      </c>
      <c r="E629" s="9" t="s">
        <v>16</v>
      </c>
      <c r="F629" s="23">
        <v>208</v>
      </c>
      <c r="G629" s="25"/>
      <c r="H629" s="14">
        <f t="shared" si="525"/>
        <v>0.55000000000000004</v>
      </c>
      <c r="I629" s="25">
        <f ca="1">IFERROR(__xludf.DUMMYFUNCTION("ROUND(D629*GOOGLEFINANCE(""RUBKZT"")*H629)"),563353)</f>
        <v>563353</v>
      </c>
      <c r="J629" s="26">
        <f ca="1">IFERROR(__xludf.DUMMYFUNCTION("ROUND(I629*GOOGLEFINANCE(""KZTEUR""))"),1180)</f>
        <v>1180</v>
      </c>
      <c r="K629" s="26">
        <f t="shared" ca="1" si="526"/>
        <v>5673</v>
      </c>
      <c r="L629" s="26">
        <f t="shared" ca="1" si="527"/>
        <v>1077.8700000000001</v>
      </c>
      <c r="M629" s="26">
        <f t="shared" ref="M629:N629" si="645">M$3</f>
        <v>500</v>
      </c>
      <c r="N629" s="26">
        <f t="shared" si="645"/>
        <v>500</v>
      </c>
      <c r="O629" s="26">
        <f ca="1">IFERROR(__xludf.DUMMYFUNCTION("ROUND(GOOGLEFINANCE(""Currency:EURKZT"")*K629)"),2709252)</f>
        <v>2709252</v>
      </c>
      <c r="P629" s="26">
        <f ca="1">IFERROR(__xludf.DUMMYFUNCTION("ROUND(GOOGLEFINANCE(""Currency:EURKZT"")*M629)"),238785)</f>
        <v>238785</v>
      </c>
      <c r="Q629" s="26">
        <f ca="1">IFERROR(__xludf.DUMMYFUNCTION("ROUND(GOOGLEFINANCE(""Currency:EURKZT"")*N629)"),238785)</f>
        <v>238785</v>
      </c>
      <c r="R629" s="26">
        <f t="shared" ca="1" si="529"/>
        <v>325110</v>
      </c>
      <c r="S629" s="26">
        <f t="shared" ca="1" si="530"/>
        <v>3511932</v>
      </c>
      <c r="T629" s="26">
        <f ca="1">IFERROR(__xludf.DUMMYFUNCTION("ROUND(GOOGLEFINANCE(""Currency:EURKZT"")*L629+S629)"),4026690)</f>
        <v>4026690</v>
      </c>
      <c r="U629" s="26">
        <f ca="1">IFERROR(__xludf.DUMMYFUNCTION("D629*GOOGLEFINANCE(""RUBKZT"")*1000/F629"),4924413.0957546)</f>
        <v>4924413.0957546001</v>
      </c>
      <c r="V629" s="27">
        <f t="shared" ca="1" si="531"/>
        <v>0.22294318553317988</v>
      </c>
    </row>
    <row r="630" spans="1:22" ht="12.75" customHeight="1" x14ac:dyDescent="0.2">
      <c r="A630" s="6" t="s">
        <v>494</v>
      </c>
      <c r="B630" s="6" t="s">
        <v>15</v>
      </c>
      <c r="C630" s="7">
        <v>213776</v>
      </c>
      <c r="D630" s="8">
        <v>114498</v>
      </c>
      <c r="E630" s="9" t="s">
        <v>16</v>
      </c>
      <c r="F630" s="23">
        <v>208</v>
      </c>
      <c r="G630" s="25"/>
      <c r="H630" s="14">
        <f t="shared" si="525"/>
        <v>0.55000000000000004</v>
      </c>
      <c r="I630" s="25">
        <f ca="1">IFERROR(__xludf.DUMMYFUNCTION("ROUND(D630*GOOGLEFINANCE(""RUBKZT"")*H630)"),491418)</f>
        <v>491418</v>
      </c>
      <c r="J630" s="26">
        <f ca="1">IFERROR(__xludf.DUMMYFUNCTION("ROUND(I630*GOOGLEFINANCE(""KZTEUR""))"),1029)</f>
        <v>1029</v>
      </c>
      <c r="K630" s="26">
        <f t="shared" ca="1" si="526"/>
        <v>4947</v>
      </c>
      <c r="L630" s="26">
        <f t="shared" ca="1" si="527"/>
        <v>939.93000000000006</v>
      </c>
      <c r="M630" s="26">
        <f t="shared" ref="M630:N630" si="646">M$3</f>
        <v>500</v>
      </c>
      <c r="N630" s="26">
        <f t="shared" si="646"/>
        <v>500</v>
      </c>
      <c r="O630" s="26">
        <f ca="1">IFERROR(__xludf.DUMMYFUNCTION("ROUND(GOOGLEFINANCE(""Currency:EURKZT"")*K630)"),2362537)</f>
        <v>2362537</v>
      </c>
      <c r="P630" s="26">
        <f ca="1">IFERROR(__xludf.DUMMYFUNCTION("ROUND(GOOGLEFINANCE(""Currency:EURKZT"")*M630)"),238785)</f>
        <v>238785</v>
      </c>
      <c r="Q630" s="26">
        <f ca="1">IFERROR(__xludf.DUMMYFUNCTION("ROUND(GOOGLEFINANCE(""Currency:EURKZT"")*N630)"),238785)</f>
        <v>238785</v>
      </c>
      <c r="R630" s="26">
        <f t="shared" ca="1" si="529"/>
        <v>283504</v>
      </c>
      <c r="S630" s="26">
        <f t="shared" ca="1" si="530"/>
        <v>3123611</v>
      </c>
      <c r="T630" s="26">
        <f ca="1">IFERROR(__xludf.DUMMYFUNCTION("ROUND(GOOGLEFINANCE(""Currency:EURKZT"")*L630+S630)"),3572493)</f>
        <v>3572493</v>
      </c>
      <c r="U630" s="26">
        <f ca="1">IFERROR(__xludf.DUMMYFUNCTION("D630*GOOGLEFINANCE(""RUBKZT"")*1000/F630"),4295614.22840526)</f>
        <v>4295614.2284052595</v>
      </c>
      <c r="V630" s="27">
        <f t="shared" ca="1" si="531"/>
        <v>0.20241361659918145</v>
      </c>
    </row>
    <row r="631" spans="1:22" ht="12.75" customHeight="1" x14ac:dyDescent="0.2">
      <c r="A631" s="6" t="s">
        <v>499</v>
      </c>
      <c r="B631" s="6" t="s">
        <v>15</v>
      </c>
      <c r="C631" s="7">
        <v>213809</v>
      </c>
      <c r="D631" s="8">
        <v>131348.4</v>
      </c>
      <c r="E631" s="9" t="s">
        <v>16</v>
      </c>
      <c r="F631" s="23">
        <v>208</v>
      </c>
      <c r="G631" s="25"/>
      <c r="H631" s="14">
        <f t="shared" si="525"/>
        <v>0.55000000000000004</v>
      </c>
      <c r="I631" s="25">
        <f ca="1">IFERROR(__xludf.DUMMYFUNCTION("ROUND(D631*GOOGLEFINANCE(""RUBKZT"")*H631)"),563739)</f>
        <v>563739</v>
      </c>
      <c r="J631" s="26">
        <f ca="1">IFERROR(__xludf.DUMMYFUNCTION("ROUND(I631*GOOGLEFINANCE(""KZTEUR""))"),1181)</f>
        <v>1181</v>
      </c>
      <c r="K631" s="26">
        <f t="shared" ca="1" si="526"/>
        <v>5678</v>
      </c>
      <c r="L631" s="26">
        <f t="shared" ca="1" si="527"/>
        <v>1078.82</v>
      </c>
      <c r="M631" s="26">
        <f t="shared" ref="M631:N631" si="647">M$3</f>
        <v>500</v>
      </c>
      <c r="N631" s="26">
        <f t="shared" si="647"/>
        <v>500</v>
      </c>
      <c r="O631" s="26">
        <f ca="1">IFERROR(__xludf.DUMMYFUNCTION("ROUND(GOOGLEFINANCE(""Currency:EURKZT"")*K631)"),2711640)</f>
        <v>2711640</v>
      </c>
      <c r="P631" s="26">
        <f ca="1">IFERROR(__xludf.DUMMYFUNCTION("ROUND(GOOGLEFINANCE(""Currency:EURKZT"")*M631)"),238785)</f>
        <v>238785</v>
      </c>
      <c r="Q631" s="26">
        <f ca="1">IFERROR(__xludf.DUMMYFUNCTION("ROUND(GOOGLEFINANCE(""Currency:EURKZT"")*N631)"),238785)</f>
        <v>238785</v>
      </c>
      <c r="R631" s="26">
        <f t="shared" ca="1" si="529"/>
        <v>325397</v>
      </c>
      <c r="S631" s="26">
        <f t="shared" ca="1" si="530"/>
        <v>3514607</v>
      </c>
      <c r="T631" s="26">
        <f ca="1">IFERROR(__xludf.DUMMYFUNCTION("ROUND(GOOGLEFINANCE(""Currency:EURKZT"")*L631+S631)"),4029819)</f>
        <v>4029819</v>
      </c>
      <c r="U631" s="26">
        <f ca="1">IFERROR(__xludf.DUMMYFUNCTION("D631*GOOGLEFINANCE(""RUBKZT"")*1000/F631"),4927789.62006556)</f>
        <v>4927789.6200655596</v>
      </c>
      <c r="V631" s="27">
        <f t="shared" ca="1" si="531"/>
        <v>0.22283150187776662</v>
      </c>
    </row>
    <row r="632" spans="1:22" ht="12.75" customHeight="1" x14ac:dyDescent="0.2">
      <c r="A632" s="6" t="s">
        <v>519</v>
      </c>
      <c r="B632" s="6" t="s">
        <v>15</v>
      </c>
      <c r="C632" s="7">
        <v>213857</v>
      </c>
      <c r="D632" s="8">
        <v>124369.2</v>
      </c>
      <c r="E632" s="9" t="s">
        <v>16</v>
      </c>
      <c r="F632" s="23">
        <v>208</v>
      </c>
      <c r="G632" s="25"/>
      <c r="H632" s="14">
        <f t="shared" si="525"/>
        <v>0.55000000000000004</v>
      </c>
      <c r="I632" s="25">
        <f ca="1">IFERROR(__xludf.DUMMYFUNCTION("ROUND(D632*GOOGLEFINANCE(""RUBKZT"")*H632)"),533785)</f>
        <v>533785</v>
      </c>
      <c r="J632" s="26">
        <f ca="1">IFERROR(__xludf.DUMMYFUNCTION("ROUND(I632*GOOGLEFINANCE(""KZTEUR""))"),1118)</f>
        <v>1118</v>
      </c>
      <c r="K632" s="26">
        <f t="shared" ca="1" si="526"/>
        <v>5375</v>
      </c>
      <c r="L632" s="26">
        <f t="shared" ca="1" si="527"/>
        <v>1021.25</v>
      </c>
      <c r="M632" s="26">
        <f t="shared" ref="M632:N632" si="648">M$3</f>
        <v>500</v>
      </c>
      <c r="N632" s="26">
        <f t="shared" si="648"/>
        <v>500</v>
      </c>
      <c r="O632" s="26">
        <f ca="1">IFERROR(__xludf.DUMMYFUNCTION("ROUND(GOOGLEFINANCE(""Currency:EURKZT"")*K632)"),2566937)</f>
        <v>2566937</v>
      </c>
      <c r="P632" s="26">
        <f ca="1">IFERROR(__xludf.DUMMYFUNCTION("ROUND(GOOGLEFINANCE(""Currency:EURKZT"")*M632)"),238785)</f>
        <v>238785</v>
      </c>
      <c r="Q632" s="26">
        <f ca="1">IFERROR(__xludf.DUMMYFUNCTION("ROUND(GOOGLEFINANCE(""Currency:EURKZT"")*N632)"),238785)</f>
        <v>238785</v>
      </c>
      <c r="R632" s="26">
        <f t="shared" ca="1" si="529"/>
        <v>308032</v>
      </c>
      <c r="S632" s="26">
        <f t="shared" ca="1" si="530"/>
        <v>3352539</v>
      </c>
      <c r="T632" s="26">
        <f ca="1">IFERROR(__xludf.DUMMYFUNCTION("ROUND(GOOGLEFINANCE(""Currency:EURKZT"")*L632+S632)"),3840257)</f>
        <v>3840257</v>
      </c>
      <c r="U632" s="26">
        <f ca="1">IFERROR(__xludf.DUMMYFUNCTION("D632*GOOGLEFINANCE(""RUBKZT"")*1000/F632"),4665951.41483153)</f>
        <v>4665951.4148315303</v>
      </c>
      <c r="V632" s="27">
        <f t="shared" ca="1" si="531"/>
        <v>0.21501019719032613</v>
      </c>
    </row>
    <row r="633" spans="1:22" ht="12.75" customHeight="1" x14ac:dyDescent="0.2">
      <c r="A633" s="6" t="s">
        <v>584</v>
      </c>
      <c r="B633" s="6" t="s">
        <v>15</v>
      </c>
      <c r="C633" s="7">
        <v>214018</v>
      </c>
      <c r="D633" s="8">
        <v>101115.59999999999</v>
      </c>
      <c r="E633" s="9" t="s">
        <v>16</v>
      </c>
      <c r="F633" s="23">
        <v>208</v>
      </c>
      <c r="G633" s="25"/>
      <c r="H633" s="14">
        <f t="shared" si="525"/>
        <v>0.55000000000000004</v>
      </c>
      <c r="I633" s="25">
        <f ca="1">IFERROR(__xludf.DUMMYFUNCTION("ROUND(D633*GOOGLEFINANCE(""RUBKZT"")*H633)"),433982)</f>
        <v>433982</v>
      </c>
      <c r="J633" s="26">
        <f ca="1">IFERROR(__xludf.DUMMYFUNCTION("ROUND(I633*GOOGLEFINANCE(""KZTEUR""))"),909)</f>
        <v>909</v>
      </c>
      <c r="K633" s="26">
        <f t="shared" ca="1" si="526"/>
        <v>4370</v>
      </c>
      <c r="L633" s="26">
        <f t="shared" ca="1" si="527"/>
        <v>830.3</v>
      </c>
      <c r="M633" s="26">
        <f t="shared" ref="M633:N633" si="649">M$3</f>
        <v>500</v>
      </c>
      <c r="N633" s="26">
        <f t="shared" si="649"/>
        <v>500</v>
      </c>
      <c r="O633" s="26">
        <f ca="1">IFERROR(__xludf.DUMMYFUNCTION("ROUND(GOOGLEFINANCE(""Currency:EURKZT"")*K633)"),2086979)</f>
        <v>2086979</v>
      </c>
      <c r="P633" s="26">
        <f ca="1">IFERROR(__xludf.DUMMYFUNCTION("ROUND(GOOGLEFINANCE(""Currency:EURKZT"")*M633)"),238785)</f>
        <v>238785</v>
      </c>
      <c r="Q633" s="26">
        <f ca="1">IFERROR(__xludf.DUMMYFUNCTION("ROUND(GOOGLEFINANCE(""Currency:EURKZT"")*N633)"),238785)</f>
        <v>238785</v>
      </c>
      <c r="R633" s="26">
        <f t="shared" ca="1" si="529"/>
        <v>250437</v>
      </c>
      <c r="S633" s="26">
        <f t="shared" ca="1" si="530"/>
        <v>2814986</v>
      </c>
      <c r="T633" s="26">
        <f ca="1">IFERROR(__xludf.DUMMYFUNCTION("ROUND(GOOGLEFINANCE(""Currency:EURKZT"")*L633+S633)"),3211512)</f>
        <v>3211512</v>
      </c>
      <c r="U633" s="26">
        <f ca="1">IFERROR(__xludf.DUMMYFUNCTION("D633*GOOGLEFINANCE(""RUBKZT"")*1000/F633"),3793547.57352736)</f>
        <v>3793547.5735273599</v>
      </c>
      <c r="V633" s="27">
        <f t="shared" ca="1" si="531"/>
        <v>0.18123412695557728</v>
      </c>
    </row>
    <row r="634" spans="1:22" ht="12.75" customHeight="1" x14ac:dyDescent="0.2">
      <c r="A634" s="6" t="s">
        <v>593</v>
      </c>
      <c r="B634" s="6" t="s">
        <v>15</v>
      </c>
      <c r="C634" s="7">
        <v>214075</v>
      </c>
      <c r="D634" s="8">
        <v>337952.39999999997</v>
      </c>
      <c r="E634" s="9" t="s">
        <v>16</v>
      </c>
      <c r="F634" s="23">
        <v>208</v>
      </c>
      <c r="G634" s="25"/>
      <c r="H634" s="14">
        <f t="shared" si="525"/>
        <v>0.55000000000000004</v>
      </c>
      <c r="I634" s="25">
        <f ca="1">IFERROR(__xludf.DUMMYFUNCTION("ROUND(D634*GOOGLEFINANCE(""RUBKZT"")*H634)"),1450471)</f>
        <v>1450471</v>
      </c>
      <c r="J634" s="26">
        <f ca="1">IFERROR(__xludf.DUMMYFUNCTION("ROUND(I634*GOOGLEFINANCE(""KZTEUR""))"),3038)</f>
        <v>3038</v>
      </c>
      <c r="K634" s="26">
        <f t="shared" ca="1" si="526"/>
        <v>14606</v>
      </c>
      <c r="L634" s="26">
        <f t="shared" ca="1" si="527"/>
        <v>2775.14</v>
      </c>
      <c r="M634" s="26">
        <f t="shared" ref="M634:N634" si="650">M$3</f>
        <v>500</v>
      </c>
      <c r="N634" s="26">
        <f t="shared" si="650"/>
        <v>500</v>
      </c>
      <c r="O634" s="26">
        <f ca="1">IFERROR(__xludf.DUMMYFUNCTION("ROUND(GOOGLEFINANCE(""Currency:EURKZT"")*K634)"),6975382)</f>
        <v>6975382</v>
      </c>
      <c r="P634" s="26">
        <f ca="1">IFERROR(__xludf.DUMMYFUNCTION("ROUND(GOOGLEFINANCE(""Currency:EURKZT"")*M634)"),238785)</f>
        <v>238785</v>
      </c>
      <c r="Q634" s="26">
        <f ca="1">IFERROR(__xludf.DUMMYFUNCTION("ROUND(GOOGLEFINANCE(""Currency:EURKZT"")*N634)"),238785)</f>
        <v>238785</v>
      </c>
      <c r="R634" s="26">
        <f t="shared" ca="1" si="529"/>
        <v>837046</v>
      </c>
      <c r="S634" s="26">
        <f t="shared" ca="1" si="530"/>
        <v>8289998</v>
      </c>
      <c r="T634" s="26">
        <f ca="1">IFERROR(__xludf.DUMMYFUNCTION("ROUND(GOOGLEFINANCE(""Currency:EURKZT"")*L634+S634)"),9615321)</f>
        <v>9615321</v>
      </c>
      <c r="U634" s="26">
        <f ca="1">IFERROR(__xludf.DUMMYFUNCTION("D634*GOOGLEFINANCE(""RUBKZT"")*1000/F634"),12678938.8283088)</f>
        <v>12678938.8283088</v>
      </c>
      <c r="V634" s="27">
        <f t="shared" ca="1" si="531"/>
        <v>0.31861836212319905</v>
      </c>
    </row>
    <row r="635" spans="1:22" ht="12.75" customHeight="1" x14ac:dyDescent="0.2">
      <c r="A635" s="6" t="s">
        <v>594</v>
      </c>
      <c r="B635" s="6" t="s">
        <v>15</v>
      </c>
      <c r="C635" s="7">
        <v>214077</v>
      </c>
      <c r="D635" s="8">
        <v>140008.79999999999</v>
      </c>
      <c r="E635" s="9" t="s">
        <v>16</v>
      </c>
      <c r="F635" s="23">
        <v>208</v>
      </c>
      <c r="G635" s="25"/>
      <c r="H635" s="14">
        <f t="shared" si="525"/>
        <v>0.55000000000000004</v>
      </c>
      <c r="I635" s="25">
        <f ca="1">IFERROR(__xludf.DUMMYFUNCTION("ROUND(D635*GOOGLEFINANCE(""RUBKZT"")*H635)"),600909)</f>
        <v>600909</v>
      </c>
      <c r="J635" s="26">
        <f ca="1">IFERROR(__xludf.DUMMYFUNCTION("ROUND(I635*GOOGLEFINANCE(""KZTEUR""))"),1258)</f>
        <v>1258</v>
      </c>
      <c r="K635" s="26">
        <f t="shared" ca="1" si="526"/>
        <v>6048</v>
      </c>
      <c r="L635" s="26">
        <f t="shared" ca="1" si="527"/>
        <v>1149.1200000000001</v>
      </c>
      <c r="M635" s="26">
        <f t="shared" ref="M635:N635" si="651">M$3</f>
        <v>500</v>
      </c>
      <c r="N635" s="26">
        <f t="shared" si="651"/>
        <v>500</v>
      </c>
      <c r="O635" s="26">
        <f ca="1">IFERROR(__xludf.DUMMYFUNCTION("ROUND(GOOGLEFINANCE(""Currency:EURKZT"")*K635)"),2888341)</f>
        <v>2888341</v>
      </c>
      <c r="P635" s="26">
        <f ca="1">IFERROR(__xludf.DUMMYFUNCTION("ROUND(GOOGLEFINANCE(""Currency:EURKZT"")*M635)"),238785)</f>
        <v>238785</v>
      </c>
      <c r="Q635" s="26">
        <f ca="1">IFERROR(__xludf.DUMMYFUNCTION("ROUND(GOOGLEFINANCE(""Currency:EURKZT"")*N635)"),238785)</f>
        <v>238785</v>
      </c>
      <c r="R635" s="26">
        <f t="shared" ca="1" si="529"/>
        <v>346601</v>
      </c>
      <c r="S635" s="26">
        <f t="shared" ca="1" si="530"/>
        <v>3712512</v>
      </c>
      <c r="T635" s="26">
        <f ca="1">IFERROR(__xludf.DUMMYFUNCTION("ROUND(GOOGLEFINANCE(""Currency:EURKZT"")*L635+S635)"),4261297)</f>
        <v>4261297</v>
      </c>
      <c r="U635" s="26">
        <f ca="1">IFERROR(__xludf.DUMMYFUNCTION("D635*GOOGLEFINANCE(""RUBKZT"")*1000/F635"),5252701.29942835)</f>
        <v>5252701.2994283503</v>
      </c>
      <c r="V635" s="27">
        <f t="shared" ca="1" si="531"/>
        <v>0.23265318034118493</v>
      </c>
    </row>
    <row r="636" spans="1:22" ht="12.75" customHeight="1" x14ac:dyDescent="0.2">
      <c r="A636" s="6" t="s">
        <v>595</v>
      </c>
      <c r="B636" s="6" t="s">
        <v>15</v>
      </c>
      <c r="C636" s="7">
        <v>214079</v>
      </c>
      <c r="D636" s="8">
        <v>115741.2</v>
      </c>
      <c r="E636" s="9" t="s">
        <v>16</v>
      </c>
      <c r="F636" s="23">
        <v>208</v>
      </c>
      <c r="G636" s="25"/>
      <c r="H636" s="14">
        <f t="shared" si="525"/>
        <v>0.55000000000000004</v>
      </c>
      <c r="I636" s="25">
        <f ca="1">IFERROR(__xludf.DUMMYFUNCTION("ROUND(D636*GOOGLEFINANCE(""RUBKZT"")*H636)"),496754)</f>
        <v>496754</v>
      </c>
      <c r="J636" s="26">
        <f ca="1">IFERROR(__xludf.DUMMYFUNCTION("ROUND(I636*GOOGLEFINANCE(""KZTEUR""))"),1040)</f>
        <v>1040</v>
      </c>
      <c r="K636" s="26">
        <f t="shared" ca="1" si="526"/>
        <v>5000</v>
      </c>
      <c r="L636" s="26">
        <f t="shared" ca="1" si="527"/>
        <v>950</v>
      </c>
      <c r="M636" s="26">
        <f t="shared" ref="M636:N636" si="652">M$3</f>
        <v>500</v>
      </c>
      <c r="N636" s="26">
        <f t="shared" si="652"/>
        <v>500</v>
      </c>
      <c r="O636" s="26">
        <f ca="1">IFERROR(__xludf.DUMMYFUNCTION("ROUND(GOOGLEFINANCE(""Currency:EURKZT"")*K636)"),2387848)</f>
        <v>2387848</v>
      </c>
      <c r="P636" s="26">
        <f ca="1">IFERROR(__xludf.DUMMYFUNCTION("ROUND(GOOGLEFINANCE(""Currency:EURKZT"")*M636)"),238785)</f>
        <v>238785</v>
      </c>
      <c r="Q636" s="26">
        <f ca="1">IFERROR(__xludf.DUMMYFUNCTION("ROUND(GOOGLEFINANCE(""Currency:EURKZT"")*N636)"),238785)</f>
        <v>238785</v>
      </c>
      <c r="R636" s="26">
        <f t="shared" ca="1" si="529"/>
        <v>286542</v>
      </c>
      <c r="S636" s="26">
        <f t="shared" ca="1" si="530"/>
        <v>3151960</v>
      </c>
      <c r="T636" s="26">
        <f ca="1">IFERROR(__xludf.DUMMYFUNCTION("ROUND(GOOGLEFINANCE(""Currency:EURKZT"")*L636+S636)"),3605651)</f>
        <v>3605651</v>
      </c>
      <c r="U636" s="26">
        <f ca="1">IFERROR(__xludf.DUMMYFUNCTION("D636*GOOGLEFINANCE(""RUBKZT"")*1000/F636"),4342255.28422068)</f>
        <v>4342255.2842206797</v>
      </c>
      <c r="V636" s="27">
        <f t="shared" ca="1" si="531"/>
        <v>0.20429162007656307</v>
      </c>
    </row>
    <row r="637" spans="1:22" ht="12.75" customHeight="1" x14ac:dyDescent="0.2">
      <c r="A637" s="6" t="s">
        <v>597</v>
      </c>
      <c r="B637" s="6" t="s">
        <v>15</v>
      </c>
      <c r="C637" s="7">
        <v>214085</v>
      </c>
      <c r="D637" s="8">
        <v>130344</v>
      </c>
      <c r="E637" s="9" t="s">
        <v>16</v>
      </c>
      <c r="F637" s="23">
        <v>208</v>
      </c>
      <c r="G637" s="25"/>
      <c r="H637" s="14">
        <f t="shared" si="525"/>
        <v>0.55000000000000004</v>
      </c>
      <c r="I637" s="25">
        <f ca="1">IFERROR(__xludf.DUMMYFUNCTION("ROUND(D637*GOOGLEFINANCE(""RUBKZT"")*H637)"),559428)</f>
        <v>559428</v>
      </c>
      <c r="J637" s="26">
        <f ca="1">IFERROR(__xludf.DUMMYFUNCTION("ROUND(I637*GOOGLEFINANCE(""KZTEUR""))"),1172)</f>
        <v>1172</v>
      </c>
      <c r="K637" s="26">
        <f t="shared" ca="1" si="526"/>
        <v>5635</v>
      </c>
      <c r="L637" s="26">
        <f t="shared" ca="1" si="527"/>
        <v>1070.6500000000001</v>
      </c>
      <c r="M637" s="26">
        <f t="shared" ref="M637:N637" si="653">M$3</f>
        <v>500</v>
      </c>
      <c r="N637" s="26">
        <f t="shared" si="653"/>
        <v>500</v>
      </c>
      <c r="O637" s="26">
        <f ca="1">IFERROR(__xludf.DUMMYFUNCTION("ROUND(GOOGLEFINANCE(""Currency:EURKZT"")*K637)"),2691105)</f>
        <v>2691105</v>
      </c>
      <c r="P637" s="26">
        <f ca="1">IFERROR(__xludf.DUMMYFUNCTION("ROUND(GOOGLEFINANCE(""Currency:EURKZT"")*M637)"),238785)</f>
        <v>238785</v>
      </c>
      <c r="Q637" s="26">
        <f ca="1">IFERROR(__xludf.DUMMYFUNCTION("ROUND(GOOGLEFINANCE(""Currency:EURKZT"")*N637)"),238785)</f>
        <v>238785</v>
      </c>
      <c r="R637" s="26">
        <f t="shared" ca="1" si="529"/>
        <v>322933</v>
      </c>
      <c r="S637" s="26">
        <f t="shared" ca="1" si="530"/>
        <v>3491608</v>
      </c>
      <c r="T637" s="26">
        <f ca="1">IFERROR(__xludf.DUMMYFUNCTION("ROUND(GOOGLEFINANCE(""Currency:EURKZT"")*L637+S637)"),4002918)</f>
        <v>4002918</v>
      </c>
      <c r="U637" s="26">
        <f ca="1">IFERROR(__xludf.DUMMYFUNCTION("D637*GOOGLEFINANCE(""RUBKZT"")*1000/F637"),4890107.60875523)</f>
        <v>4890107.60875523</v>
      </c>
      <c r="V637" s="27">
        <f t="shared" ca="1" si="531"/>
        <v>0.22163571893184672</v>
      </c>
    </row>
    <row r="638" spans="1:22" ht="12.75" customHeight="1" x14ac:dyDescent="0.2">
      <c r="A638" s="6" t="s">
        <v>598</v>
      </c>
      <c r="B638" s="6" t="s">
        <v>15</v>
      </c>
      <c r="C638" s="7">
        <v>214090</v>
      </c>
      <c r="D638" s="8">
        <v>88245.599999999991</v>
      </c>
      <c r="E638" s="9" t="s">
        <v>16</v>
      </c>
      <c r="F638" s="23">
        <v>208</v>
      </c>
      <c r="G638" s="25"/>
      <c r="H638" s="14">
        <f t="shared" si="525"/>
        <v>0.55000000000000004</v>
      </c>
      <c r="I638" s="25">
        <f ca="1">IFERROR(__xludf.DUMMYFUNCTION("ROUND(D638*GOOGLEFINANCE(""RUBKZT"")*H638)"),378745)</f>
        <v>378745</v>
      </c>
      <c r="J638" s="26">
        <f ca="1">IFERROR(__xludf.DUMMYFUNCTION("ROUND(I638*GOOGLEFINANCE(""KZTEUR""))"),793)</f>
        <v>793</v>
      </c>
      <c r="K638" s="26">
        <f t="shared" ca="1" si="526"/>
        <v>3813</v>
      </c>
      <c r="L638" s="26">
        <f t="shared" ca="1" si="527"/>
        <v>724.47</v>
      </c>
      <c r="M638" s="26">
        <f t="shared" ref="M638:N638" si="654">M$3</f>
        <v>500</v>
      </c>
      <c r="N638" s="26">
        <f t="shared" si="654"/>
        <v>500</v>
      </c>
      <c r="O638" s="26">
        <f ca="1">IFERROR(__xludf.DUMMYFUNCTION("ROUND(GOOGLEFINANCE(""Currency:EURKZT"")*K638)"),1820973)</f>
        <v>1820973</v>
      </c>
      <c r="P638" s="26">
        <f ca="1">IFERROR(__xludf.DUMMYFUNCTION("ROUND(GOOGLEFINANCE(""Currency:EURKZT"")*M638)"),238785)</f>
        <v>238785</v>
      </c>
      <c r="Q638" s="26">
        <f ca="1">IFERROR(__xludf.DUMMYFUNCTION("ROUND(GOOGLEFINANCE(""Currency:EURKZT"")*N638)"),238785)</f>
        <v>238785</v>
      </c>
      <c r="R638" s="26">
        <f t="shared" ca="1" si="529"/>
        <v>218517</v>
      </c>
      <c r="S638" s="26">
        <f t="shared" ca="1" si="530"/>
        <v>2517060</v>
      </c>
      <c r="T638" s="26">
        <f ca="1">IFERROR(__xludf.DUMMYFUNCTION("ROUND(GOOGLEFINANCE(""Currency:EURKZT"")*L638+S638)"),2863045)</f>
        <v>2863045</v>
      </c>
      <c r="U638" s="26">
        <f ca="1">IFERROR(__xludf.DUMMYFUNCTION("D638*GOOGLEFINANCE(""RUBKZT"")*1000/F638"),3310704.59705986)</f>
        <v>3310704.5970598599</v>
      </c>
      <c r="V638" s="27">
        <f t="shared" ca="1" si="531"/>
        <v>0.15635786271604529</v>
      </c>
    </row>
    <row r="639" spans="1:22" ht="12.75" customHeight="1" x14ac:dyDescent="0.2">
      <c r="A639" s="6" t="s">
        <v>599</v>
      </c>
      <c r="B639" s="6" t="s">
        <v>15</v>
      </c>
      <c r="C639" s="7">
        <v>214095</v>
      </c>
      <c r="D639" s="8">
        <v>95236.800000000003</v>
      </c>
      <c r="E639" s="9" t="s">
        <v>16</v>
      </c>
      <c r="F639" s="23">
        <v>208</v>
      </c>
      <c r="G639" s="25"/>
      <c r="H639" s="14">
        <f t="shared" si="525"/>
        <v>0.55000000000000004</v>
      </c>
      <c r="I639" s="25">
        <f ca="1">IFERROR(__xludf.DUMMYFUNCTION("ROUND(D639*GOOGLEFINANCE(""RUBKZT"")*H639)"),408750)</f>
        <v>408750</v>
      </c>
      <c r="J639" s="26">
        <f ca="1">IFERROR(__xludf.DUMMYFUNCTION("ROUND(I639*GOOGLEFINANCE(""KZTEUR""))"),856)</f>
        <v>856</v>
      </c>
      <c r="K639" s="26">
        <f t="shared" ca="1" si="526"/>
        <v>4115</v>
      </c>
      <c r="L639" s="26">
        <f t="shared" ca="1" si="527"/>
        <v>781.85</v>
      </c>
      <c r="M639" s="26">
        <f t="shared" ref="M639:N639" si="655">M$3</f>
        <v>500</v>
      </c>
      <c r="N639" s="26">
        <f t="shared" si="655"/>
        <v>500</v>
      </c>
      <c r="O639" s="26">
        <f ca="1">IFERROR(__xludf.DUMMYFUNCTION("ROUND(GOOGLEFINANCE(""Currency:EURKZT"")*K639)"),1965199)</f>
        <v>1965199</v>
      </c>
      <c r="P639" s="26">
        <f ca="1">IFERROR(__xludf.DUMMYFUNCTION("ROUND(GOOGLEFINANCE(""Currency:EURKZT"")*M639)"),238785)</f>
        <v>238785</v>
      </c>
      <c r="Q639" s="26">
        <f ca="1">IFERROR(__xludf.DUMMYFUNCTION("ROUND(GOOGLEFINANCE(""Currency:EURKZT"")*N639)"),238785)</f>
        <v>238785</v>
      </c>
      <c r="R639" s="26">
        <f t="shared" ca="1" si="529"/>
        <v>235824</v>
      </c>
      <c r="S639" s="26">
        <f t="shared" ca="1" si="530"/>
        <v>2678593</v>
      </c>
      <c r="T639" s="26">
        <f ca="1">IFERROR(__xludf.DUMMYFUNCTION("ROUND(GOOGLEFINANCE(""Currency:EURKZT"")*L639+S639)"),3051981)</f>
        <v>3051981</v>
      </c>
      <c r="U639" s="26">
        <f ca="1">IFERROR(__xludf.DUMMYFUNCTION("D639*GOOGLEFINANCE(""RUBKZT"")*1000/F639"),3572993.00553535)</f>
        <v>3572993.0055353502</v>
      </c>
      <c r="V639" s="27">
        <f t="shared" ca="1" si="531"/>
        <v>0.1707127290554398</v>
      </c>
    </row>
    <row r="640" spans="1:22" ht="12.75" customHeight="1" x14ac:dyDescent="0.2">
      <c r="A640" s="6" t="s">
        <v>600</v>
      </c>
      <c r="B640" s="6" t="s">
        <v>15</v>
      </c>
      <c r="C640" s="7">
        <v>214097</v>
      </c>
      <c r="D640" s="8">
        <v>92871.599999999991</v>
      </c>
      <c r="E640" s="9" t="s">
        <v>16</v>
      </c>
      <c r="F640" s="23">
        <v>208</v>
      </c>
      <c r="G640" s="25"/>
      <c r="H640" s="14">
        <f t="shared" si="525"/>
        <v>0.55000000000000004</v>
      </c>
      <c r="I640" s="25">
        <f ca="1">IFERROR(__xludf.DUMMYFUNCTION("ROUND(D640*GOOGLEFINANCE(""RUBKZT"")*H640)"),398599)</f>
        <v>398599</v>
      </c>
      <c r="J640" s="26">
        <f ca="1">IFERROR(__xludf.DUMMYFUNCTION("ROUND(I640*GOOGLEFINANCE(""KZTEUR""))"),835)</f>
        <v>835</v>
      </c>
      <c r="K640" s="26">
        <f t="shared" ca="1" si="526"/>
        <v>4014</v>
      </c>
      <c r="L640" s="26">
        <f t="shared" ca="1" si="527"/>
        <v>762.66</v>
      </c>
      <c r="M640" s="26">
        <f t="shared" ref="M640:N640" si="656">M$3</f>
        <v>500</v>
      </c>
      <c r="N640" s="26">
        <f t="shared" si="656"/>
        <v>500</v>
      </c>
      <c r="O640" s="26">
        <f ca="1">IFERROR(__xludf.DUMMYFUNCTION("ROUND(GOOGLEFINANCE(""Currency:EURKZT"")*K640)"),1916964)</f>
        <v>1916964</v>
      </c>
      <c r="P640" s="26">
        <f ca="1">IFERROR(__xludf.DUMMYFUNCTION("ROUND(GOOGLEFINANCE(""Currency:EURKZT"")*M640)"),238785)</f>
        <v>238785</v>
      </c>
      <c r="Q640" s="26">
        <f ca="1">IFERROR(__xludf.DUMMYFUNCTION("ROUND(GOOGLEFINANCE(""Currency:EURKZT"")*N640)"),238785)</f>
        <v>238785</v>
      </c>
      <c r="R640" s="26">
        <f t="shared" ca="1" si="529"/>
        <v>230036</v>
      </c>
      <c r="S640" s="26">
        <f t="shared" ca="1" si="530"/>
        <v>2624570</v>
      </c>
      <c r="T640" s="26">
        <f ca="1">IFERROR(__xludf.DUMMYFUNCTION("ROUND(GOOGLEFINANCE(""Currency:EURKZT"")*L640+S640)"),2988793)</f>
        <v>2988793</v>
      </c>
      <c r="U640" s="26">
        <f ca="1">IFERROR(__xludf.DUMMYFUNCTION("D640*GOOGLEFINANCE(""RUBKZT"")*1000/F640"),3484257.94664328)</f>
        <v>3484257.9466432799</v>
      </c>
      <c r="V640" s="27">
        <f t="shared" ca="1" si="531"/>
        <v>0.16577425959016898</v>
      </c>
    </row>
    <row r="641" spans="1:22" ht="12.75" customHeight="1" x14ac:dyDescent="0.2">
      <c r="A641" s="6" t="s">
        <v>596</v>
      </c>
      <c r="B641" s="6" t="s">
        <v>15</v>
      </c>
      <c r="C641" s="7">
        <v>214101</v>
      </c>
      <c r="D641" s="8">
        <v>110193.59999999999</v>
      </c>
      <c r="E641" s="9" t="s">
        <v>16</v>
      </c>
      <c r="F641" s="23">
        <v>208</v>
      </c>
      <c r="G641" s="25"/>
      <c r="H641" s="14">
        <f t="shared" si="525"/>
        <v>0.55000000000000004</v>
      </c>
      <c r="I641" s="25">
        <f ca="1">IFERROR(__xludf.DUMMYFUNCTION("ROUND(D641*GOOGLEFINANCE(""RUBKZT"")*H641)"),472944)</f>
        <v>472944</v>
      </c>
      <c r="J641" s="26">
        <f ca="1">IFERROR(__xludf.DUMMYFUNCTION("ROUND(I641*GOOGLEFINANCE(""KZTEUR""))"),990)</f>
        <v>990</v>
      </c>
      <c r="K641" s="26">
        <f t="shared" ca="1" si="526"/>
        <v>4760</v>
      </c>
      <c r="L641" s="26">
        <f t="shared" ca="1" si="527"/>
        <v>904.4</v>
      </c>
      <c r="M641" s="26">
        <f t="shared" ref="M641:N641" si="657">M$3</f>
        <v>500</v>
      </c>
      <c r="N641" s="26">
        <f t="shared" si="657"/>
        <v>500</v>
      </c>
      <c r="O641" s="26">
        <f ca="1">IFERROR(__xludf.DUMMYFUNCTION("ROUND(GOOGLEFINANCE(""Currency:EURKZT"")*K641)"),2273231)</f>
        <v>2273231</v>
      </c>
      <c r="P641" s="26">
        <f ca="1">IFERROR(__xludf.DUMMYFUNCTION("ROUND(GOOGLEFINANCE(""Currency:EURKZT"")*M641)"),238785)</f>
        <v>238785</v>
      </c>
      <c r="Q641" s="26">
        <f ca="1">IFERROR(__xludf.DUMMYFUNCTION("ROUND(GOOGLEFINANCE(""Currency:EURKZT"")*N641)"),238785)</f>
        <v>238785</v>
      </c>
      <c r="R641" s="26">
        <f t="shared" ca="1" si="529"/>
        <v>272788</v>
      </c>
      <c r="S641" s="26">
        <f t="shared" ca="1" si="530"/>
        <v>3023589</v>
      </c>
      <c r="T641" s="26">
        <f ca="1">IFERROR(__xludf.DUMMYFUNCTION("ROUND(GOOGLEFINANCE(""Currency:EURKZT"")*L641+S641)"),3455503)</f>
        <v>3455503</v>
      </c>
      <c r="U641" s="26">
        <f ca="1">IFERROR(__xludf.DUMMYFUNCTION("D641*GOOGLEFINANCE(""RUBKZT"")*1000/F641"),4134126.32569301)</f>
        <v>4134126.3256930099</v>
      </c>
      <c r="V641" s="27">
        <f t="shared" ca="1" si="531"/>
        <v>0.1963891583057546</v>
      </c>
    </row>
    <row r="642" spans="1:22" ht="12.75" customHeight="1" x14ac:dyDescent="0.2">
      <c r="A642" s="6" t="s">
        <v>607</v>
      </c>
      <c r="B642" s="6" t="s">
        <v>15</v>
      </c>
      <c r="C642" s="7">
        <v>214134</v>
      </c>
      <c r="D642" s="8">
        <v>174466.8</v>
      </c>
      <c r="E642" s="9" t="s">
        <v>16</v>
      </c>
      <c r="F642" s="23">
        <v>208</v>
      </c>
      <c r="G642" s="25"/>
      <c r="H642" s="14">
        <f t="shared" si="525"/>
        <v>0.55000000000000004</v>
      </c>
      <c r="I642" s="25">
        <f ca="1">IFERROR(__xludf.DUMMYFUNCTION("ROUND(D642*GOOGLEFINANCE(""RUBKZT"")*H642)"),748801)</f>
        <v>748801</v>
      </c>
      <c r="J642" s="26">
        <f ca="1">IFERROR(__xludf.DUMMYFUNCTION("ROUND(I642*GOOGLEFINANCE(""KZTEUR""))"),1568)</f>
        <v>1568</v>
      </c>
      <c r="K642" s="26">
        <f t="shared" ca="1" si="526"/>
        <v>7538</v>
      </c>
      <c r="L642" s="26">
        <f t="shared" ca="1" si="527"/>
        <v>1432.22</v>
      </c>
      <c r="M642" s="26">
        <f t="shared" ref="M642:N642" si="658">M$3</f>
        <v>500</v>
      </c>
      <c r="N642" s="26">
        <f t="shared" si="658"/>
        <v>500</v>
      </c>
      <c r="O642" s="26">
        <f ca="1">IFERROR(__xludf.DUMMYFUNCTION("ROUND(GOOGLEFINANCE(""Currency:EURKZT"")*K642)"),3599920)</f>
        <v>3599920</v>
      </c>
      <c r="P642" s="26">
        <f ca="1">IFERROR(__xludf.DUMMYFUNCTION("ROUND(GOOGLEFINANCE(""Currency:EURKZT"")*M642)"),238785)</f>
        <v>238785</v>
      </c>
      <c r="Q642" s="26">
        <f ca="1">IFERROR(__xludf.DUMMYFUNCTION("ROUND(GOOGLEFINANCE(""Currency:EURKZT"")*N642)"),238785)</f>
        <v>238785</v>
      </c>
      <c r="R642" s="26">
        <f t="shared" ca="1" si="529"/>
        <v>431990</v>
      </c>
      <c r="S642" s="26">
        <f t="shared" ca="1" si="530"/>
        <v>4509480</v>
      </c>
      <c r="T642" s="26">
        <f ca="1">IFERROR(__xludf.DUMMYFUNCTION("ROUND(GOOGLEFINANCE(""Currency:EURKZT"")*L642+S642)"),5193465)</f>
        <v>5193465</v>
      </c>
      <c r="U642" s="26">
        <f ca="1">IFERROR(__xludf.DUMMYFUNCTION("D642*GOOGLEFINANCE(""RUBKZT"")*1000/F642"),6545459.90728516)</f>
        <v>6545459.9072851604</v>
      </c>
      <c r="V642" s="27">
        <f t="shared" ca="1" si="531"/>
        <v>0.26032618055289874</v>
      </c>
    </row>
    <row r="643" spans="1:22" ht="12.75" customHeight="1" x14ac:dyDescent="0.2">
      <c r="A643" s="6" t="s">
        <v>608</v>
      </c>
      <c r="B643" s="6" t="s">
        <v>15</v>
      </c>
      <c r="C643" s="7">
        <v>214139</v>
      </c>
      <c r="D643" s="8">
        <v>120126</v>
      </c>
      <c r="E643" s="9" t="s">
        <v>16</v>
      </c>
      <c r="F643" s="23">
        <v>208</v>
      </c>
      <c r="G643" s="25"/>
      <c r="H643" s="14">
        <f t="shared" si="525"/>
        <v>0.55000000000000004</v>
      </c>
      <c r="I643" s="25">
        <f ca="1">IFERROR(__xludf.DUMMYFUNCTION("ROUND(D643*GOOGLEFINANCE(""RUBKZT"")*H643)"),515573)</f>
        <v>515573</v>
      </c>
      <c r="J643" s="26">
        <f ca="1">IFERROR(__xludf.DUMMYFUNCTION("ROUND(I643*GOOGLEFINANCE(""KZTEUR""))"),1080)</f>
        <v>1080</v>
      </c>
      <c r="K643" s="26">
        <f t="shared" ca="1" si="526"/>
        <v>5192</v>
      </c>
      <c r="L643" s="26">
        <f t="shared" ca="1" si="527"/>
        <v>986.48</v>
      </c>
      <c r="M643" s="26">
        <f t="shared" ref="M643:N643" si="659">M$3</f>
        <v>500</v>
      </c>
      <c r="N643" s="26">
        <f t="shared" si="659"/>
        <v>500</v>
      </c>
      <c r="O643" s="26">
        <f ca="1">IFERROR(__xludf.DUMMYFUNCTION("ROUND(GOOGLEFINANCE(""Currency:EURKZT"")*K643)"),2479541)</f>
        <v>2479541</v>
      </c>
      <c r="P643" s="26">
        <f ca="1">IFERROR(__xludf.DUMMYFUNCTION("ROUND(GOOGLEFINANCE(""Currency:EURKZT"")*M643)"),238785)</f>
        <v>238785</v>
      </c>
      <c r="Q643" s="26">
        <f ca="1">IFERROR(__xludf.DUMMYFUNCTION("ROUND(GOOGLEFINANCE(""Currency:EURKZT"")*N643)"),238785)</f>
        <v>238785</v>
      </c>
      <c r="R643" s="26">
        <f t="shared" ca="1" si="529"/>
        <v>297545</v>
      </c>
      <c r="S643" s="26">
        <f t="shared" ca="1" si="530"/>
        <v>3254656</v>
      </c>
      <c r="T643" s="26">
        <f ca="1">IFERROR(__xludf.DUMMYFUNCTION("ROUND(GOOGLEFINANCE(""Currency:EURKZT"")*L643+S643)"),3725769)</f>
        <v>3725769</v>
      </c>
      <c r="U643" s="26">
        <f ca="1">IFERROR(__xludf.DUMMYFUNCTION("D643*GOOGLEFINANCE(""RUBKZT"")*1000/F643"),4506759.54865073)</f>
        <v>4506759.5486507304</v>
      </c>
      <c r="V643" s="27">
        <f t="shared" ca="1" si="531"/>
        <v>0.20961861796872819</v>
      </c>
    </row>
    <row r="644" spans="1:22" ht="12.75" customHeight="1" x14ac:dyDescent="0.2">
      <c r="A644" s="6" t="s">
        <v>610</v>
      </c>
      <c r="B644" s="6" t="s">
        <v>15</v>
      </c>
      <c r="C644" s="7">
        <v>214148</v>
      </c>
      <c r="D644" s="8">
        <v>240094.8</v>
      </c>
      <c r="E644" s="9" t="s">
        <v>16</v>
      </c>
      <c r="F644" s="23">
        <v>208</v>
      </c>
      <c r="G644" s="25"/>
      <c r="H644" s="14">
        <f t="shared" si="525"/>
        <v>0.55000000000000004</v>
      </c>
      <c r="I644" s="25">
        <f ca="1">IFERROR(__xludf.DUMMYFUNCTION("ROUND(D644*GOOGLEFINANCE(""RUBKZT"")*H644)"),1030472)</f>
        <v>1030472</v>
      </c>
      <c r="J644" s="26">
        <f ca="1">IFERROR(__xludf.DUMMYFUNCTION("ROUND(I644*GOOGLEFINANCE(""KZTEUR""))"),2158)</f>
        <v>2158</v>
      </c>
      <c r="K644" s="26">
        <f t="shared" ca="1" si="526"/>
        <v>10375</v>
      </c>
      <c r="L644" s="26">
        <f t="shared" ca="1" si="527"/>
        <v>1971.25</v>
      </c>
      <c r="M644" s="26">
        <f t="shared" ref="M644:N644" si="660">M$3</f>
        <v>500</v>
      </c>
      <c r="N644" s="26">
        <f t="shared" si="660"/>
        <v>500</v>
      </c>
      <c r="O644" s="26">
        <f ca="1">IFERROR(__xludf.DUMMYFUNCTION("ROUND(GOOGLEFINANCE(""Currency:EURKZT"")*K644)"),4954785)</f>
        <v>4954785</v>
      </c>
      <c r="P644" s="26">
        <f ca="1">IFERROR(__xludf.DUMMYFUNCTION("ROUND(GOOGLEFINANCE(""Currency:EURKZT"")*M644)"),238785)</f>
        <v>238785</v>
      </c>
      <c r="Q644" s="26">
        <f ca="1">IFERROR(__xludf.DUMMYFUNCTION("ROUND(GOOGLEFINANCE(""Currency:EURKZT"")*N644)"),238785)</f>
        <v>238785</v>
      </c>
      <c r="R644" s="26">
        <f t="shared" ca="1" si="529"/>
        <v>594574</v>
      </c>
      <c r="S644" s="26">
        <f t="shared" ca="1" si="530"/>
        <v>6026929</v>
      </c>
      <c r="T644" s="26">
        <f ca="1">IFERROR(__xludf.DUMMYFUNCTION("ROUND(GOOGLEFINANCE(""Currency:EURKZT"")*L644+S644)"),6968338)</f>
        <v>6968338</v>
      </c>
      <c r="U644" s="26">
        <f ca="1">IFERROR(__xludf.DUMMYFUNCTION("D644*GOOGLEFINANCE(""RUBKZT"")*1000/F644"),9007621.43483831)</f>
        <v>9007621.4348383099</v>
      </c>
      <c r="V644" s="27">
        <f t="shared" ca="1" si="531"/>
        <v>0.29264990229209747</v>
      </c>
    </row>
    <row r="645" spans="1:22" ht="12.75" customHeight="1" x14ac:dyDescent="0.2">
      <c r="A645" s="6" t="s">
        <v>613</v>
      </c>
      <c r="B645" s="6" t="s">
        <v>15</v>
      </c>
      <c r="C645" s="7">
        <v>214155</v>
      </c>
      <c r="D645" s="8">
        <v>111225.59999999999</v>
      </c>
      <c r="E645" s="9" t="s">
        <v>16</v>
      </c>
      <c r="F645" s="23">
        <v>208</v>
      </c>
      <c r="G645" s="25"/>
      <c r="H645" s="14">
        <f t="shared" si="525"/>
        <v>0.55000000000000004</v>
      </c>
      <c r="I645" s="25">
        <f ca="1">IFERROR(__xludf.DUMMYFUNCTION("ROUND(D645*GOOGLEFINANCE(""RUBKZT"")*H645)"),477373)</f>
        <v>477373</v>
      </c>
      <c r="J645" s="26">
        <f ca="1">IFERROR(__xludf.DUMMYFUNCTION("ROUND(I645*GOOGLEFINANCE(""KZTEUR""))"),1000)</f>
        <v>1000</v>
      </c>
      <c r="K645" s="26">
        <f t="shared" ca="1" si="526"/>
        <v>4808</v>
      </c>
      <c r="L645" s="26">
        <f t="shared" ca="1" si="527"/>
        <v>913.52</v>
      </c>
      <c r="M645" s="26">
        <f t="shared" ref="M645:N645" si="661">M$3</f>
        <v>500</v>
      </c>
      <c r="N645" s="26">
        <f t="shared" si="661"/>
        <v>500</v>
      </c>
      <c r="O645" s="26">
        <f ca="1">IFERROR(__xludf.DUMMYFUNCTION("ROUND(GOOGLEFINANCE(""Currency:EURKZT"")*K645)"),2296155)</f>
        <v>2296155</v>
      </c>
      <c r="P645" s="26">
        <f ca="1">IFERROR(__xludf.DUMMYFUNCTION("ROUND(GOOGLEFINANCE(""Currency:EURKZT"")*M645)"),238785)</f>
        <v>238785</v>
      </c>
      <c r="Q645" s="26">
        <f ca="1">IFERROR(__xludf.DUMMYFUNCTION("ROUND(GOOGLEFINANCE(""Currency:EURKZT"")*N645)"),238785)</f>
        <v>238785</v>
      </c>
      <c r="R645" s="26">
        <f t="shared" ca="1" si="529"/>
        <v>275539</v>
      </c>
      <c r="S645" s="26">
        <f t="shared" ca="1" si="530"/>
        <v>3049264</v>
      </c>
      <c r="T645" s="26">
        <f ca="1">IFERROR(__xludf.DUMMYFUNCTION("ROUND(GOOGLEFINANCE(""Currency:EURKZT"")*L645+S645)"),3485533)</f>
        <v>3485533</v>
      </c>
      <c r="U645" s="26">
        <f ca="1">IFERROR(__xludf.DUMMYFUNCTION("D645*GOOGLEFINANCE(""RUBKZT"")*1000/F645"),4172843.8044587)</f>
        <v>4172843.8044587001</v>
      </c>
      <c r="V645" s="27">
        <f t="shared" ca="1" si="531"/>
        <v>0.1971895846226962</v>
      </c>
    </row>
    <row r="646" spans="1:22" ht="12.75" customHeight="1" x14ac:dyDescent="0.2">
      <c r="A646" s="6" t="s">
        <v>614</v>
      </c>
      <c r="B646" s="6" t="s">
        <v>15</v>
      </c>
      <c r="C646" s="7">
        <v>214170</v>
      </c>
      <c r="D646" s="8">
        <v>120801.59999999999</v>
      </c>
      <c r="E646" s="9" t="s">
        <v>16</v>
      </c>
      <c r="F646" s="23">
        <v>208</v>
      </c>
      <c r="G646" s="25"/>
      <c r="H646" s="14">
        <f t="shared" si="525"/>
        <v>0.55000000000000004</v>
      </c>
      <c r="I646" s="25">
        <f ca="1">IFERROR(__xludf.DUMMYFUNCTION("ROUND(D646*GOOGLEFINANCE(""RUBKZT"")*H646)"),518473)</f>
        <v>518473</v>
      </c>
      <c r="J646" s="26">
        <f ca="1">IFERROR(__xludf.DUMMYFUNCTION("ROUND(I646*GOOGLEFINANCE(""KZTEUR""))"),1086)</f>
        <v>1086</v>
      </c>
      <c r="K646" s="26">
        <f t="shared" ca="1" si="526"/>
        <v>5221</v>
      </c>
      <c r="L646" s="26">
        <f t="shared" ca="1" si="527"/>
        <v>991.99</v>
      </c>
      <c r="M646" s="26">
        <f t="shared" ref="M646:N646" si="662">M$3</f>
        <v>500</v>
      </c>
      <c r="N646" s="26">
        <f t="shared" si="662"/>
        <v>500</v>
      </c>
      <c r="O646" s="26">
        <f ca="1">IFERROR(__xludf.DUMMYFUNCTION("ROUND(GOOGLEFINANCE(""Currency:EURKZT"")*K646)"),2493391)</f>
        <v>2493391</v>
      </c>
      <c r="P646" s="26">
        <f ca="1">IFERROR(__xludf.DUMMYFUNCTION("ROUND(GOOGLEFINANCE(""Currency:EURKZT"")*M646)"),238785)</f>
        <v>238785</v>
      </c>
      <c r="Q646" s="26">
        <f ca="1">IFERROR(__xludf.DUMMYFUNCTION("ROUND(GOOGLEFINANCE(""Currency:EURKZT"")*N646)"),238785)</f>
        <v>238785</v>
      </c>
      <c r="R646" s="26">
        <f t="shared" ca="1" si="529"/>
        <v>299207</v>
      </c>
      <c r="S646" s="26">
        <f t="shared" ca="1" si="530"/>
        <v>3270168</v>
      </c>
      <c r="T646" s="26">
        <f ca="1">IFERROR(__xludf.DUMMYFUNCTION("ROUND(GOOGLEFINANCE(""Currency:EURKZT"")*L646+S646)"),3743912)</f>
        <v>3743912</v>
      </c>
      <c r="U646" s="26">
        <f ca="1">IFERROR(__xludf.DUMMYFUNCTION("D646*GOOGLEFINANCE(""RUBKZT"")*1000/F646"),4532105.99114501)</f>
        <v>4532105.9911450101</v>
      </c>
      <c r="V646" s="27">
        <f t="shared" ca="1" si="531"/>
        <v>0.21052684762489346</v>
      </c>
    </row>
    <row r="647" spans="1:22" ht="12.75" customHeight="1" x14ac:dyDescent="0.2">
      <c r="A647" s="6" t="s">
        <v>617</v>
      </c>
      <c r="B647" s="6" t="s">
        <v>15</v>
      </c>
      <c r="C647" s="7">
        <v>214195</v>
      </c>
      <c r="D647" s="8">
        <v>229104</v>
      </c>
      <c r="E647" s="9" t="s">
        <v>16</v>
      </c>
      <c r="F647" s="23">
        <v>208</v>
      </c>
      <c r="G647" s="25"/>
      <c r="H647" s="14">
        <f t="shared" si="525"/>
        <v>0.55000000000000004</v>
      </c>
      <c r="I647" s="25">
        <f ca="1">IFERROR(__xludf.DUMMYFUNCTION("ROUND(D647*GOOGLEFINANCE(""RUBKZT"")*H647)"),983300)</f>
        <v>983300</v>
      </c>
      <c r="J647" s="26">
        <f ca="1">IFERROR(__xludf.DUMMYFUNCTION("ROUND(I647*GOOGLEFINANCE(""KZTEUR""))"),2059)</f>
        <v>2059</v>
      </c>
      <c r="K647" s="26">
        <f t="shared" ca="1" si="526"/>
        <v>9899</v>
      </c>
      <c r="L647" s="26">
        <f t="shared" ca="1" si="527"/>
        <v>1880.81</v>
      </c>
      <c r="M647" s="26">
        <f t="shared" ref="M647:N647" si="663">M$3</f>
        <v>500</v>
      </c>
      <c r="N647" s="26">
        <f t="shared" si="663"/>
        <v>500</v>
      </c>
      <c r="O647" s="26">
        <f ca="1">IFERROR(__xludf.DUMMYFUNCTION("ROUND(GOOGLEFINANCE(""Currency:EURKZT"")*K647)"),4727462)</f>
        <v>4727462</v>
      </c>
      <c r="P647" s="26">
        <f ca="1">IFERROR(__xludf.DUMMYFUNCTION("ROUND(GOOGLEFINANCE(""Currency:EURKZT"")*M647)"),238785)</f>
        <v>238785</v>
      </c>
      <c r="Q647" s="26">
        <f ca="1">IFERROR(__xludf.DUMMYFUNCTION("ROUND(GOOGLEFINANCE(""Currency:EURKZT"")*N647)"),238785)</f>
        <v>238785</v>
      </c>
      <c r="R647" s="26">
        <f t="shared" ca="1" si="529"/>
        <v>567295</v>
      </c>
      <c r="S647" s="26">
        <f t="shared" ca="1" si="530"/>
        <v>5772327</v>
      </c>
      <c r="T647" s="26">
        <f ca="1">IFERROR(__xludf.DUMMYFUNCTION("ROUND(GOOGLEFINANCE(""Currency:EURKZT"")*L647+S647)"),6670545)</f>
        <v>6670545</v>
      </c>
      <c r="U647" s="26">
        <f ca="1">IFERROR(__xludf.DUMMYFUNCTION("D647*GOOGLEFINANCE(""RUBKZT"")*1000/F647"),8595280.28598369)</f>
        <v>8595280.2859836891</v>
      </c>
      <c r="V647" s="27">
        <f t="shared" ca="1" si="531"/>
        <v>0.28854243333695961</v>
      </c>
    </row>
    <row r="648" spans="1:22" ht="12.75" customHeight="1" x14ac:dyDescent="0.2">
      <c r="A648" s="6" t="s">
        <v>619</v>
      </c>
      <c r="B648" s="6" t="s">
        <v>15</v>
      </c>
      <c r="C648" s="7">
        <v>214228</v>
      </c>
      <c r="D648" s="8">
        <v>166363.19999999998</v>
      </c>
      <c r="E648" s="9" t="s">
        <v>16</v>
      </c>
      <c r="F648" s="23">
        <v>208</v>
      </c>
      <c r="G648" s="25"/>
      <c r="H648" s="14">
        <f t="shared" si="525"/>
        <v>0.55000000000000004</v>
      </c>
      <c r="I648" s="25">
        <f ca="1">IFERROR(__xludf.DUMMYFUNCTION("ROUND(D648*GOOGLEFINANCE(""RUBKZT"")*H648)"),714020)</f>
        <v>714020</v>
      </c>
      <c r="J648" s="26">
        <f ca="1">IFERROR(__xludf.DUMMYFUNCTION("ROUND(I648*GOOGLEFINANCE(""KZTEUR""))"),1495)</f>
        <v>1495</v>
      </c>
      <c r="K648" s="26">
        <f t="shared" ca="1" si="526"/>
        <v>7188</v>
      </c>
      <c r="L648" s="26">
        <f t="shared" ca="1" si="527"/>
        <v>1365.72</v>
      </c>
      <c r="M648" s="26">
        <f t="shared" ref="M648:N648" si="664">M$3</f>
        <v>500</v>
      </c>
      <c r="N648" s="26">
        <f t="shared" si="664"/>
        <v>500</v>
      </c>
      <c r="O648" s="26">
        <f ca="1">IFERROR(__xludf.DUMMYFUNCTION("ROUND(GOOGLEFINANCE(""Currency:EURKZT"")*K648)"),3432770)</f>
        <v>3432770</v>
      </c>
      <c r="P648" s="26">
        <f ca="1">IFERROR(__xludf.DUMMYFUNCTION("ROUND(GOOGLEFINANCE(""Currency:EURKZT"")*M648)"),238785)</f>
        <v>238785</v>
      </c>
      <c r="Q648" s="26">
        <f ca="1">IFERROR(__xludf.DUMMYFUNCTION("ROUND(GOOGLEFINANCE(""Currency:EURKZT"")*N648)"),238785)</f>
        <v>238785</v>
      </c>
      <c r="R648" s="26">
        <f t="shared" ca="1" si="529"/>
        <v>411932</v>
      </c>
      <c r="S648" s="26">
        <f t="shared" ca="1" si="530"/>
        <v>4322272</v>
      </c>
      <c r="T648" s="26">
        <f ca="1">IFERROR(__xludf.DUMMYFUNCTION("ROUND(GOOGLEFINANCE(""Currency:EURKZT"")*L648+S648)"),4974498)</f>
        <v>4974498</v>
      </c>
      <c r="U648" s="26">
        <f ca="1">IFERROR(__xludf.DUMMYFUNCTION("D648*GOOGLEFINANCE(""RUBKZT"")*1000/F648"),6241437.65832618)</f>
        <v>6241437.6583261797</v>
      </c>
      <c r="V648" s="27">
        <f t="shared" ca="1" si="531"/>
        <v>0.25468693691829403</v>
      </c>
    </row>
    <row r="649" spans="1:22" ht="12.75" customHeight="1" x14ac:dyDescent="0.2">
      <c r="A649" s="6" t="s">
        <v>629</v>
      </c>
      <c r="B649" s="6" t="s">
        <v>15</v>
      </c>
      <c r="C649" s="7">
        <v>215817</v>
      </c>
      <c r="D649" s="8">
        <v>79810.8</v>
      </c>
      <c r="E649" s="9" t="s">
        <v>16</v>
      </c>
      <c r="F649" s="23">
        <v>208</v>
      </c>
      <c r="G649" s="25"/>
      <c r="H649" s="14">
        <f t="shared" si="525"/>
        <v>0.55000000000000004</v>
      </c>
      <c r="I649" s="25">
        <f ca="1">IFERROR(__xludf.DUMMYFUNCTION("ROUND(D649*GOOGLEFINANCE(""RUBKZT"")*H649)"),342543)</f>
        <v>342543</v>
      </c>
      <c r="J649" s="26">
        <f ca="1">IFERROR(__xludf.DUMMYFUNCTION("ROUND(I649*GOOGLEFINANCE(""KZTEUR""))"),717)</f>
        <v>717</v>
      </c>
      <c r="K649" s="26">
        <f t="shared" ca="1" si="526"/>
        <v>3447</v>
      </c>
      <c r="L649" s="26">
        <f t="shared" ca="1" si="527"/>
        <v>654.93000000000006</v>
      </c>
      <c r="M649" s="26">
        <f t="shared" ref="M649:N649" si="665">M$3</f>
        <v>500</v>
      </c>
      <c r="N649" s="26">
        <f t="shared" si="665"/>
        <v>500</v>
      </c>
      <c r="O649" s="26">
        <f ca="1">IFERROR(__xludf.DUMMYFUNCTION("ROUND(GOOGLEFINANCE(""Currency:EURKZT"")*K649)"),1646182)</f>
        <v>1646182</v>
      </c>
      <c r="P649" s="26">
        <f ca="1">IFERROR(__xludf.DUMMYFUNCTION("ROUND(GOOGLEFINANCE(""Currency:EURKZT"")*M649)"),238785)</f>
        <v>238785</v>
      </c>
      <c r="Q649" s="26">
        <f ca="1">IFERROR(__xludf.DUMMYFUNCTION("ROUND(GOOGLEFINANCE(""Currency:EURKZT"")*N649)"),238785)</f>
        <v>238785</v>
      </c>
      <c r="R649" s="26">
        <f t="shared" ca="1" si="529"/>
        <v>197542</v>
      </c>
      <c r="S649" s="26">
        <f t="shared" ca="1" si="530"/>
        <v>2321294</v>
      </c>
      <c r="T649" s="26">
        <f ca="1">IFERROR(__xludf.DUMMYFUNCTION("ROUND(GOOGLEFINANCE(""Currency:EURKZT"")*L649+S649)"),2634069)</f>
        <v>2634069</v>
      </c>
      <c r="U649" s="26">
        <f ca="1">IFERROR(__xludf.DUMMYFUNCTION("D649*GOOGLEFINANCE(""RUBKZT"")*1000/F649"),2994256.73863654)</f>
        <v>2994256.7386365398</v>
      </c>
      <c r="V649" s="27">
        <f t="shared" ca="1" si="531"/>
        <v>0.13674195271139056</v>
      </c>
    </row>
    <row r="650" spans="1:22" ht="12.75" customHeight="1" x14ac:dyDescent="0.2">
      <c r="A650" s="6" t="s">
        <v>632</v>
      </c>
      <c r="B650" s="6" t="s">
        <v>15</v>
      </c>
      <c r="C650" s="7">
        <v>215822</v>
      </c>
      <c r="D650" s="8">
        <v>82866</v>
      </c>
      <c r="E650" s="9" t="s">
        <v>16</v>
      </c>
      <c r="F650" s="23">
        <v>208</v>
      </c>
      <c r="G650" s="25"/>
      <c r="H650" s="14">
        <f t="shared" si="525"/>
        <v>0.55000000000000004</v>
      </c>
      <c r="I650" s="25">
        <f ca="1">IFERROR(__xludf.DUMMYFUNCTION("ROUND(D650*GOOGLEFINANCE(""RUBKZT"")*H650)"),355656)</f>
        <v>355656</v>
      </c>
      <c r="J650" s="26">
        <f ca="1">IFERROR(__xludf.DUMMYFUNCTION("ROUND(I650*GOOGLEFINANCE(""KZTEUR""))"),745)</f>
        <v>745</v>
      </c>
      <c r="K650" s="26">
        <f t="shared" ca="1" si="526"/>
        <v>3582</v>
      </c>
      <c r="L650" s="26">
        <f t="shared" ca="1" si="527"/>
        <v>680.58</v>
      </c>
      <c r="M650" s="26">
        <f t="shared" ref="M650:N650" si="666">M$3</f>
        <v>500</v>
      </c>
      <c r="N650" s="26">
        <f t="shared" si="666"/>
        <v>500</v>
      </c>
      <c r="O650" s="26">
        <f ca="1">IFERROR(__xludf.DUMMYFUNCTION("ROUND(GOOGLEFINANCE(""Currency:EURKZT"")*K650)"),1710654)</f>
        <v>1710654</v>
      </c>
      <c r="P650" s="26">
        <f ca="1">IFERROR(__xludf.DUMMYFUNCTION("ROUND(GOOGLEFINANCE(""Currency:EURKZT"")*M650)"),238785)</f>
        <v>238785</v>
      </c>
      <c r="Q650" s="26">
        <f ca="1">IFERROR(__xludf.DUMMYFUNCTION("ROUND(GOOGLEFINANCE(""Currency:EURKZT"")*N650)"),238785)</f>
        <v>238785</v>
      </c>
      <c r="R650" s="26">
        <f t="shared" ca="1" si="529"/>
        <v>205278</v>
      </c>
      <c r="S650" s="26">
        <f t="shared" ca="1" si="530"/>
        <v>2393502</v>
      </c>
      <c r="T650" s="26">
        <f ca="1">IFERROR(__xludf.DUMMYFUNCTION("ROUND(GOOGLEFINANCE(""Currency:EURKZT"")*L650+S650)"),2718526)</f>
        <v>2718526</v>
      </c>
      <c r="U650" s="26">
        <f ca="1">IFERROR(__xludf.DUMMYFUNCTION("D650*GOOGLEFINANCE(""RUBKZT"")*1000/F650"),3108878.48391265)</f>
        <v>3108878.48391265</v>
      </c>
      <c r="V650" s="27">
        <f t="shared" ca="1" si="531"/>
        <v>0.14358975559279183</v>
      </c>
    </row>
    <row r="651" spans="1:22" ht="12.75" customHeight="1" x14ac:dyDescent="0.2">
      <c r="A651" s="6" t="s">
        <v>631</v>
      </c>
      <c r="B651" s="6" t="s">
        <v>15</v>
      </c>
      <c r="C651" s="7">
        <v>215829</v>
      </c>
      <c r="D651" s="8">
        <v>95876.4</v>
      </c>
      <c r="E651" s="9" t="s">
        <v>16</v>
      </c>
      <c r="F651" s="23">
        <v>208</v>
      </c>
      <c r="G651" s="25"/>
      <c r="H651" s="14">
        <f t="shared" si="525"/>
        <v>0.55000000000000004</v>
      </c>
      <c r="I651" s="25">
        <f ca="1">IFERROR(__xludf.DUMMYFUNCTION("ROUND(D651*GOOGLEFINANCE(""RUBKZT"")*H651)"),411496)</f>
        <v>411496</v>
      </c>
      <c r="J651" s="26">
        <f ca="1">IFERROR(__xludf.DUMMYFUNCTION("ROUND(I651*GOOGLEFINANCE(""KZTEUR""))"),862)</f>
        <v>862</v>
      </c>
      <c r="K651" s="26">
        <f t="shared" ca="1" si="526"/>
        <v>4144</v>
      </c>
      <c r="L651" s="26">
        <f t="shared" ca="1" si="527"/>
        <v>787.36</v>
      </c>
      <c r="M651" s="26">
        <f t="shared" ref="M651:N651" si="667">M$3</f>
        <v>500</v>
      </c>
      <c r="N651" s="26">
        <f t="shared" si="667"/>
        <v>500</v>
      </c>
      <c r="O651" s="26">
        <f ca="1">IFERROR(__xludf.DUMMYFUNCTION("ROUND(GOOGLEFINANCE(""Currency:EURKZT"")*K651)"),1979048)</f>
        <v>1979048</v>
      </c>
      <c r="P651" s="26">
        <f ca="1">IFERROR(__xludf.DUMMYFUNCTION("ROUND(GOOGLEFINANCE(""Currency:EURKZT"")*M651)"),238785)</f>
        <v>238785</v>
      </c>
      <c r="Q651" s="26">
        <f ca="1">IFERROR(__xludf.DUMMYFUNCTION("ROUND(GOOGLEFINANCE(""Currency:EURKZT"")*N651)"),238785)</f>
        <v>238785</v>
      </c>
      <c r="R651" s="26">
        <f t="shared" ca="1" si="529"/>
        <v>237486</v>
      </c>
      <c r="S651" s="26">
        <f t="shared" ca="1" si="530"/>
        <v>2694104</v>
      </c>
      <c r="T651" s="26">
        <f ca="1">IFERROR(__xludf.DUMMYFUNCTION("ROUND(GOOGLEFINANCE(""Currency:EURKZT"")*L651+S651)"),3070123)</f>
        <v>3070123</v>
      </c>
      <c r="U651" s="26">
        <f ca="1">IFERROR(__xludf.DUMMYFUNCTION("D651*GOOGLEFINANCE(""RUBKZT"")*1000/F651"),3596988.83830525)</f>
        <v>3596988.8383052498</v>
      </c>
      <c r="V651" s="27">
        <f t="shared" ca="1" si="531"/>
        <v>0.17161066130094782</v>
      </c>
    </row>
    <row r="652" spans="1:22" ht="12.75" customHeight="1" x14ac:dyDescent="0.2">
      <c r="A652" s="6" t="s">
        <v>630</v>
      </c>
      <c r="B652" s="6" t="s">
        <v>15</v>
      </c>
      <c r="C652" s="7">
        <v>215833</v>
      </c>
      <c r="D652" s="8">
        <v>86253.599999999991</v>
      </c>
      <c r="E652" s="9" t="s">
        <v>7</v>
      </c>
      <c r="F652" s="23">
        <v>208</v>
      </c>
      <c r="G652" s="25"/>
      <c r="H652" s="14">
        <f t="shared" si="525"/>
        <v>0.55000000000000004</v>
      </c>
      <c r="I652" s="25">
        <f ca="1">IFERROR(__xludf.DUMMYFUNCTION("ROUND(D652*GOOGLEFINANCE(""RUBKZT"")*H652)"),370195)</f>
        <v>370195</v>
      </c>
      <c r="J652" s="26">
        <f ca="1">IFERROR(__xludf.DUMMYFUNCTION("ROUND(I652*GOOGLEFINANCE(""KZTEUR""))"),775)</f>
        <v>775</v>
      </c>
      <c r="K652" s="26">
        <f t="shared" ca="1" si="526"/>
        <v>3726</v>
      </c>
      <c r="L652" s="26">
        <f t="shared" ca="1" si="527"/>
        <v>707.94</v>
      </c>
      <c r="M652" s="26">
        <f t="shared" ref="M652:N652" si="668">M$3</f>
        <v>500</v>
      </c>
      <c r="N652" s="26">
        <f t="shared" si="668"/>
        <v>500</v>
      </c>
      <c r="O652" s="26">
        <f ca="1">IFERROR(__xludf.DUMMYFUNCTION("ROUND(GOOGLEFINANCE(""Currency:EURKZT"")*K652)"),1779424)</f>
        <v>1779424</v>
      </c>
      <c r="P652" s="26">
        <f ca="1">IFERROR(__xludf.DUMMYFUNCTION("ROUND(GOOGLEFINANCE(""Currency:EURKZT"")*M652)"),238785)</f>
        <v>238785</v>
      </c>
      <c r="Q652" s="26">
        <f ca="1">IFERROR(__xludf.DUMMYFUNCTION("ROUND(GOOGLEFINANCE(""Currency:EURKZT"")*N652)"),238785)</f>
        <v>238785</v>
      </c>
      <c r="R652" s="26">
        <f t="shared" ca="1" si="529"/>
        <v>213531</v>
      </c>
      <c r="S652" s="26">
        <f t="shared" ca="1" si="530"/>
        <v>2470525</v>
      </c>
      <c r="T652" s="26">
        <f ca="1">IFERROR(__xludf.DUMMYFUNCTION("ROUND(GOOGLEFINANCE(""Currency:EURKZT"")*L652+S652)"),2808616)</f>
        <v>2808616</v>
      </c>
      <c r="U652" s="26">
        <f ca="1">IFERROR(__xludf.DUMMYFUNCTION("D652*GOOGLEFINANCE(""RUBKZT"")*1000/F652"),3235970.85897724)</f>
        <v>3235970.85897724</v>
      </c>
      <c r="V652" s="27">
        <f t="shared" ca="1" si="531"/>
        <v>0.15215852184037976</v>
      </c>
    </row>
    <row r="653" spans="1:22" ht="12.75" customHeight="1" x14ac:dyDescent="0.2">
      <c r="A653" s="6" t="s">
        <v>635</v>
      </c>
      <c r="B653" s="6" t="s">
        <v>15</v>
      </c>
      <c r="C653" s="7">
        <v>215865</v>
      </c>
      <c r="D653" s="8">
        <v>119685.59999999999</v>
      </c>
      <c r="E653" s="9" t="s">
        <v>16</v>
      </c>
      <c r="F653" s="23">
        <v>208</v>
      </c>
      <c r="G653" s="25"/>
      <c r="H653" s="14">
        <f t="shared" si="525"/>
        <v>0.55000000000000004</v>
      </c>
      <c r="I653" s="25">
        <f ca="1">IFERROR(__xludf.DUMMYFUNCTION("ROUND(D653*GOOGLEFINANCE(""RUBKZT"")*H653)"),513683)</f>
        <v>513683</v>
      </c>
      <c r="J653" s="26">
        <f ca="1">IFERROR(__xludf.DUMMYFUNCTION("ROUND(I653*GOOGLEFINANCE(""KZTEUR""))"),1076)</f>
        <v>1076</v>
      </c>
      <c r="K653" s="26">
        <f t="shared" ca="1" si="526"/>
        <v>5173</v>
      </c>
      <c r="L653" s="26">
        <f t="shared" ca="1" si="527"/>
        <v>982.87</v>
      </c>
      <c r="M653" s="26">
        <f t="shared" ref="M653:N653" si="669">M$3</f>
        <v>500</v>
      </c>
      <c r="N653" s="26">
        <f t="shared" si="669"/>
        <v>500</v>
      </c>
      <c r="O653" s="26">
        <f ca="1">IFERROR(__xludf.DUMMYFUNCTION("ROUND(GOOGLEFINANCE(""Currency:EURKZT"")*K653)"),2470468)</f>
        <v>2470468</v>
      </c>
      <c r="P653" s="26">
        <f ca="1">IFERROR(__xludf.DUMMYFUNCTION("ROUND(GOOGLEFINANCE(""Currency:EURKZT"")*M653)"),238785)</f>
        <v>238785</v>
      </c>
      <c r="Q653" s="26">
        <f ca="1">IFERROR(__xludf.DUMMYFUNCTION("ROUND(GOOGLEFINANCE(""Currency:EURKZT"")*N653)"),238785)</f>
        <v>238785</v>
      </c>
      <c r="R653" s="26">
        <f t="shared" ca="1" si="529"/>
        <v>296456</v>
      </c>
      <c r="S653" s="26">
        <f t="shared" ca="1" si="530"/>
        <v>3244494</v>
      </c>
      <c r="T653" s="26">
        <f ca="1">IFERROR(__xludf.DUMMYFUNCTION("ROUND(GOOGLEFINANCE(""Currency:EURKZT"")*L653+S653)"),3713883)</f>
        <v>3713883</v>
      </c>
      <c r="U653" s="26">
        <f ca="1">IFERROR(__xludf.DUMMYFUNCTION("D653*GOOGLEFINANCE(""RUBKZT"")*1000/F653"),4490237.08968909)</f>
        <v>4490237.0896890899</v>
      </c>
      <c r="V653" s="27">
        <f t="shared" ca="1" si="531"/>
        <v>0.20904107363885452</v>
      </c>
    </row>
    <row r="654" spans="1:22" ht="12.75" customHeight="1" x14ac:dyDescent="0.2">
      <c r="A654" s="6" t="s">
        <v>639</v>
      </c>
      <c r="B654" s="6" t="s">
        <v>15</v>
      </c>
      <c r="C654" s="7">
        <v>217710</v>
      </c>
      <c r="D654" s="8">
        <v>343590</v>
      </c>
      <c r="E654" s="9" t="s">
        <v>16</v>
      </c>
      <c r="F654" s="23">
        <v>208</v>
      </c>
      <c r="G654" s="25"/>
      <c r="H654" s="14">
        <f t="shared" si="525"/>
        <v>0.55000000000000004</v>
      </c>
      <c r="I654" s="25">
        <f ca="1">IFERROR(__xludf.DUMMYFUNCTION("ROUND(D654*GOOGLEFINANCE(""RUBKZT"")*H654)"),1474667)</f>
        <v>1474667</v>
      </c>
      <c r="J654" s="26">
        <f ca="1">IFERROR(__xludf.DUMMYFUNCTION("ROUND(I654*GOOGLEFINANCE(""KZTEUR""))"),3088)</f>
        <v>3088</v>
      </c>
      <c r="K654" s="26">
        <f t="shared" ca="1" si="526"/>
        <v>14846</v>
      </c>
      <c r="L654" s="26">
        <f t="shared" ca="1" si="527"/>
        <v>2820.7400000000002</v>
      </c>
      <c r="M654" s="26">
        <f t="shared" ref="M654:N654" si="670">M$3</f>
        <v>500</v>
      </c>
      <c r="N654" s="26">
        <f t="shared" si="670"/>
        <v>500</v>
      </c>
      <c r="O654" s="26">
        <f ca="1">IFERROR(__xludf.DUMMYFUNCTION("ROUND(GOOGLEFINANCE(""Currency:EURKZT"")*K654)"),7089998)</f>
        <v>7089998</v>
      </c>
      <c r="P654" s="26">
        <f ca="1">IFERROR(__xludf.DUMMYFUNCTION("ROUND(GOOGLEFINANCE(""Currency:EURKZT"")*M654)"),238785)</f>
        <v>238785</v>
      </c>
      <c r="Q654" s="26">
        <f ca="1">IFERROR(__xludf.DUMMYFUNCTION("ROUND(GOOGLEFINANCE(""Currency:EURKZT"")*N654)"),238785)</f>
        <v>238785</v>
      </c>
      <c r="R654" s="26">
        <f t="shared" ca="1" si="529"/>
        <v>850800</v>
      </c>
      <c r="S654" s="26">
        <f t="shared" ca="1" si="530"/>
        <v>8418368</v>
      </c>
      <c r="T654" s="26">
        <f ca="1">IFERROR(__xludf.DUMMYFUNCTION("ROUND(GOOGLEFINANCE(""Currency:EURKZT"")*L654+S654)"),9765468)</f>
        <v>9765468</v>
      </c>
      <c r="U654" s="26">
        <f ca="1">IFERROR(__xludf.DUMMYFUNCTION("D654*GOOGLEFINANCE(""RUBKZT"")*1000/F654"),12890444.3111475)</f>
        <v>12890444.3111475</v>
      </c>
      <c r="V654" s="27">
        <f t="shared" ca="1" si="531"/>
        <v>0.3200027188812149</v>
      </c>
    </row>
    <row r="655" spans="1:22" ht="12.75" customHeight="1" x14ac:dyDescent="0.2">
      <c r="A655" s="6" t="s">
        <v>35</v>
      </c>
      <c r="B655" s="6" t="s">
        <v>15</v>
      </c>
      <c r="C655" s="7">
        <v>10031101</v>
      </c>
      <c r="D655" s="8">
        <v>70844.399999999994</v>
      </c>
      <c r="E655" s="9" t="s">
        <v>16</v>
      </c>
      <c r="F655" s="23">
        <v>208</v>
      </c>
      <c r="G655" s="25"/>
      <c r="H655" s="14">
        <f t="shared" si="525"/>
        <v>0.55000000000000004</v>
      </c>
      <c r="I655" s="25">
        <f ca="1">IFERROR(__xludf.DUMMYFUNCTION("ROUND(D655*GOOGLEFINANCE(""RUBKZT"")*H655)"),304060)</f>
        <v>304060</v>
      </c>
      <c r="J655" s="26">
        <f ca="1">IFERROR(__xludf.DUMMYFUNCTION("ROUND(I655*GOOGLEFINANCE(""KZTEUR""))"),637)</f>
        <v>637</v>
      </c>
      <c r="K655" s="26">
        <f t="shared" ca="1" si="526"/>
        <v>3063</v>
      </c>
      <c r="L655" s="26">
        <f t="shared" ca="1" si="527"/>
        <v>581.97</v>
      </c>
      <c r="M655" s="26">
        <f t="shared" ref="M655:N655" si="671">M$3</f>
        <v>500</v>
      </c>
      <c r="N655" s="26">
        <f t="shared" si="671"/>
        <v>500</v>
      </c>
      <c r="O655" s="26">
        <f ca="1">IFERROR(__xludf.DUMMYFUNCTION("ROUND(GOOGLEFINANCE(""Currency:EURKZT"")*K655)"),1462796)</f>
        <v>1462796</v>
      </c>
      <c r="P655" s="26">
        <f ca="1">IFERROR(__xludf.DUMMYFUNCTION("ROUND(GOOGLEFINANCE(""Currency:EURKZT"")*M655)"),238785)</f>
        <v>238785</v>
      </c>
      <c r="Q655" s="26">
        <f ca="1">IFERROR(__xludf.DUMMYFUNCTION("ROUND(GOOGLEFINANCE(""Currency:EURKZT"")*N655)"),238785)</f>
        <v>238785</v>
      </c>
      <c r="R655" s="26">
        <f t="shared" ca="1" si="529"/>
        <v>175536</v>
      </c>
      <c r="S655" s="26">
        <f t="shared" ca="1" si="530"/>
        <v>2115902</v>
      </c>
      <c r="T655" s="26">
        <f ca="1">IFERROR(__xludf.DUMMYFUNCTION("ROUND(GOOGLEFINANCE(""Currency:EURKZT"")*L655+S655)"),2393833)</f>
        <v>2393833</v>
      </c>
      <c r="U655" s="26">
        <f ca="1">IFERROR(__xludf.DUMMYFUNCTION("D655*GOOGLEFINANCE(""RUBKZT"")*1000/F655"),2657864.87661648)</f>
        <v>2657864.8766164798</v>
      </c>
      <c r="V655" s="27">
        <f t="shared" ca="1" si="531"/>
        <v>0.11029669848167346</v>
      </c>
    </row>
    <row r="656" spans="1:22" ht="12.75" customHeight="1" x14ac:dyDescent="0.2">
      <c r="A656" s="6" t="s">
        <v>36</v>
      </c>
      <c r="B656" s="6" t="s">
        <v>15</v>
      </c>
      <c r="C656" s="7">
        <v>10041101</v>
      </c>
      <c r="D656" s="8">
        <v>69922.8</v>
      </c>
      <c r="E656" s="9" t="s">
        <v>16</v>
      </c>
      <c r="F656" s="23">
        <v>208</v>
      </c>
      <c r="G656" s="25"/>
      <c r="H656" s="14">
        <f t="shared" si="525"/>
        <v>0.55000000000000004</v>
      </c>
      <c r="I656" s="25">
        <f ca="1">IFERROR(__xludf.DUMMYFUNCTION("ROUND(D656*GOOGLEFINANCE(""RUBKZT"")*H656)"),300104)</f>
        <v>300104</v>
      </c>
      <c r="J656" s="26">
        <f ca="1">IFERROR(__xludf.DUMMYFUNCTION("ROUND(I656*GOOGLEFINANCE(""KZTEUR""))"),629)</f>
        <v>629</v>
      </c>
      <c r="K656" s="26">
        <f t="shared" ca="1" si="526"/>
        <v>3024</v>
      </c>
      <c r="L656" s="26">
        <f t="shared" ca="1" si="527"/>
        <v>574.56000000000006</v>
      </c>
      <c r="M656" s="26">
        <f t="shared" ref="M656:N656" si="672">M$3</f>
        <v>500</v>
      </c>
      <c r="N656" s="26">
        <f t="shared" si="672"/>
        <v>500</v>
      </c>
      <c r="O656" s="26">
        <f ca="1">IFERROR(__xludf.DUMMYFUNCTION("ROUND(GOOGLEFINANCE(""Currency:EURKZT"")*K656)"),1444171)</f>
        <v>1444171</v>
      </c>
      <c r="P656" s="26">
        <f ca="1">IFERROR(__xludf.DUMMYFUNCTION("ROUND(GOOGLEFINANCE(""Currency:EURKZT"")*M656)"),238785)</f>
        <v>238785</v>
      </c>
      <c r="Q656" s="26">
        <f ca="1">IFERROR(__xludf.DUMMYFUNCTION("ROUND(GOOGLEFINANCE(""Currency:EURKZT"")*N656)"),238785)</f>
        <v>238785</v>
      </c>
      <c r="R656" s="26">
        <f t="shared" ca="1" si="529"/>
        <v>173301</v>
      </c>
      <c r="S656" s="26">
        <f t="shared" ca="1" si="530"/>
        <v>2095042</v>
      </c>
      <c r="T656" s="26">
        <f ca="1">IFERROR(__xludf.DUMMYFUNCTION("ROUND(GOOGLEFINANCE(""Currency:EURKZT"")*L656+S656)"),2369434)</f>
        <v>2369434</v>
      </c>
      <c r="U656" s="26">
        <f ca="1">IFERROR(__xludf.DUMMYFUNCTION("D656*GOOGLEFINANCE(""RUBKZT"")*1000/F656"),2623289.26767223)</f>
        <v>2623289.26767223</v>
      </c>
      <c r="V656" s="27">
        <f t="shared" ca="1" si="531"/>
        <v>0.10713751371518684</v>
      </c>
    </row>
    <row r="657" spans="1:22" ht="12.75" customHeight="1" x14ac:dyDescent="0.2">
      <c r="A657" s="6" t="s">
        <v>643</v>
      </c>
      <c r="B657" s="6" t="s">
        <v>15</v>
      </c>
      <c r="C657" s="7">
        <v>10081101</v>
      </c>
      <c r="D657" s="8">
        <v>78849.599999999991</v>
      </c>
      <c r="E657" s="9" t="s">
        <v>16</v>
      </c>
      <c r="F657" s="23">
        <v>208</v>
      </c>
      <c r="G657" s="25"/>
      <c r="H657" s="14">
        <f t="shared" si="525"/>
        <v>0.55000000000000004</v>
      </c>
      <c r="I657" s="25">
        <f ca="1">IFERROR(__xludf.DUMMYFUNCTION("ROUND(D657*GOOGLEFINANCE(""RUBKZT"")*H657)"),338418)</f>
        <v>338418</v>
      </c>
      <c r="J657" s="26">
        <f ca="1">IFERROR(__xludf.DUMMYFUNCTION("ROUND(I657*GOOGLEFINANCE(""KZTEUR""))"),709)</f>
        <v>709</v>
      </c>
      <c r="K657" s="26">
        <f t="shared" ca="1" si="526"/>
        <v>3409</v>
      </c>
      <c r="L657" s="26">
        <f t="shared" ca="1" si="527"/>
        <v>647.71</v>
      </c>
      <c r="M657" s="26">
        <f t="shared" ref="M657:N657" si="673">M$3</f>
        <v>500</v>
      </c>
      <c r="N657" s="26">
        <f t="shared" si="673"/>
        <v>500</v>
      </c>
      <c r="O657" s="26">
        <f ca="1">IFERROR(__xludf.DUMMYFUNCTION("ROUND(GOOGLEFINANCE(""Currency:EURKZT"")*K657)"),1628035)</f>
        <v>1628035</v>
      </c>
      <c r="P657" s="26">
        <f ca="1">IFERROR(__xludf.DUMMYFUNCTION("ROUND(GOOGLEFINANCE(""Currency:EURKZT"")*M657)"),238785)</f>
        <v>238785</v>
      </c>
      <c r="Q657" s="26">
        <f ca="1">IFERROR(__xludf.DUMMYFUNCTION("ROUND(GOOGLEFINANCE(""Currency:EURKZT"")*N657)"),238785)</f>
        <v>238785</v>
      </c>
      <c r="R657" s="26">
        <f t="shared" ca="1" si="529"/>
        <v>195364</v>
      </c>
      <c r="S657" s="26">
        <f t="shared" ca="1" si="530"/>
        <v>2300969</v>
      </c>
      <c r="T657" s="26">
        <f ca="1">IFERROR(__xludf.DUMMYFUNCTION("ROUND(GOOGLEFINANCE(""Currency:EURKZT"")*L657+S657)"),2610296)</f>
        <v>2610296</v>
      </c>
      <c r="U657" s="26">
        <f ca="1">IFERROR(__xludf.DUMMYFUNCTION("D657*GOOGLEFINANCE(""RUBKZT"")*1000/F657"),2958195.45899547)</f>
        <v>2958195.4589954698</v>
      </c>
      <c r="V657" s="27">
        <f t="shared" ca="1" si="531"/>
        <v>0.13327969663037059</v>
      </c>
    </row>
    <row r="658" spans="1:22" ht="12.75" customHeight="1" x14ac:dyDescent="0.2">
      <c r="A658" s="6" t="s">
        <v>646</v>
      </c>
      <c r="B658" s="6" t="s">
        <v>15</v>
      </c>
      <c r="C658" s="7">
        <v>10091101</v>
      </c>
      <c r="D658" s="8">
        <v>83312.399999999994</v>
      </c>
      <c r="E658" s="9" t="s">
        <v>16</v>
      </c>
      <c r="F658" s="23">
        <v>208</v>
      </c>
      <c r="G658" s="25"/>
      <c r="H658" s="14">
        <f t="shared" si="525"/>
        <v>0.55000000000000004</v>
      </c>
      <c r="I658" s="25">
        <f ca="1">IFERROR(__xludf.DUMMYFUNCTION("ROUND(D658*GOOGLEFINANCE(""RUBKZT"")*H658)"),357572)</f>
        <v>357572</v>
      </c>
      <c r="J658" s="26">
        <f ca="1">IFERROR(__xludf.DUMMYFUNCTION("ROUND(I658*GOOGLEFINANCE(""KZTEUR""))"),749)</f>
        <v>749</v>
      </c>
      <c r="K658" s="26">
        <f t="shared" ca="1" si="526"/>
        <v>3601</v>
      </c>
      <c r="L658" s="26">
        <f t="shared" ca="1" si="527"/>
        <v>684.19</v>
      </c>
      <c r="M658" s="26">
        <f t="shared" ref="M658:N658" si="674">M$3</f>
        <v>500</v>
      </c>
      <c r="N658" s="26">
        <f t="shared" si="674"/>
        <v>500</v>
      </c>
      <c r="O658" s="26">
        <f ca="1">IFERROR(__xludf.DUMMYFUNCTION("ROUND(GOOGLEFINANCE(""Currency:EURKZT"")*K658)"),1719728)</f>
        <v>1719728</v>
      </c>
      <c r="P658" s="26">
        <f ca="1">IFERROR(__xludf.DUMMYFUNCTION("ROUND(GOOGLEFINANCE(""Currency:EURKZT"")*M658)"),238785)</f>
        <v>238785</v>
      </c>
      <c r="Q658" s="26">
        <f ca="1">IFERROR(__xludf.DUMMYFUNCTION("ROUND(GOOGLEFINANCE(""Currency:EURKZT"")*N658)"),238785)</f>
        <v>238785</v>
      </c>
      <c r="R658" s="26">
        <f t="shared" ca="1" si="529"/>
        <v>206367</v>
      </c>
      <c r="S658" s="26">
        <f t="shared" ca="1" si="530"/>
        <v>2403665</v>
      </c>
      <c r="T658" s="26">
        <f ca="1">IFERROR(__xludf.DUMMYFUNCTION("ROUND(GOOGLEFINANCE(""Currency:EURKZT"")*L658+S658)"),2730413)</f>
        <v>2730413</v>
      </c>
      <c r="U658" s="26">
        <f ca="1">IFERROR(__xludf.DUMMYFUNCTION("D658*GOOGLEFINANCE(""RUBKZT"")*1000/F658"),3125626.04449502)</f>
        <v>3125626.0444950201</v>
      </c>
      <c r="V658" s="27">
        <f t="shared" ca="1" si="531"/>
        <v>0.14474478567711921</v>
      </c>
    </row>
    <row r="659" spans="1:22" ht="12.75" customHeight="1" x14ac:dyDescent="0.2">
      <c r="A659" s="6" t="s">
        <v>208</v>
      </c>
      <c r="B659" s="6" t="s">
        <v>15</v>
      </c>
      <c r="C659" s="7">
        <v>10101101</v>
      </c>
      <c r="D659" s="8">
        <v>83160</v>
      </c>
      <c r="E659" s="9" t="s">
        <v>16</v>
      </c>
      <c r="F659" s="23">
        <v>208</v>
      </c>
      <c r="G659" s="25"/>
      <c r="H659" s="14">
        <f t="shared" si="525"/>
        <v>0.55000000000000004</v>
      </c>
      <c r="I659" s="25">
        <f ca="1">IFERROR(__xludf.DUMMYFUNCTION("ROUND(D659*GOOGLEFINANCE(""RUBKZT"")*H659)"),356918)</f>
        <v>356918</v>
      </c>
      <c r="J659" s="26">
        <f ca="1">IFERROR(__xludf.DUMMYFUNCTION("ROUND(I659*GOOGLEFINANCE(""KZTEUR""))"),748)</f>
        <v>748</v>
      </c>
      <c r="K659" s="26">
        <f t="shared" ca="1" si="526"/>
        <v>3596</v>
      </c>
      <c r="L659" s="26">
        <f t="shared" ca="1" si="527"/>
        <v>683.24</v>
      </c>
      <c r="M659" s="26">
        <f t="shared" ref="M659:N659" si="675">M$3</f>
        <v>500</v>
      </c>
      <c r="N659" s="26">
        <f t="shared" si="675"/>
        <v>500</v>
      </c>
      <c r="O659" s="26">
        <f ca="1">IFERROR(__xludf.DUMMYFUNCTION("ROUND(GOOGLEFINANCE(""Currency:EURKZT"")*K659)"),1717340)</f>
        <v>1717340</v>
      </c>
      <c r="P659" s="26">
        <f ca="1">IFERROR(__xludf.DUMMYFUNCTION("ROUND(GOOGLEFINANCE(""Currency:EURKZT"")*M659)"),238785)</f>
        <v>238785</v>
      </c>
      <c r="Q659" s="26">
        <f ca="1">IFERROR(__xludf.DUMMYFUNCTION("ROUND(GOOGLEFINANCE(""Currency:EURKZT"")*N659)"),238785)</f>
        <v>238785</v>
      </c>
      <c r="R659" s="26">
        <f t="shared" ca="1" si="529"/>
        <v>206081</v>
      </c>
      <c r="S659" s="26">
        <f t="shared" ca="1" si="530"/>
        <v>2400991</v>
      </c>
      <c r="T659" s="26">
        <f ca="1">IFERROR(__xludf.DUMMYFUNCTION("ROUND(GOOGLEFINANCE(""Currency:EURKZT"")*L659+S659)"),2727286)</f>
        <v>2727286</v>
      </c>
      <c r="U659" s="26">
        <f ca="1">IFERROR(__xludf.DUMMYFUNCTION("D659*GOOGLEFINANCE(""RUBKZT"")*1000/F659"),3119908.46332846)</f>
        <v>3119908.4633284602</v>
      </c>
      <c r="V659" s="27">
        <f t="shared" ca="1" si="531"/>
        <v>0.14396086927753826</v>
      </c>
    </row>
    <row r="660" spans="1:22" ht="12.75" customHeight="1" x14ac:dyDescent="0.2">
      <c r="A660" s="6" t="s">
        <v>60</v>
      </c>
      <c r="B660" s="6" t="s">
        <v>15</v>
      </c>
      <c r="C660" s="7">
        <v>10111101</v>
      </c>
      <c r="D660" s="8">
        <v>68010</v>
      </c>
      <c r="E660" s="9" t="s">
        <v>16</v>
      </c>
      <c r="F660" s="23">
        <v>208</v>
      </c>
      <c r="G660" s="25"/>
      <c r="H660" s="14">
        <f t="shared" si="525"/>
        <v>0.55000000000000004</v>
      </c>
      <c r="I660" s="25">
        <f ca="1">IFERROR(__xludf.DUMMYFUNCTION("ROUND(D660*GOOGLEFINANCE(""RUBKZT"")*H660)"),291895)</f>
        <v>291895</v>
      </c>
      <c r="J660" s="26">
        <f ca="1">IFERROR(__xludf.DUMMYFUNCTION("ROUND(I660*GOOGLEFINANCE(""KZTEUR""))"),611)</f>
        <v>611</v>
      </c>
      <c r="K660" s="26">
        <f t="shared" ca="1" si="526"/>
        <v>2938</v>
      </c>
      <c r="L660" s="26">
        <f t="shared" ca="1" si="527"/>
        <v>558.22</v>
      </c>
      <c r="M660" s="26">
        <f t="shared" ref="M660:N660" si="676">M$3</f>
        <v>500</v>
      </c>
      <c r="N660" s="26">
        <f t="shared" si="676"/>
        <v>500</v>
      </c>
      <c r="O660" s="26">
        <f ca="1">IFERROR(__xludf.DUMMYFUNCTION("ROUND(GOOGLEFINANCE(""Currency:EURKZT"")*K660)"),1403100)</f>
        <v>1403100</v>
      </c>
      <c r="P660" s="26">
        <f ca="1">IFERROR(__xludf.DUMMYFUNCTION("ROUND(GOOGLEFINANCE(""Currency:EURKZT"")*M660)"),238785)</f>
        <v>238785</v>
      </c>
      <c r="Q660" s="26">
        <f ca="1">IFERROR(__xludf.DUMMYFUNCTION("ROUND(GOOGLEFINANCE(""Currency:EURKZT"")*N660)"),238785)</f>
        <v>238785</v>
      </c>
      <c r="R660" s="26">
        <f t="shared" ca="1" si="529"/>
        <v>168372</v>
      </c>
      <c r="S660" s="26">
        <f t="shared" ca="1" si="530"/>
        <v>2049042</v>
      </c>
      <c r="T660" s="26">
        <f ca="1">IFERROR(__xludf.DUMMYFUNCTION("ROUND(GOOGLEFINANCE(""Currency:EURKZT"")*L660+S660)"),2315631)</f>
        <v>2315631</v>
      </c>
      <c r="U660" s="26">
        <f ca="1">IFERROR(__xludf.DUMMYFUNCTION("D660*GOOGLEFINANCE(""RUBKZT"")*1000/F660"),2551526.87098326)</f>
        <v>2551526.8709832602</v>
      </c>
      <c r="V660" s="27">
        <f t="shared" ca="1" si="531"/>
        <v>0.10187109733081835</v>
      </c>
    </row>
    <row r="661" spans="1:22" ht="12.75" customHeight="1" x14ac:dyDescent="0.2">
      <c r="A661" s="6" t="s">
        <v>61</v>
      </c>
      <c r="B661" s="6" t="s">
        <v>15</v>
      </c>
      <c r="C661" s="7">
        <v>10121101</v>
      </c>
      <c r="D661" s="8">
        <v>71708.399999999994</v>
      </c>
      <c r="E661" s="9" t="s">
        <v>16</v>
      </c>
      <c r="F661" s="23">
        <v>208</v>
      </c>
      <c r="G661" s="25"/>
      <c r="H661" s="14">
        <f t="shared" si="525"/>
        <v>0.55000000000000004</v>
      </c>
      <c r="I661" s="25">
        <f ca="1">IFERROR(__xludf.DUMMYFUNCTION("ROUND(D661*GOOGLEFINANCE(""RUBKZT"")*H661)"),307768)</f>
        <v>307768</v>
      </c>
      <c r="J661" s="26">
        <f ca="1">IFERROR(__xludf.DUMMYFUNCTION("ROUND(I661*GOOGLEFINANCE(""KZTEUR""))"),645)</f>
        <v>645</v>
      </c>
      <c r="K661" s="26">
        <f t="shared" ca="1" si="526"/>
        <v>3101</v>
      </c>
      <c r="L661" s="26">
        <f t="shared" ca="1" si="527"/>
        <v>589.19000000000005</v>
      </c>
      <c r="M661" s="26">
        <f t="shared" ref="M661:N661" si="677">M$3</f>
        <v>500</v>
      </c>
      <c r="N661" s="26">
        <f t="shared" si="677"/>
        <v>500</v>
      </c>
      <c r="O661" s="26">
        <f ca="1">IFERROR(__xludf.DUMMYFUNCTION("ROUND(GOOGLEFINANCE(""Currency:EURKZT"")*K661)"),1480943)</f>
        <v>1480943</v>
      </c>
      <c r="P661" s="26">
        <f ca="1">IFERROR(__xludf.DUMMYFUNCTION("ROUND(GOOGLEFINANCE(""Currency:EURKZT"")*M661)"),238785)</f>
        <v>238785</v>
      </c>
      <c r="Q661" s="26">
        <f ca="1">IFERROR(__xludf.DUMMYFUNCTION("ROUND(GOOGLEFINANCE(""Currency:EURKZT"")*N661)"),238785)</f>
        <v>238785</v>
      </c>
      <c r="R661" s="26">
        <f t="shared" ca="1" si="529"/>
        <v>177713</v>
      </c>
      <c r="S661" s="26">
        <f t="shared" ca="1" si="530"/>
        <v>2136226</v>
      </c>
      <c r="T661" s="26">
        <f ca="1">IFERROR(__xludf.DUMMYFUNCTION("ROUND(GOOGLEFINANCE(""Currency:EURKZT"")*L661+S661)"),2417605)</f>
        <v>2417605</v>
      </c>
      <c r="U661" s="26">
        <f ca="1">IFERROR(__xludf.DUMMYFUNCTION("D661*GOOGLEFINANCE(""RUBKZT"")*1000/F661"),2690279.51000171)</f>
        <v>2690279.5100017102</v>
      </c>
      <c r="V661" s="27">
        <f t="shared" ca="1" si="531"/>
        <v>0.11278703923995448</v>
      </c>
    </row>
    <row r="662" spans="1:22" ht="12.75" customHeight="1" x14ac:dyDescent="0.2">
      <c r="A662" s="6" t="s">
        <v>649</v>
      </c>
      <c r="B662" s="6" t="s">
        <v>15</v>
      </c>
      <c r="C662" s="7">
        <v>10261101</v>
      </c>
      <c r="D662" s="8">
        <v>82866</v>
      </c>
      <c r="E662" s="9" t="s">
        <v>16</v>
      </c>
      <c r="F662" s="23">
        <v>208</v>
      </c>
      <c r="G662" s="25"/>
      <c r="H662" s="14">
        <f t="shared" si="525"/>
        <v>0.55000000000000004</v>
      </c>
      <c r="I662" s="25">
        <f ca="1">IFERROR(__xludf.DUMMYFUNCTION("ROUND(D662*GOOGLEFINANCE(""RUBKZT"")*H662)"),355656)</f>
        <v>355656</v>
      </c>
      <c r="J662" s="26">
        <f ca="1">IFERROR(__xludf.DUMMYFUNCTION("ROUND(I662*GOOGLEFINANCE(""KZTEUR""))"),745)</f>
        <v>745</v>
      </c>
      <c r="K662" s="26">
        <f t="shared" ca="1" si="526"/>
        <v>3582</v>
      </c>
      <c r="L662" s="26">
        <f t="shared" ca="1" si="527"/>
        <v>680.58</v>
      </c>
      <c r="M662" s="26">
        <f t="shared" ref="M662:N662" si="678">M$3</f>
        <v>500</v>
      </c>
      <c r="N662" s="26">
        <f t="shared" si="678"/>
        <v>500</v>
      </c>
      <c r="O662" s="26">
        <f ca="1">IFERROR(__xludf.DUMMYFUNCTION("ROUND(GOOGLEFINANCE(""Currency:EURKZT"")*K662)"),1710654)</f>
        <v>1710654</v>
      </c>
      <c r="P662" s="26">
        <f ca="1">IFERROR(__xludf.DUMMYFUNCTION("ROUND(GOOGLEFINANCE(""Currency:EURKZT"")*M662)"),238785)</f>
        <v>238785</v>
      </c>
      <c r="Q662" s="26">
        <f ca="1">IFERROR(__xludf.DUMMYFUNCTION("ROUND(GOOGLEFINANCE(""Currency:EURKZT"")*N662)"),238785)</f>
        <v>238785</v>
      </c>
      <c r="R662" s="26">
        <f t="shared" ca="1" si="529"/>
        <v>205278</v>
      </c>
      <c r="S662" s="26">
        <f t="shared" ca="1" si="530"/>
        <v>2393502</v>
      </c>
      <c r="T662" s="26">
        <f ca="1">IFERROR(__xludf.DUMMYFUNCTION("ROUND(GOOGLEFINANCE(""Currency:EURKZT"")*L662+S662)"),2718526)</f>
        <v>2718526</v>
      </c>
      <c r="U662" s="26">
        <f ca="1">IFERROR(__xludf.DUMMYFUNCTION("D662*GOOGLEFINANCE(""RUBKZT"")*1000/F662"),3108878.48391265)</f>
        <v>3108878.48391265</v>
      </c>
      <c r="V662" s="27">
        <f t="shared" ca="1" si="531"/>
        <v>0.14358975559279183</v>
      </c>
    </row>
    <row r="663" spans="1:22" ht="12.75" customHeight="1" x14ac:dyDescent="0.2">
      <c r="A663" s="6" t="s">
        <v>137</v>
      </c>
      <c r="B663" s="6" t="s">
        <v>15</v>
      </c>
      <c r="C663" s="7">
        <v>10271101</v>
      </c>
      <c r="D663" s="8">
        <v>75930</v>
      </c>
      <c r="E663" s="9" t="s">
        <v>16</v>
      </c>
      <c r="F663" s="23">
        <v>208</v>
      </c>
      <c r="G663" s="25"/>
      <c r="H663" s="14">
        <f t="shared" si="525"/>
        <v>0.55000000000000004</v>
      </c>
      <c r="I663" s="25">
        <f ca="1">IFERROR(__xludf.DUMMYFUNCTION("ROUND(D663*GOOGLEFINANCE(""RUBKZT"")*H663)"),325887)</f>
        <v>325887</v>
      </c>
      <c r="J663" s="26">
        <f ca="1">IFERROR(__xludf.DUMMYFUNCTION("ROUND(I663*GOOGLEFINANCE(""KZTEUR""))"),683)</f>
        <v>683</v>
      </c>
      <c r="K663" s="26">
        <f t="shared" ca="1" si="526"/>
        <v>3284</v>
      </c>
      <c r="L663" s="26">
        <f t="shared" ca="1" si="527"/>
        <v>623.96</v>
      </c>
      <c r="M663" s="26">
        <f t="shared" ref="M663:N663" si="679">M$3</f>
        <v>500</v>
      </c>
      <c r="N663" s="26">
        <f t="shared" si="679"/>
        <v>500</v>
      </c>
      <c r="O663" s="26">
        <f ca="1">IFERROR(__xludf.DUMMYFUNCTION("ROUND(GOOGLEFINANCE(""Currency:EURKZT"")*K663)"),1568339)</f>
        <v>1568339</v>
      </c>
      <c r="P663" s="26">
        <f ca="1">IFERROR(__xludf.DUMMYFUNCTION("ROUND(GOOGLEFINANCE(""Currency:EURKZT"")*M663)"),238785)</f>
        <v>238785</v>
      </c>
      <c r="Q663" s="26">
        <f ca="1">IFERROR(__xludf.DUMMYFUNCTION("ROUND(GOOGLEFINANCE(""Currency:EURKZT"")*N663)"),238785)</f>
        <v>238785</v>
      </c>
      <c r="R663" s="26">
        <f t="shared" ca="1" si="529"/>
        <v>188201</v>
      </c>
      <c r="S663" s="26">
        <f t="shared" ca="1" si="530"/>
        <v>2234110</v>
      </c>
      <c r="T663" s="26">
        <f ca="1">IFERROR(__xludf.DUMMYFUNCTION("ROUND(GOOGLEFINANCE(""Currency:EURKZT"")*L663+S663)"),2532094)</f>
        <v>2532094</v>
      </c>
      <c r="U663" s="26">
        <f ca="1">IFERROR(__xludf.DUMMYFUNCTION("D663*GOOGLEFINANCE(""RUBKZT"")*1000/F663"),2848661.01034788)</f>
        <v>2848661.01034788</v>
      </c>
      <c r="V663" s="27">
        <f t="shared" ca="1" si="531"/>
        <v>0.12502182397173248</v>
      </c>
    </row>
    <row r="664" spans="1:22" ht="12.75" customHeight="1" x14ac:dyDescent="0.2">
      <c r="A664" s="6" t="s">
        <v>137</v>
      </c>
      <c r="B664" s="6" t="s">
        <v>15</v>
      </c>
      <c r="C664" s="7">
        <v>113452</v>
      </c>
      <c r="D664" s="8">
        <v>75930</v>
      </c>
      <c r="E664" s="9" t="s">
        <v>16</v>
      </c>
      <c r="F664" s="23">
        <v>208</v>
      </c>
      <c r="G664" s="25"/>
      <c r="H664" s="14">
        <f t="shared" si="525"/>
        <v>0.55000000000000004</v>
      </c>
      <c r="I664" s="25">
        <f ca="1">IFERROR(__xludf.DUMMYFUNCTION("ROUND(D664*GOOGLEFINANCE(""RUBKZT"")*H664)"),325887)</f>
        <v>325887</v>
      </c>
      <c r="J664" s="26">
        <f ca="1">IFERROR(__xludf.DUMMYFUNCTION("ROUND(I664*GOOGLEFINANCE(""KZTEUR""))"),683)</f>
        <v>683</v>
      </c>
      <c r="K664" s="26">
        <f t="shared" ca="1" si="526"/>
        <v>3284</v>
      </c>
      <c r="L664" s="26">
        <f t="shared" ca="1" si="527"/>
        <v>623.96</v>
      </c>
      <c r="M664" s="26">
        <f t="shared" ref="M664:N664" si="680">M$3</f>
        <v>500</v>
      </c>
      <c r="N664" s="26">
        <f t="shared" si="680"/>
        <v>500</v>
      </c>
      <c r="O664" s="26">
        <f ca="1">IFERROR(__xludf.DUMMYFUNCTION("ROUND(GOOGLEFINANCE(""Currency:EURKZT"")*K664)"),1568339)</f>
        <v>1568339</v>
      </c>
      <c r="P664" s="26">
        <f ca="1">IFERROR(__xludf.DUMMYFUNCTION("ROUND(GOOGLEFINANCE(""Currency:EURKZT"")*M664)"),238785)</f>
        <v>238785</v>
      </c>
      <c r="Q664" s="26">
        <f ca="1">IFERROR(__xludf.DUMMYFUNCTION("ROUND(GOOGLEFINANCE(""Currency:EURKZT"")*N664)"),238785)</f>
        <v>238785</v>
      </c>
      <c r="R664" s="26">
        <f t="shared" ca="1" si="529"/>
        <v>188201</v>
      </c>
      <c r="S664" s="26">
        <f t="shared" ca="1" si="530"/>
        <v>2234110</v>
      </c>
      <c r="T664" s="26">
        <f ca="1">IFERROR(__xludf.DUMMYFUNCTION("ROUND(GOOGLEFINANCE(""Currency:EURKZT"")*L664+S664)"),2532094)</f>
        <v>2532094</v>
      </c>
      <c r="U664" s="26">
        <f ca="1">IFERROR(__xludf.DUMMYFUNCTION("D664*GOOGLEFINANCE(""RUBKZT"")*1000/F664"),2848661.01034788)</f>
        <v>2848661.01034788</v>
      </c>
      <c r="V664" s="27">
        <f t="shared" ca="1" si="531"/>
        <v>0.12502182397173248</v>
      </c>
    </row>
    <row r="665" spans="1:22" ht="12.75" customHeight="1" x14ac:dyDescent="0.2">
      <c r="A665" s="6" t="s">
        <v>72</v>
      </c>
      <c r="B665" s="6" t="s">
        <v>15</v>
      </c>
      <c r="C665" s="7">
        <v>10461101</v>
      </c>
      <c r="D665" s="8">
        <v>66674.399999999994</v>
      </c>
      <c r="E665" s="9" t="s">
        <v>16</v>
      </c>
      <c r="F665" s="23">
        <v>208</v>
      </c>
      <c r="G665" s="25"/>
      <c r="H665" s="14">
        <f t="shared" si="525"/>
        <v>0.55000000000000004</v>
      </c>
      <c r="I665" s="25">
        <f ca="1">IFERROR(__xludf.DUMMYFUNCTION("ROUND(D665*GOOGLEFINANCE(""RUBKZT"")*H665)"),286162)</f>
        <v>286162</v>
      </c>
      <c r="J665" s="26">
        <f ca="1">IFERROR(__xludf.DUMMYFUNCTION("ROUND(I665*GOOGLEFINANCE(""KZTEUR""))"),599)</f>
        <v>599</v>
      </c>
      <c r="K665" s="26">
        <f t="shared" ca="1" si="526"/>
        <v>2880</v>
      </c>
      <c r="L665" s="26">
        <f t="shared" ca="1" si="527"/>
        <v>547.20000000000005</v>
      </c>
      <c r="M665" s="26">
        <f t="shared" ref="M665:N665" si="681">M$3</f>
        <v>500</v>
      </c>
      <c r="N665" s="26">
        <f t="shared" si="681"/>
        <v>500</v>
      </c>
      <c r="O665" s="26">
        <f ca="1">IFERROR(__xludf.DUMMYFUNCTION("ROUND(GOOGLEFINANCE(""Currency:EURKZT"")*K665)"),1375400)</f>
        <v>1375400</v>
      </c>
      <c r="P665" s="26">
        <f ca="1">IFERROR(__xludf.DUMMYFUNCTION("ROUND(GOOGLEFINANCE(""Currency:EURKZT"")*M665)"),238785)</f>
        <v>238785</v>
      </c>
      <c r="Q665" s="26">
        <f ca="1">IFERROR(__xludf.DUMMYFUNCTION("ROUND(GOOGLEFINANCE(""Currency:EURKZT"")*N665)"),238785)</f>
        <v>238785</v>
      </c>
      <c r="R665" s="26">
        <f t="shared" ca="1" si="529"/>
        <v>165048</v>
      </c>
      <c r="S665" s="26">
        <f t="shared" ca="1" si="530"/>
        <v>2018018</v>
      </c>
      <c r="T665" s="26">
        <f ca="1">IFERROR(__xludf.DUMMYFUNCTION("ROUND(GOOGLEFINANCE(""Currency:EURKZT"")*L665+S665)"),2279344)</f>
        <v>2279344</v>
      </c>
      <c r="U665" s="26">
        <f ca="1">IFERROR(__xludf.DUMMYFUNCTION("D665*GOOGLEFINANCE(""RUBKZT"")*1000/F665"),2501419.2502086)</f>
        <v>2501419.2502086</v>
      </c>
      <c r="V665" s="27">
        <f t="shared" ca="1" si="531"/>
        <v>9.7429457865333163E-2</v>
      </c>
    </row>
    <row r="666" spans="1:22" ht="12.75" customHeight="1" x14ac:dyDescent="0.2">
      <c r="A666" s="6" t="s">
        <v>652</v>
      </c>
      <c r="B666" s="6" t="s">
        <v>15</v>
      </c>
      <c r="C666" s="7">
        <v>10521101</v>
      </c>
      <c r="D666" s="8">
        <v>63972</v>
      </c>
      <c r="E666" s="9" t="s">
        <v>16</v>
      </c>
      <c r="F666" s="23">
        <v>208</v>
      </c>
      <c r="G666" s="25"/>
      <c r="H666" s="14">
        <f t="shared" si="525"/>
        <v>0.55000000000000004</v>
      </c>
      <c r="I666" s="25">
        <f ca="1">IFERROR(__xludf.DUMMYFUNCTION("ROUND(D666*GOOGLEFINANCE(""RUBKZT"")*H666)"),274564)</f>
        <v>274564</v>
      </c>
      <c r="J666" s="26">
        <f ca="1">IFERROR(__xludf.DUMMYFUNCTION("ROUND(I666*GOOGLEFINANCE(""KZTEUR""))"),575)</f>
        <v>575</v>
      </c>
      <c r="K666" s="26">
        <f t="shared" ca="1" si="526"/>
        <v>2764</v>
      </c>
      <c r="L666" s="26">
        <f t="shared" ca="1" si="527"/>
        <v>525.16</v>
      </c>
      <c r="M666" s="26">
        <f t="shared" ref="M666:N666" si="682">M$3</f>
        <v>500</v>
      </c>
      <c r="N666" s="26">
        <f t="shared" si="682"/>
        <v>500</v>
      </c>
      <c r="O666" s="26">
        <f ca="1">IFERROR(__xludf.DUMMYFUNCTION("ROUND(GOOGLEFINANCE(""Currency:EURKZT"")*K666)"),1320002)</f>
        <v>1320002</v>
      </c>
      <c r="P666" s="26">
        <f ca="1">IFERROR(__xludf.DUMMYFUNCTION("ROUND(GOOGLEFINANCE(""Currency:EURKZT"")*M666)"),238785)</f>
        <v>238785</v>
      </c>
      <c r="Q666" s="26">
        <f ca="1">IFERROR(__xludf.DUMMYFUNCTION("ROUND(GOOGLEFINANCE(""Currency:EURKZT"")*N666)"),238785)</f>
        <v>238785</v>
      </c>
      <c r="R666" s="26">
        <f t="shared" ca="1" si="529"/>
        <v>158400</v>
      </c>
      <c r="S666" s="26">
        <f t="shared" ca="1" si="530"/>
        <v>1955972</v>
      </c>
      <c r="T666" s="26">
        <f ca="1">IFERROR(__xludf.DUMMYFUNCTION("ROUND(GOOGLEFINANCE(""Currency:EURKZT"")*L666+S666)"),2206772)</f>
        <v>2206772</v>
      </c>
      <c r="U666" s="26">
        <f ca="1">IFERROR(__xludf.DUMMYFUNCTION("D666*GOOGLEFINANCE(""RUBKZT"")*1000/F666"),2400033.48023146)</f>
        <v>2400033.4802314602</v>
      </c>
      <c r="V666" s="27">
        <f t="shared" ca="1" si="531"/>
        <v>8.7576550831467953E-2</v>
      </c>
    </row>
    <row r="667" spans="1:22" ht="12.75" customHeight="1" x14ac:dyDescent="0.2">
      <c r="A667" s="6" t="s">
        <v>62</v>
      </c>
      <c r="B667" s="6" t="s">
        <v>15</v>
      </c>
      <c r="C667" s="7">
        <v>10551101</v>
      </c>
      <c r="D667" s="8">
        <v>78346.8</v>
      </c>
      <c r="E667" s="9" t="s">
        <v>16</v>
      </c>
      <c r="F667" s="23">
        <v>208</v>
      </c>
      <c r="G667" s="25"/>
      <c r="H667" s="14">
        <f t="shared" si="525"/>
        <v>0.55000000000000004</v>
      </c>
      <c r="I667" s="25">
        <f ca="1">IFERROR(__xludf.DUMMYFUNCTION("ROUND(D667*GOOGLEFINANCE(""RUBKZT"")*H667)"),336260)</f>
        <v>336260</v>
      </c>
      <c r="J667" s="26">
        <f ca="1">IFERROR(__xludf.DUMMYFUNCTION("ROUND(I667*GOOGLEFINANCE(""KZTEUR""))"),704)</f>
        <v>704</v>
      </c>
      <c r="K667" s="26">
        <f t="shared" ca="1" si="526"/>
        <v>3385</v>
      </c>
      <c r="L667" s="26">
        <f t="shared" ca="1" si="527"/>
        <v>643.15</v>
      </c>
      <c r="M667" s="26">
        <f t="shared" ref="M667:N667" si="683">M$3</f>
        <v>500</v>
      </c>
      <c r="N667" s="26">
        <f t="shared" si="683"/>
        <v>500</v>
      </c>
      <c r="O667" s="26">
        <f ca="1">IFERROR(__xludf.DUMMYFUNCTION("ROUND(GOOGLEFINANCE(""Currency:EURKZT"")*K667)"),1616573)</f>
        <v>1616573</v>
      </c>
      <c r="P667" s="26">
        <f ca="1">IFERROR(__xludf.DUMMYFUNCTION("ROUND(GOOGLEFINANCE(""Currency:EURKZT"")*M667)"),238785)</f>
        <v>238785</v>
      </c>
      <c r="Q667" s="26">
        <f ca="1">IFERROR(__xludf.DUMMYFUNCTION("ROUND(GOOGLEFINANCE(""Currency:EURKZT"")*N667)"),238785)</f>
        <v>238785</v>
      </c>
      <c r="R667" s="26">
        <f t="shared" ca="1" si="529"/>
        <v>193989</v>
      </c>
      <c r="S667" s="26">
        <f t="shared" ca="1" si="530"/>
        <v>2288132</v>
      </c>
      <c r="T667" s="26">
        <f ca="1">IFERROR(__xludf.DUMMYFUNCTION("ROUND(GOOGLEFINANCE(""Currency:EURKZT"")*L667+S667)"),2595281)</f>
        <v>2595281</v>
      </c>
      <c r="U667" s="26">
        <f ca="1">IFERROR(__xludf.DUMMYFUNCTION("D667*GOOGLEFINANCE(""RUBKZT"")*1000/F667"),2939331.94317823)</f>
        <v>2939331.94317823</v>
      </c>
      <c r="V667" s="27">
        <f t="shared" ca="1" si="531"/>
        <v>0.13256789657005541</v>
      </c>
    </row>
    <row r="668" spans="1:22" ht="12.75" customHeight="1" x14ac:dyDescent="0.2">
      <c r="A668" s="6" t="s">
        <v>654</v>
      </c>
      <c r="B668" s="6" t="s">
        <v>15</v>
      </c>
      <c r="C668" s="7">
        <v>10781101</v>
      </c>
      <c r="D668" s="8">
        <v>70784.399999999994</v>
      </c>
      <c r="E668" s="9" t="s">
        <v>16</v>
      </c>
      <c r="F668" s="23">
        <v>208</v>
      </c>
      <c r="G668" s="25"/>
      <c r="H668" s="14">
        <f t="shared" si="525"/>
        <v>0.55000000000000004</v>
      </c>
      <c r="I668" s="25">
        <f ca="1">IFERROR(__xludf.DUMMYFUNCTION("ROUND(D668*GOOGLEFINANCE(""RUBKZT"")*H668)"),303802)</f>
        <v>303802</v>
      </c>
      <c r="J668" s="26">
        <f ca="1">IFERROR(__xludf.DUMMYFUNCTION("ROUND(I668*GOOGLEFINANCE(""KZTEUR""))"),636)</f>
        <v>636</v>
      </c>
      <c r="K668" s="26">
        <f t="shared" ca="1" si="526"/>
        <v>3058</v>
      </c>
      <c r="L668" s="26">
        <f t="shared" ca="1" si="527"/>
        <v>581.02</v>
      </c>
      <c r="M668" s="26">
        <f t="shared" ref="M668:N668" si="684">M$3</f>
        <v>500</v>
      </c>
      <c r="N668" s="26">
        <f t="shared" si="684"/>
        <v>500</v>
      </c>
      <c r="O668" s="26">
        <f ca="1">IFERROR(__xludf.DUMMYFUNCTION("ROUND(GOOGLEFINANCE(""Currency:EURKZT"")*K668)"),1460408)</f>
        <v>1460408</v>
      </c>
      <c r="P668" s="26">
        <f ca="1">IFERROR(__xludf.DUMMYFUNCTION("ROUND(GOOGLEFINANCE(""Currency:EURKZT"")*M668)"),238785)</f>
        <v>238785</v>
      </c>
      <c r="Q668" s="26">
        <f ca="1">IFERROR(__xludf.DUMMYFUNCTION("ROUND(GOOGLEFINANCE(""Currency:EURKZT"")*N668)"),238785)</f>
        <v>238785</v>
      </c>
      <c r="R668" s="26">
        <f t="shared" ca="1" si="529"/>
        <v>175249</v>
      </c>
      <c r="S668" s="26">
        <f t="shared" ca="1" si="530"/>
        <v>2113227</v>
      </c>
      <c r="T668" s="26">
        <f ca="1">IFERROR(__xludf.DUMMYFUNCTION("ROUND(GOOGLEFINANCE(""Currency:EURKZT"")*L668+S668)"),2390704)</f>
        <v>2390704</v>
      </c>
      <c r="U668" s="26">
        <f ca="1">IFERROR(__xludf.DUMMYFUNCTION("D668*GOOGLEFINANCE(""RUBKZT"")*1000/F668"),2655613.86040917)</f>
        <v>2655613.8604091699</v>
      </c>
      <c r="V668" s="27">
        <f t="shared" ca="1" si="531"/>
        <v>0.11080830600909604</v>
      </c>
    </row>
    <row r="669" spans="1:22" ht="12.75" customHeight="1" x14ac:dyDescent="0.2">
      <c r="A669" s="6" t="s">
        <v>36</v>
      </c>
      <c r="B669" s="6" t="s">
        <v>15</v>
      </c>
      <c r="C669" s="7" t="s">
        <v>655</v>
      </c>
      <c r="D669" s="8">
        <v>66592.800000000003</v>
      </c>
      <c r="E669" s="9" t="s">
        <v>16</v>
      </c>
      <c r="F669" s="23">
        <v>208</v>
      </c>
      <c r="G669" s="25"/>
      <c r="H669" s="14">
        <f t="shared" si="525"/>
        <v>0.55000000000000004</v>
      </c>
      <c r="I669" s="25">
        <f ca="1">IFERROR(__xludf.DUMMYFUNCTION("ROUND(D669*GOOGLEFINANCE(""RUBKZT"")*H669)"),285812)</f>
        <v>285812</v>
      </c>
      <c r="J669" s="26">
        <f ca="1">IFERROR(__xludf.DUMMYFUNCTION("ROUND(I669*GOOGLEFINANCE(""KZTEUR""))"),599)</f>
        <v>599</v>
      </c>
      <c r="K669" s="26">
        <f t="shared" ca="1" si="526"/>
        <v>2880</v>
      </c>
      <c r="L669" s="26">
        <f t="shared" ca="1" si="527"/>
        <v>547.20000000000005</v>
      </c>
      <c r="M669" s="26">
        <f t="shared" ref="M669:N669" si="685">M$3</f>
        <v>500</v>
      </c>
      <c r="N669" s="26">
        <f t="shared" si="685"/>
        <v>500</v>
      </c>
      <c r="O669" s="26">
        <f ca="1">IFERROR(__xludf.DUMMYFUNCTION("ROUND(GOOGLEFINANCE(""Currency:EURKZT"")*K669)"),1375400)</f>
        <v>1375400</v>
      </c>
      <c r="P669" s="26">
        <f ca="1">IFERROR(__xludf.DUMMYFUNCTION("ROUND(GOOGLEFINANCE(""Currency:EURKZT"")*M669)"),238785)</f>
        <v>238785</v>
      </c>
      <c r="Q669" s="26">
        <f ca="1">IFERROR(__xludf.DUMMYFUNCTION("ROUND(GOOGLEFINANCE(""Currency:EURKZT"")*N669)"),238785)</f>
        <v>238785</v>
      </c>
      <c r="R669" s="26">
        <f t="shared" ca="1" si="529"/>
        <v>165048</v>
      </c>
      <c r="S669" s="26">
        <f t="shared" ca="1" si="530"/>
        <v>2018018</v>
      </c>
      <c r="T669" s="26">
        <f ca="1">IFERROR(__xludf.DUMMYFUNCTION("ROUND(GOOGLEFINANCE(""Currency:EURKZT"")*L669+S669)"),2279344)</f>
        <v>2279344</v>
      </c>
      <c r="U669" s="26">
        <f ca="1">IFERROR(__xludf.DUMMYFUNCTION("D669*GOOGLEFINANCE(""RUBKZT"")*1000/F669"),2498357.86816666)</f>
        <v>2498357.86816666</v>
      </c>
      <c r="V669" s="27">
        <f t="shared" ca="1" si="531"/>
        <v>9.6086360008256738E-2</v>
      </c>
    </row>
    <row r="670" spans="1:22" ht="12.75" customHeight="1" x14ac:dyDescent="0.2">
      <c r="A670" s="6" t="s">
        <v>37</v>
      </c>
      <c r="B670" s="6" t="s">
        <v>15</v>
      </c>
      <c r="C670" s="7" t="s">
        <v>657</v>
      </c>
      <c r="D670" s="8">
        <v>60926.399999999994</v>
      </c>
      <c r="E670" s="9" t="s">
        <v>16</v>
      </c>
      <c r="F670" s="23">
        <v>208</v>
      </c>
      <c r="G670" s="25"/>
      <c r="H670" s="14">
        <f t="shared" si="525"/>
        <v>0.55000000000000004</v>
      </c>
      <c r="I670" s="25">
        <f ca="1">IFERROR(__xludf.DUMMYFUNCTION("ROUND(D670*GOOGLEFINANCE(""RUBKZT"")*H670)"),261492)</f>
        <v>261492</v>
      </c>
      <c r="J670" s="26">
        <f ca="1">IFERROR(__xludf.DUMMYFUNCTION("ROUND(I670*GOOGLEFINANCE(""KZTEUR""))"),548)</f>
        <v>548</v>
      </c>
      <c r="K670" s="26">
        <f t="shared" ca="1" si="526"/>
        <v>2635</v>
      </c>
      <c r="L670" s="26">
        <f t="shared" ca="1" si="527"/>
        <v>500.65000000000003</v>
      </c>
      <c r="M670" s="26">
        <f t="shared" ref="M670:N670" si="686">M$3</f>
        <v>500</v>
      </c>
      <c r="N670" s="26">
        <f t="shared" si="686"/>
        <v>500</v>
      </c>
      <c r="O670" s="26">
        <f ca="1">IFERROR(__xludf.DUMMYFUNCTION("ROUND(GOOGLEFINANCE(""Currency:EURKZT"")*K670)"),1258396)</f>
        <v>1258396</v>
      </c>
      <c r="P670" s="26">
        <f ca="1">IFERROR(__xludf.DUMMYFUNCTION("ROUND(GOOGLEFINANCE(""Currency:EURKZT"")*M670)"),238785)</f>
        <v>238785</v>
      </c>
      <c r="Q670" s="26">
        <f ca="1">IFERROR(__xludf.DUMMYFUNCTION("ROUND(GOOGLEFINANCE(""Currency:EURKZT"")*N670)"),238785)</f>
        <v>238785</v>
      </c>
      <c r="R670" s="26">
        <f t="shared" ca="1" si="529"/>
        <v>151008</v>
      </c>
      <c r="S670" s="26">
        <f t="shared" ca="1" si="530"/>
        <v>1886974</v>
      </c>
      <c r="T670" s="26">
        <f ca="1">IFERROR(__xludf.DUMMYFUNCTION("ROUND(GOOGLEFINANCE(""Currency:EURKZT"")*L670+S670)"),2126069)</f>
        <v>2126069</v>
      </c>
      <c r="U670" s="26">
        <f ca="1">IFERROR(__xludf.DUMMYFUNCTION("D670*GOOGLEFINANCE(""RUBKZT"")*1000/F670"),2285771.89754852)</f>
        <v>2285771.89754852</v>
      </c>
      <c r="V670" s="27">
        <f t="shared" ca="1" si="531"/>
        <v>7.5116516702195463E-2</v>
      </c>
    </row>
    <row r="671" spans="1:22" ht="12.75" customHeight="1" x14ac:dyDescent="0.2">
      <c r="A671" s="6" t="s">
        <v>38</v>
      </c>
      <c r="B671" s="6" t="s">
        <v>15</v>
      </c>
      <c r="C671" s="7" t="s">
        <v>659</v>
      </c>
      <c r="D671" s="8">
        <v>100598.39999999999</v>
      </c>
      <c r="E671" s="9" t="s">
        <v>16</v>
      </c>
      <c r="F671" s="23">
        <v>208</v>
      </c>
      <c r="G671" s="25"/>
      <c r="H671" s="14">
        <f t="shared" si="525"/>
        <v>0.55000000000000004</v>
      </c>
      <c r="I671" s="25">
        <f ca="1">IFERROR(__xludf.DUMMYFUNCTION("ROUND(D671*GOOGLEFINANCE(""RUBKZT"")*H671)"),431762)</f>
        <v>431762</v>
      </c>
      <c r="J671" s="26">
        <f ca="1">IFERROR(__xludf.DUMMYFUNCTION("ROUND(I671*GOOGLEFINANCE(""KZTEUR""))"),904)</f>
        <v>904</v>
      </c>
      <c r="K671" s="26">
        <f t="shared" ca="1" si="526"/>
        <v>4346</v>
      </c>
      <c r="L671" s="26">
        <f t="shared" ca="1" si="527"/>
        <v>825.74</v>
      </c>
      <c r="M671" s="26">
        <f t="shared" ref="M671:N671" si="687">M$3</f>
        <v>500</v>
      </c>
      <c r="N671" s="26">
        <f t="shared" si="687"/>
        <v>500</v>
      </c>
      <c r="O671" s="26">
        <f ca="1">IFERROR(__xludf.DUMMYFUNCTION("ROUND(GOOGLEFINANCE(""Currency:EURKZT"")*K671)"),2075518)</f>
        <v>2075518</v>
      </c>
      <c r="P671" s="26">
        <f ca="1">IFERROR(__xludf.DUMMYFUNCTION("ROUND(GOOGLEFINANCE(""Currency:EURKZT"")*M671)"),238785)</f>
        <v>238785</v>
      </c>
      <c r="Q671" s="26">
        <f ca="1">IFERROR(__xludf.DUMMYFUNCTION("ROUND(GOOGLEFINANCE(""Currency:EURKZT"")*N671)"),238785)</f>
        <v>238785</v>
      </c>
      <c r="R671" s="26">
        <f t="shared" ca="1" si="529"/>
        <v>249062</v>
      </c>
      <c r="S671" s="26">
        <f t="shared" ca="1" si="530"/>
        <v>2802150</v>
      </c>
      <c r="T671" s="26">
        <f ca="1">IFERROR(__xludf.DUMMYFUNCTION("ROUND(GOOGLEFINANCE(""Currency:EURKZT"")*L671+S671)"),3196498)</f>
        <v>3196498</v>
      </c>
      <c r="U671" s="26">
        <f ca="1">IFERROR(__xludf.DUMMYFUNCTION("D671*GOOGLEFINANCE(""RUBKZT"")*1000/F671"),3774143.81382036)</f>
        <v>3774143.8138203602</v>
      </c>
      <c r="V671" s="27">
        <f t="shared" ca="1" si="531"/>
        <v>0.18071208360535818</v>
      </c>
    </row>
    <row r="672" spans="1:22" ht="12.75" customHeight="1" x14ac:dyDescent="0.2">
      <c r="A672" s="6" t="s">
        <v>39</v>
      </c>
      <c r="B672" s="6" t="s">
        <v>15</v>
      </c>
      <c r="C672" s="7" t="s">
        <v>660</v>
      </c>
      <c r="D672" s="8">
        <v>102015.59999999999</v>
      </c>
      <c r="E672" s="9" t="s">
        <v>16</v>
      </c>
      <c r="F672" s="23">
        <v>208</v>
      </c>
      <c r="G672" s="25"/>
      <c r="H672" s="14">
        <f t="shared" si="525"/>
        <v>0.55000000000000004</v>
      </c>
      <c r="I672" s="25">
        <f ca="1">IFERROR(__xludf.DUMMYFUNCTION("ROUND(D672*GOOGLEFINANCE(""RUBKZT"")*H672)"),437845)</f>
        <v>437845</v>
      </c>
      <c r="J672" s="26">
        <f ca="1">IFERROR(__xludf.DUMMYFUNCTION("ROUND(I672*GOOGLEFINANCE(""KZTEUR""))"),917)</f>
        <v>917</v>
      </c>
      <c r="K672" s="26">
        <f t="shared" ca="1" si="526"/>
        <v>4409</v>
      </c>
      <c r="L672" s="26">
        <f t="shared" ca="1" si="527"/>
        <v>837.71</v>
      </c>
      <c r="M672" s="26">
        <f t="shared" ref="M672:N672" si="688">M$3</f>
        <v>500</v>
      </c>
      <c r="N672" s="26">
        <f t="shared" si="688"/>
        <v>500</v>
      </c>
      <c r="O672" s="26">
        <f ca="1">IFERROR(__xludf.DUMMYFUNCTION("ROUND(GOOGLEFINANCE(""Currency:EURKZT"")*K672)"),2105604)</f>
        <v>2105604</v>
      </c>
      <c r="P672" s="26">
        <f ca="1">IFERROR(__xludf.DUMMYFUNCTION("ROUND(GOOGLEFINANCE(""Currency:EURKZT"")*M672)"),238785)</f>
        <v>238785</v>
      </c>
      <c r="Q672" s="26">
        <f ca="1">IFERROR(__xludf.DUMMYFUNCTION("ROUND(GOOGLEFINANCE(""Currency:EURKZT"")*N672)"),238785)</f>
        <v>238785</v>
      </c>
      <c r="R672" s="26">
        <f t="shared" ca="1" si="529"/>
        <v>252672</v>
      </c>
      <c r="S672" s="26">
        <f t="shared" ca="1" si="530"/>
        <v>2835846</v>
      </c>
      <c r="T672" s="26">
        <f ca="1">IFERROR(__xludf.DUMMYFUNCTION("ROUND(GOOGLEFINANCE(""Currency:EURKZT"")*L672+S672)"),3235911)</f>
        <v>3235911</v>
      </c>
      <c r="U672" s="26">
        <f ca="1">IFERROR(__xludf.DUMMYFUNCTION("D672*GOOGLEFINANCE(""RUBKZT"")*1000/F672"),3827312.81663697)</f>
        <v>3827312.8166369698</v>
      </c>
      <c r="V672" s="27">
        <f t="shared" ca="1" si="531"/>
        <v>0.18276207739859651</v>
      </c>
    </row>
    <row r="673" spans="1:22" ht="12.75" customHeight="1" x14ac:dyDescent="0.2">
      <c r="A673" s="6" t="s">
        <v>40</v>
      </c>
      <c r="B673" s="6" t="s">
        <v>15</v>
      </c>
      <c r="C673" s="7" t="s">
        <v>661</v>
      </c>
      <c r="D673" s="8">
        <v>100740</v>
      </c>
      <c r="E673" s="9" t="s">
        <v>16</v>
      </c>
      <c r="F673" s="23">
        <v>208</v>
      </c>
      <c r="G673" s="25"/>
      <c r="H673" s="14">
        <f t="shared" si="525"/>
        <v>0.55000000000000004</v>
      </c>
      <c r="I673" s="25">
        <f ca="1">IFERROR(__xludf.DUMMYFUNCTION("ROUND(D673*GOOGLEFINANCE(""RUBKZT"")*H673)"),432370)</f>
        <v>432370</v>
      </c>
      <c r="J673" s="26">
        <f ca="1">IFERROR(__xludf.DUMMYFUNCTION("ROUND(I673*GOOGLEFINANCE(""KZTEUR""))"),906)</f>
        <v>906</v>
      </c>
      <c r="K673" s="26">
        <f t="shared" ca="1" si="526"/>
        <v>4356</v>
      </c>
      <c r="L673" s="26">
        <f t="shared" ca="1" si="527"/>
        <v>827.64</v>
      </c>
      <c r="M673" s="26">
        <f t="shared" ref="M673:N673" si="689">M$3</f>
        <v>500</v>
      </c>
      <c r="N673" s="26">
        <f t="shared" si="689"/>
        <v>500</v>
      </c>
      <c r="O673" s="26">
        <f ca="1">IFERROR(__xludf.DUMMYFUNCTION("ROUND(GOOGLEFINANCE(""Currency:EURKZT"")*K673)"),2080293)</f>
        <v>2080293</v>
      </c>
      <c r="P673" s="26">
        <f ca="1">IFERROR(__xludf.DUMMYFUNCTION("ROUND(GOOGLEFINANCE(""Currency:EURKZT"")*M673)"),238785)</f>
        <v>238785</v>
      </c>
      <c r="Q673" s="26">
        <f ca="1">IFERROR(__xludf.DUMMYFUNCTION("ROUND(GOOGLEFINANCE(""Currency:EURKZT"")*N673)"),238785)</f>
        <v>238785</v>
      </c>
      <c r="R673" s="26">
        <f t="shared" ca="1" si="529"/>
        <v>249635</v>
      </c>
      <c r="S673" s="26">
        <f t="shared" ca="1" si="530"/>
        <v>2807498</v>
      </c>
      <c r="T673" s="26">
        <f ca="1">IFERROR(__xludf.DUMMYFUNCTION("ROUND(GOOGLEFINANCE(""Currency:EURKZT"")*L673+S673)"),3202754)</f>
        <v>3202754</v>
      </c>
      <c r="U673" s="26">
        <f ca="1">IFERROR(__xludf.DUMMYFUNCTION("D673*GOOGLEFINANCE(""RUBKZT"")*1000/F673"),3779456.21206961)</f>
        <v>3779456.2120696101</v>
      </c>
      <c r="V673" s="27">
        <f t="shared" ca="1" si="531"/>
        <v>0.18006447328443276</v>
      </c>
    </row>
    <row r="674" spans="1:22" ht="12.75" customHeight="1" x14ac:dyDescent="0.2">
      <c r="A674" s="6" t="s">
        <v>41</v>
      </c>
      <c r="B674" s="6" t="s">
        <v>15</v>
      </c>
      <c r="C674" s="7" t="s">
        <v>663</v>
      </c>
      <c r="D674" s="8">
        <v>102015.59999999999</v>
      </c>
      <c r="E674" s="9" t="s">
        <v>16</v>
      </c>
      <c r="F674" s="23">
        <v>208</v>
      </c>
      <c r="G674" s="25"/>
      <c r="H674" s="14">
        <f t="shared" si="525"/>
        <v>0.55000000000000004</v>
      </c>
      <c r="I674" s="25">
        <f ca="1">IFERROR(__xludf.DUMMYFUNCTION("ROUND(D674*GOOGLEFINANCE(""RUBKZT"")*H674)"),437845)</f>
        <v>437845</v>
      </c>
      <c r="J674" s="26">
        <f ca="1">IFERROR(__xludf.DUMMYFUNCTION("ROUND(I674*GOOGLEFINANCE(""KZTEUR""))"),917)</f>
        <v>917</v>
      </c>
      <c r="K674" s="26">
        <f t="shared" ca="1" si="526"/>
        <v>4409</v>
      </c>
      <c r="L674" s="26">
        <f t="shared" ca="1" si="527"/>
        <v>837.71</v>
      </c>
      <c r="M674" s="26">
        <f t="shared" ref="M674:N674" si="690">M$3</f>
        <v>500</v>
      </c>
      <c r="N674" s="26">
        <f t="shared" si="690"/>
        <v>500</v>
      </c>
      <c r="O674" s="26">
        <f ca="1">IFERROR(__xludf.DUMMYFUNCTION("ROUND(GOOGLEFINANCE(""Currency:EURKZT"")*K674)"),2105604)</f>
        <v>2105604</v>
      </c>
      <c r="P674" s="26">
        <f ca="1">IFERROR(__xludf.DUMMYFUNCTION("ROUND(GOOGLEFINANCE(""Currency:EURKZT"")*M674)"),238785)</f>
        <v>238785</v>
      </c>
      <c r="Q674" s="26">
        <f ca="1">IFERROR(__xludf.DUMMYFUNCTION("ROUND(GOOGLEFINANCE(""Currency:EURKZT"")*N674)"),238785)</f>
        <v>238785</v>
      </c>
      <c r="R674" s="26">
        <f t="shared" ca="1" si="529"/>
        <v>252672</v>
      </c>
      <c r="S674" s="26">
        <f t="shared" ca="1" si="530"/>
        <v>2835846</v>
      </c>
      <c r="T674" s="26">
        <f ca="1">IFERROR(__xludf.DUMMYFUNCTION("ROUND(GOOGLEFINANCE(""Currency:EURKZT"")*L674+S674)"),3235911)</f>
        <v>3235911</v>
      </c>
      <c r="U674" s="26">
        <f ca="1">IFERROR(__xludf.DUMMYFUNCTION("D674*GOOGLEFINANCE(""RUBKZT"")*1000/F674"),3827312.81663697)</f>
        <v>3827312.8166369698</v>
      </c>
      <c r="V674" s="27">
        <f t="shared" ca="1" si="531"/>
        <v>0.18276207739859651</v>
      </c>
    </row>
    <row r="675" spans="1:22" ht="12.75" customHeight="1" x14ac:dyDescent="0.2">
      <c r="A675" s="6" t="s">
        <v>646</v>
      </c>
      <c r="B675" s="6" t="s">
        <v>15</v>
      </c>
      <c r="C675" s="7" t="s">
        <v>665</v>
      </c>
      <c r="D675" s="8">
        <v>79345.2</v>
      </c>
      <c r="E675" s="9" t="s">
        <v>16</v>
      </c>
      <c r="F675" s="23">
        <v>208</v>
      </c>
      <c r="G675" s="25"/>
      <c r="H675" s="14">
        <f t="shared" si="525"/>
        <v>0.55000000000000004</v>
      </c>
      <c r="I675" s="25">
        <f ca="1">IFERROR(__xludf.DUMMYFUNCTION("ROUND(D675*GOOGLEFINANCE(""RUBKZT"")*H675)"),340545)</f>
        <v>340545</v>
      </c>
      <c r="J675" s="26">
        <f ca="1">IFERROR(__xludf.DUMMYFUNCTION("ROUND(I675*GOOGLEFINANCE(""KZTEUR""))"),713)</f>
        <v>713</v>
      </c>
      <c r="K675" s="26">
        <f t="shared" ca="1" si="526"/>
        <v>3428</v>
      </c>
      <c r="L675" s="26">
        <f t="shared" ca="1" si="527"/>
        <v>651.32000000000005</v>
      </c>
      <c r="M675" s="26">
        <f t="shared" ref="M675:N675" si="691">M$3</f>
        <v>500</v>
      </c>
      <c r="N675" s="26">
        <f t="shared" si="691"/>
        <v>500</v>
      </c>
      <c r="O675" s="26">
        <f ca="1">IFERROR(__xludf.DUMMYFUNCTION("ROUND(GOOGLEFINANCE(""Currency:EURKZT"")*K675)"),1637109)</f>
        <v>1637109</v>
      </c>
      <c r="P675" s="26">
        <f ca="1">IFERROR(__xludf.DUMMYFUNCTION("ROUND(GOOGLEFINANCE(""Currency:EURKZT"")*M675)"),238785)</f>
        <v>238785</v>
      </c>
      <c r="Q675" s="26">
        <f ca="1">IFERROR(__xludf.DUMMYFUNCTION("ROUND(GOOGLEFINANCE(""Currency:EURKZT"")*N675)"),238785)</f>
        <v>238785</v>
      </c>
      <c r="R675" s="26">
        <f t="shared" ca="1" si="529"/>
        <v>196453</v>
      </c>
      <c r="S675" s="26">
        <f t="shared" ca="1" si="530"/>
        <v>2311132</v>
      </c>
      <c r="T675" s="26">
        <f ca="1">IFERROR(__xludf.DUMMYFUNCTION("ROUND(GOOGLEFINANCE(""Currency:EURKZT"")*L675+S675)"),2622183)</f>
        <v>2622183</v>
      </c>
      <c r="U675" s="26">
        <f ca="1">IFERROR(__xludf.DUMMYFUNCTION("D675*GOOGLEFINANCE(""RUBKZT"")*1000/F675"),2976788.85286783)</f>
        <v>2976788.8528678301</v>
      </c>
      <c r="V675" s="27">
        <f t="shared" ca="1" si="531"/>
        <v>0.13523306835099994</v>
      </c>
    </row>
    <row r="676" spans="1:22" ht="12.75" customHeight="1" x14ac:dyDescent="0.2">
      <c r="A676" s="6" t="s">
        <v>643</v>
      </c>
      <c r="B676" s="6" t="s">
        <v>15</v>
      </c>
      <c r="C676" s="7" t="s">
        <v>666</v>
      </c>
      <c r="D676" s="8">
        <v>75094.8</v>
      </c>
      <c r="E676" s="9" t="s">
        <v>16</v>
      </c>
      <c r="F676" s="23">
        <v>208</v>
      </c>
      <c r="G676" s="25"/>
      <c r="H676" s="14">
        <f t="shared" si="525"/>
        <v>0.55000000000000004</v>
      </c>
      <c r="I676" s="25">
        <f ca="1">IFERROR(__xludf.DUMMYFUNCTION("ROUND(D676*GOOGLEFINANCE(""RUBKZT"")*H676)"),322302)</f>
        <v>322302</v>
      </c>
      <c r="J676" s="26">
        <f ca="1">IFERROR(__xludf.DUMMYFUNCTION("ROUND(I676*GOOGLEFINANCE(""KZTEUR""))"),675)</f>
        <v>675</v>
      </c>
      <c r="K676" s="26">
        <f t="shared" ca="1" si="526"/>
        <v>3245</v>
      </c>
      <c r="L676" s="26">
        <f t="shared" ca="1" si="527"/>
        <v>616.54999999999995</v>
      </c>
      <c r="M676" s="26">
        <f t="shared" ref="M676:N676" si="692">M$3</f>
        <v>500</v>
      </c>
      <c r="N676" s="26">
        <f t="shared" si="692"/>
        <v>500</v>
      </c>
      <c r="O676" s="26">
        <f ca="1">IFERROR(__xludf.DUMMYFUNCTION("ROUND(GOOGLEFINANCE(""Currency:EURKZT"")*K676)"),1549713)</f>
        <v>1549713</v>
      </c>
      <c r="P676" s="26">
        <f ca="1">IFERROR(__xludf.DUMMYFUNCTION("ROUND(GOOGLEFINANCE(""Currency:EURKZT"")*M676)"),238785)</f>
        <v>238785</v>
      </c>
      <c r="Q676" s="26">
        <f ca="1">IFERROR(__xludf.DUMMYFUNCTION("ROUND(GOOGLEFINANCE(""Currency:EURKZT"")*N676)"),238785)</f>
        <v>238785</v>
      </c>
      <c r="R676" s="26">
        <f t="shared" ca="1" si="529"/>
        <v>185966</v>
      </c>
      <c r="S676" s="26">
        <f t="shared" ca="1" si="530"/>
        <v>2213249</v>
      </c>
      <c r="T676" s="26">
        <f ca="1">IFERROR(__xludf.DUMMYFUNCTION("ROUND(GOOGLEFINANCE(""Currency:EURKZT"")*L676+S676)"),2507695)</f>
        <v>2507695</v>
      </c>
      <c r="U676" s="26">
        <f ca="1">IFERROR(__xludf.DUMMYFUNCTION("D676*GOOGLEFINANCE(""RUBKZT"")*1000/F676"),2817326.86474216)</f>
        <v>2817326.8647421598</v>
      </c>
      <c r="V676" s="27">
        <f t="shared" ca="1" si="531"/>
        <v>0.12347269693569586</v>
      </c>
    </row>
    <row r="677" spans="1:22" ht="12.75" customHeight="1" x14ac:dyDescent="0.2">
      <c r="A677" s="6" t="s">
        <v>667</v>
      </c>
      <c r="B677" s="6" t="s">
        <v>15</v>
      </c>
      <c r="C677" s="7" t="s">
        <v>668</v>
      </c>
      <c r="D677" s="8">
        <v>95214</v>
      </c>
      <c r="E677" s="9" t="s">
        <v>16</v>
      </c>
      <c r="F677" s="23">
        <v>208</v>
      </c>
      <c r="G677" s="25"/>
      <c r="H677" s="14">
        <f t="shared" si="525"/>
        <v>0.55000000000000004</v>
      </c>
      <c r="I677" s="25">
        <f ca="1">IFERROR(__xludf.DUMMYFUNCTION("ROUND(D677*GOOGLEFINANCE(""RUBKZT"")*H677)"),408653)</f>
        <v>408653</v>
      </c>
      <c r="J677" s="26">
        <f ca="1">IFERROR(__xludf.DUMMYFUNCTION("ROUND(I677*GOOGLEFINANCE(""KZTEUR""))"),856)</f>
        <v>856</v>
      </c>
      <c r="K677" s="26">
        <f t="shared" ca="1" si="526"/>
        <v>4115</v>
      </c>
      <c r="L677" s="26">
        <f t="shared" ca="1" si="527"/>
        <v>781.85</v>
      </c>
      <c r="M677" s="26">
        <f t="shared" ref="M677:N677" si="693">M$3</f>
        <v>500</v>
      </c>
      <c r="N677" s="26">
        <f t="shared" si="693"/>
        <v>500</v>
      </c>
      <c r="O677" s="26">
        <f ca="1">IFERROR(__xludf.DUMMYFUNCTION("ROUND(GOOGLEFINANCE(""Currency:EURKZT"")*K677)"),1965199)</f>
        <v>1965199</v>
      </c>
      <c r="P677" s="26">
        <f ca="1">IFERROR(__xludf.DUMMYFUNCTION("ROUND(GOOGLEFINANCE(""Currency:EURKZT"")*M677)"),238785)</f>
        <v>238785</v>
      </c>
      <c r="Q677" s="26">
        <f ca="1">IFERROR(__xludf.DUMMYFUNCTION("ROUND(GOOGLEFINANCE(""Currency:EURKZT"")*N677)"),238785)</f>
        <v>238785</v>
      </c>
      <c r="R677" s="26">
        <f t="shared" ca="1" si="529"/>
        <v>235824</v>
      </c>
      <c r="S677" s="26">
        <f t="shared" ca="1" si="530"/>
        <v>2678593</v>
      </c>
      <c r="T677" s="26">
        <f ca="1">IFERROR(__xludf.DUMMYFUNCTION("ROUND(GOOGLEFINANCE(""Currency:EURKZT"")*L677+S677)"),3051981)</f>
        <v>3051981</v>
      </c>
      <c r="U677" s="26">
        <f ca="1">IFERROR(__xludf.DUMMYFUNCTION("D677*GOOGLEFINANCE(""RUBKZT"")*1000/F677"),3572137.61937657)</f>
        <v>3572137.61937657</v>
      </c>
      <c r="V677" s="27">
        <f t="shared" ca="1" si="531"/>
        <v>0.17043245661639767</v>
      </c>
    </row>
    <row r="678" spans="1:22" ht="12.75" customHeight="1" x14ac:dyDescent="0.2">
      <c r="A678" s="6" t="s">
        <v>210</v>
      </c>
      <c r="B678" s="6" t="s">
        <v>15</v>
      </c>
      <c r="C678" s="7" t="s">
        <v>669</v>
      </c>
      <c r="D678" s="8">
        <v>111579.59999999999</v>
      </c>
      <c r="E678" s="9" t="s">
        <v>16</v>
      </c>
      <c r="F678" s="23">
        <v>208</v>
      </c>
      <c r="G678" s="25"/>
      <c r="H678" s="14">
        <f t="shared" si="525"/>
        <v>0.55000000000000004</v>
      </c>
      <c r="I678" s="25">
        <f ca="1">IFERROR(__xludf.DUMMYFUNCTION("ROUND(D678*GOOGLEFINANCE(""RUBKZT"")*H678)"),478893)</f>
        <v>478893</v>
      </c>
      <c r="J678" s="26">
        <f ca="1">IFERROR(__xludf.DUMMYFUNCTION("ROUND(I678*GOOGLEFINANCE(""KZTEUR""))"),1003)</f>
        <v>1003</v>
      </c>
      <c r="K678" s="26">
        <f t="shared" ca="1" si="526"/>
        <v>4822</v>
      </c>
      <c r="L678" s="26">
        <f t="shared" ca="1" si="527"/>
        <v>916.18000000000006</v>
      </c>
      <c r="M678" s="26">
        <f t="shared" ref="M678:N678" si="694">M$3</f>
        <v>500</v>
      </c>
      <c r="N678" s="26">
        <f t="shared" si="694"/>
        <v>500</v>
      </c>
      <c r="O678" s="26">
        <f ca="1">IFERROR(__xludf.DUMMYFUNCTION("ROUND(GOOGLEFINANCE(""Currency:EURKZT"")*K678)"),2302841)</f>
        <v>2302841</v>
      </c>
      <c r="P678" s="26">
        <f ca="1">IFERROR(__xludf.DUMMYFUNCTION("ROUND(GOOGLEFINANCE(""Currency:EURKZT"")*M678)"),238785)</f>
        <v>238785</v>
      </c>
      <c r="Q678" s="26">
        <f ca="1">IFERROR(__xludf.DUMMYFUNCTION("ROUND(GOOGLEFINANCE(""Currency:EURKZT"")*N678)"),238785)</f>
        <v>238785</v>
      </c>
      <c r="R678" s="26">
        <f t="shared" ca="1" si="529"/>
        <v>276341</v>
      </c>
      <c r="S678" s="26">
        <f t="shared" ca="1" si="530"/>
        <v>3056752</v>
      </c>
      <c r="T678" s="26">
        <f ca="1">IFERROR(__xludf.DUMMYFUNCTION("ROUND(GOOGLEFINANCE(""Currency:EURKZT"")*L678+S678)"),3494292)</f>
        <v>3494292</v>
      </c>
      <c r="U678" s="26">
        <f ca="1">IFERROR(__xludf.DUMMYFUNCTION("D678*GOOGLEFINANCE(""RUBKZT"")*1000/F678"),4186124.80008182)</f>
        <v>4186124.8000818202</v>
      </c>
      <c r="V678" s="27">
        <f t="shared" ca="1" si="531"/>
        <v>0.19798940674729537</v>
      </c>
    </row>
    <row r="679" spans="1:22" ht="12.75" customHeight="1" x14ac:dyDescent="0.2">
      <c r="A679" s="6" t="s">
        <v>670</v>
      </c>
      <c r="B679" s="6" t="s">
        <v>15</v>
      </c>
      <c r="C679" s="7" t="s">
        <v>671</v>
      </c>
      <c r="D679" s="8">
        <v>51007.199999999997</v>
      </c>
      <c r="E679" s="9" t="s">
        <v>16</v>
      </c>
      <c r="F679" s="23">
        <v>208</v>
      </c>
      <c r="G679" s="25"/>
      <c r="H679" s="14">
        <f t="shared" si="525"/>
        <v>0.55000000000000004</v>
      </c>
      <c r="I679" s="25">
        <f ca="1">IFERROR(__xludf.DUMMYFUNCTION("ROUND(D679*GOOGLEFINANCE(""RUBKZT"")*H679)"),218920)</f>
        <v>218920</v>
      </c>
      <c r="J679" s="26">
        <f ca="1">IFERROR(__xludf.DUMMYFUNCTION("ROUND(I679*GOOGLEFINANCE(""KZTEUR""))"),458)</f>
        <v>458</v>
      </c>
      <c r="K679" s="26">
        <f t="shared" ca="1" si="526"/>
        <v>2202</v>
      </c>
      <c r="L679" s="26">
        <f t="shared" ca="1" si="527"/>
        <v>418.38</v>
      </c>
      <c r="M679" s="26">
        <f t="shared" ref="M679:N679" si="695">M$3</f>
        <v>500</v>
      </c>
      <c r="N679" s="26">
        <f t="shared" si="695"/>
        <v>500</v>
      </c>
      <c r="O679" s="26">
        <f ca="1">IFERROR(__xludf.DUMMYFUNCTION("ROUND(GOOGLEFINANCE(""Currency:EURKZT"")*K679)"),1051608)</f>
        <v>1051608</v>
      </c>
      <c r="P679" s="26">
        <f ca="1">IFERROR(__xludf.DUMMYFUNCTION("ROUND(GOOGLEFINANCE(""Currency:EURKZT"")*M679)"),238785)</f>
        <v>238785</v>
      </c>
      <c r="Q679" s="26">
        <f ca="1">IFERROR(__xludf.DUMMYFUNCTION("ROUND(GOOGLEFINANCE(""Currency:EURKZT"")*N679)"),238785)</f>
        <v>238785</v>
      </c>
      <c r="R679" s="26">
        <f t="shared" ca="1" si="529"/>
        <v>126193</v>
      </c>
      <c r="S679" s="26">
        <f t="shared" ca="1" si="530"/>
        <v>1655371</v>
      </c>
      <c r="T679" s="26">
        <f ca="1">IFERROR(__xludf.DUMMYFUNCTION("ROUND(GOOGLEFINANCE(""Currency:EURKZT"")*L679+S679)"),1855177)</f>
        <v>1855177</v>
      </c>
      <c r="U679" s="26">
        <f ca="1">IFERROR(__xludf.DUMMYFUNCTION("D679*GOOGLEFINANCE(""RUBKZT"")*1000/F679"),1913633.89815641)</f>
        <v>1913633.8981564101</v>
      </c>
      <c r="V679" s="27">
        <f t="shared" ca="1" si="531"/>
        <v>3.1510146016477177E-2</v>
      </c>
    </row>
    <row r="680" spans="1:22" ht="12.75" customHeight="1" x14ac:dyDescent="0.2">
      <c r="A680" s="6" t="s">
        <v>237</v>
      </c>
      <c r="B680" s="6" t="s">
        <v>15</v>
      </c>
      <c r="C680" s="7" t="s">
        <v>672</v>
      </c>
      <c r="D680" s="8">
        <v>104140.8</v>
      </c>
      <c r="E680" s="9" t="s">
        <v>16</v>
      </c>
      <c r="F680" s="23">
        <v>208</v>
      </c>
      <c r="G680" s="25"/>
      <c r="H680" s="14">
        <f t="shared" si="525"/>
        <v>0.55000000000000004</v>
      </c>
      <c r="I680" s="25">
        <f ca="1">IFERROR(__xludf.DUMMYFUNCTION("ROUND(D680*GOOGLEFINANCE(""RUBKZT"")*H680)"),446966)</f>
        <v>446966</v>
      </c>
      <c r="J680" s="26">
        <f ca="1">IFERROR(__xludf.DUMMYFUNCTION("ROUND(I680*GOOGLEFINANCE(""KZTEUR""))"),936)</f>
        <v>936</v>
      </c>
      <c r="K680" s="26">
        <f t="shared" ca="1" si="526"/>
        <v>4500</v>
      </c>
      <c r="L680" s="26">
        <f t="shared" ca="1" si="527"/>
        <v>855</v>
      </c>
      <c r="M680" s="26">
        <f t="shared" ref="M680:N680" si="696">M$3</f>
        <v>500</v>
      </c>
      <c r="N680" s="26">
        <f t="shared" si="696"/>
        <v>500</v>
      </c>
      <c r="O680" s="26">
        <f ca="1">IFERROR(__xludf.DUMMYFUNCTION("ROUND(GOOGLEFINANCE(""Currency:EURKZT"")*K680)"),2149063)</f>
        <v>2149063</v>
      </c>
      <c r="P680" s="26">
        <f ca="1">IFERROR(__xludf.DUMMYFUNCTION("ROUND(GOOGLEFINANCE(""Currency:EURKZT"")*M680)"),238785)</f>
        <v>238785</v>
      </c>
      <c r="Q680" s="26">
        <f ca="1">IFERROR(__xludf.DUMMYFUNCTION("ROUND(GOOGLEFINANCE(""Currency:EURKZT"")*N680)"),238785)</f>
        <v>238785</v>
      </c>
      <c r="R680" s="26">
        <f t="shared" ca="1" si="529"/>
        <v>257888</v>
      </c>
      <c r="S680" s="26">
        <f t="shared" ca="1" si="530"/>
        <v>2884521</v>
      </c>
      <c r="T680" s="26">
        <f ca="1">IFERROR(__xludf.DUMMYFUNCTION("ROUND(GOOGLEFINANCE(""Currency:EURKZT"")*L680+S680)"),3292843)</f>
        <v>3292843</v>
      </c>
      <c r="U680" s="26">
        <f ca="1">IFERROR(__xludf.DUMMYFUNCTION("D680*GOOGLEFINANCE(""RUBKZT"")*1000/F680"),3907043.81069981)</f>
        <v>3907043.8106998098</v>
      </c>
      <c r="V680" s="27">
        <f t="shared" ca="1" si="531"/>
        <v>0.18652599310073689</v>
      </c>
    </row>
    <row r="681" spans="1:22" ht="12.75" customHeight="1" x14ac:dyDescent="0.2">
      <c r="A681" s="6" t="s">
        <v>244</v>
      </c>
      <c r="B681" s="6" t="s">
        <v>15</v>
      </c>
      <c r="C681" s="7" t="s">
        <v>673</v>
      </c>
      <c r="D681" s="8">
        <v>70844.399999999994</v>
      </c>
      <c r="E681" s="9" t="s">
        <v>16</v>
      </c>
      <c r="F681" s="23">
        <v>208</v>
      </c>
      <c r="G681" s="25"/>
      <c r="H681" s="14">
        <f t="shared" si="525"/>
        <v>0.55000000000000004</v>
      </c>
      <c r="I681" s="25">
        <f ca="1">IFERROR(__xludf.DUMMYFUNCTION("ROUND(D681*GOOGLEFINANCE(""RUBKZT"")*H681)"),304060)</f>
        <v>304060</v>
      </c>
      <c r="J681" s="26">
        <f ca="1">IFERROR(__xludf.DUMMYFUNCTION("ROUND(I681*GOOGLEFINANCE(""KZTEUR""))"),637)</f>
        <v>637</v>
      </c>
      <c r="K681" s="26">
        <f t="shared" ca="1" si="526"/>
        <v>3063</v>
      </c>
      <c r="L681" s="26">
        <f t="shared" ca="1" si="527"/>
        <v>581.97</v>
      </c>
      <c r="M681" s="26">
        <f t="shared" ref="M681:N681" si="697">M$3</f>
        <v>500</v>
      </c>
      <c r="N681" s="26">
        <f t="shared" si="697"/>
        <v>500</v>
      </c>
      <c r="O681" s="26">
        <f ca="1">IFERROR(__xludf.DUMMYFUNCTION("ROUND(GOOGLEFINANCE(""Currency:EURKZT"")*K681)"),1462796)</f>
        <v>1462796</v>
      </c>
      <c r="P681" s="26">
        <f ca="1">IFERROR(__xludf.DUMMYFUNCTION("ROUND(GOOGLEFINANCE(""Currency:EURKZT"")*M681)"),238785)</f>
        <v>238785</v>
      </c>
      <c r="Q681" s="26">
        <f ca="1">IFERROR(__xludf.DUMMYFUNCTION("ROUND(GOOGLEFINANCE(""Currency:EURKZT"")*N681)"),238785)</f>
        <v>238785</v>
      </c>
      <c r="R681" s="26">
        <f t="shared" ca="1" si="529"/>
        <v>175536</v>
      </c>
      <c r="S681" s="26">
        <f t="shared" ca="1" si="530"/>
        <v>2115902</v>
      </c>
      <c r="T681" s="26">
        <f ca="1">IFERROR(__xludf.DUMMYFUNCTION("ROUND(GOOGLEFINANCE(""Currency:EURKZT"")*L681+S681)"),2393833)</f>
        <v>2393833</v>
      </c>
      <c r="U681" s="26">
        <f ca="1">IFERROR(__xludf.DUMMYFUNCTION("D681*GOOGLEFINANCE(""RUBKZT"")*1000/F681"),2657864.87661648)</f>
        <v>2657864.8766164798</v>
      </c>
      <c r="V681" s="27">
        <f t="shared" ca="1" si="531"/>
        <v>0.11029669848167346</v>
      </c>
    </row>
    <row r="682" spans="1:22" ht="12.75" customHeight="1" x14ac:dyDescent="0.2">
      <c r="A682" s="6" t="s">
        <v>676</v>
      </c>
      <c r="B682" s="6" t="s">
        <v>15</v>
      </c>
      <c r="C682" s="7" t="s">
        <v>677</v>
      </c>
      <c r="D682" s="8">
        <v>104848.8</v>
      </c>
      <c r="E682" s="9" t="s">
        <v>16</v>
      </c>
      <c r="F682" s="23">
        <v>208</v>
      </c>
      <c r="G682" s="25"/>
      <c r="H682" s="14">
        <f t="shared" si="525"/>
        <v>0.55000000000000004</v>
      </c>
      <c r="I682" s="25">
        <f ca="1">IFERROR(__xludf.DUMMYFUNCTION("ROUND(D682*GOOGLEFINANCE(""RUBKZT"")*H682)"),450005)</f>
        <v>450005</v>
      </c>
      <c r="J682" s="26">
        <f ca="1">IFERROR(__xludf.DUMMYFUNCTION("ROUND(I682*GOOGLEFINANCE(""KZTEUR""))"),942)</f>
        <v>942</v>
      </c>
      <c r="K682" s="26">
        <f t="shared" ca="1" si="526"/>
        <v>4529</v>
      </c>
      <c r="L682" s="26">
        <f t="shared" ca="1" si="527"/>
        <v>860.51</v>
      </c>
      <c r="M682" s="26">
        <f t="shared" ref="M682:N682" si="698">M$3</f>
        <v>500</v>
      </c>
      <c r="N682" s="26">
        <f t="shared" si="698"/>
        <v>500</v>
      </c>
      <c r="O682" s="26">
        <f ca="1">IFERROR(__xludf.DUMMYFUNCTION("ROUND(GOOGLEFINANCE(""Currency:EURKZT"")*K682)"),2162913)</f>
        <v>2162913</v>
      </c>
      <c r="P682" s="26">
        <f ca="1">IFERROR(__xludf.DUMMYFUNCTION("ROUND(GOOGLEFINANCE(""Currency:EURKZT"")*M682)"),238785)</f>
        <v>238785</v>
      </c>
      <c r="Q682" s="26">
        <f ca="1">IFERROR(__xludf.DUMMYFUNCTION("ROUND(GOOGLEFINANCE(""Currency:EURKZT"")*N682)"),238785)</f>
        <v>238785</v>
      </c>
      <c r="R682" s="26">
        <f t="shared" ca="1" si="529"/>
        <v>259550</v>
      </c>
      <c r="S682" s="26">
        <f t="shared" ca="1" si="530"/>
        <v>2900033</v>
      </c>
      <c r="T682" s="26">
        <f ca="1">IFERROR(__xludf.DUMMYFUNCTION("ROUND(GOOGLEFINANCE(""Currency:EURKZT"")*L682+S682)"),3310986)</f>
        <v>3310986</v>
      </c>
      <c r="U682" s="26">
        <f ca="1">IFERROR(__xludf.DUMMYFUNCTION("D682*GOOGLEFINANCE(""RUBKZT"")*1000/F682"),3933605.80194604)</f>
        <v>3933605.8019460398</v>
      </c>
      <c r="V682" s="27">
        <f t="shared" ca="1" si="531"/>
        <v>0.18804664288705533</v>
      </c>
    </row>
    <row r="683" spans="1:22" ht="12.75" customHeight="1" x14ac:dyDescent="0.2">
      <c r="A683" s="6" t="s">
        <v>679</v>
      </c>
      <c r="B683" s="6" t="s">
        <v>15</v>
      </c>
      <c r="C683" s="7" t="s">
        <v>680</v>
      </c>
      <c r="D683" s="8">
        <v>148772.4</v>
      </c>
      <c r="E683" s="9" t="s">
        <v>16</v>
      </c>
      <c r="F683" s="23">
        <v>208</v>
      </c>
      <c r="G683" s="25"/>
      <c r="H683" s="14">
        <f t="shared" si="525"/>
        <v>0.55000000000000004</v>
      </c>
      <c r="I683" s="25">
        <f ca="1">IFERROR(__xludf.DUMMYFUNCTION("ROUND(D683*GOOGLEFINANCE(""RUBKZT"")*H683)"),638522)</f>
        <v>638522</v>
      </c>
      <c r="J683" s="26">
        <f ca="1">IFERROR(__xludf.DUMMYFUNCTION("ROUND(I683*GOOGLEFINANCE(""KZTEUR""))"),1337)</f>
        <v>1337</v>
      </c>
      <c r="K683" s="26">
        <f t="shared" ca="1" si="526"/>
        <v>6428</v>
      </c>
      <c r="L683" s="26">
        <f t="shared" ca="1" si="527"/>
        <v>1221.32</v>
      </c>
      <c r="M683" s="26">
        <f t="shared" ref="M683:N683" si="699">M$3</f>
        <v>500</v>
      </c>
      <c r="N683" s="26">
        <f t="shared" si="699"/>
        <v>500</v>
      </c>
      <c r="O683" s="26">
        <f ca="1">IFERROR(__xludf.DUMMYFUNCTION("ROUND(GOOGLEFINANCE(""Currency:EURKZT"")*K683)"),3069817)</f>
        <v>3069817</v>
      </c>
      <c r="P683" s="26">
        <f ca="1">IFERROR(__xludf.DUMMYFUNCTION("ROUND(GOOGLEFINANCE(""Currency:EURKZT"")*M683)"),238785)</f>
        <v>238785</v>
      </c>
      <c r="Q683" s="26">
        <f ca="1">IFERROR(__xludf.DUMMYFUNCTION("ROUND(GOOGLEFINANCE(""Currency:EURKZT"")*N683)"),238785)</f>
        <v>238785</v>
      </c>
      <c r="R683" s="26">
        <f t="shared" ca="1" si="529"/>
        <v>368378</v>
      </c>
      <c r="S683" s="26">
        <f t="shared" ca="1" si="530"/>
        <v>3915765</v>
      </c>
      <c r="T683" s="26">
        <f ca="1">IFERROR(__xludf.DUMMYFUNCTION("ROUND(GOOGLEFINANCE(""Currency:EURKZT"")*L683+S683)"),4499030)</f>
        <v>4499030</v>
      </c>
      <c r="U683" s="26">
        <f ca="1">IFERROR(__xludf.DUMMYFUNCTION("D683*GOOGLEFINANCE(""RUBKZT"")*1000/F683"),5581484.72666771)</f>
        <v>5581484.7266677096</v>
      </c>
      <c r="V683" s="27">
        <f t="shared" ca="1" si="531"/>
        <v>0.24059735691198095</v>
      </c>
    </row>
    <row r="684" spans="1:22" ht="12.75" customHeight="1" x14ac:dyDescent="0.2">
      <c r="A684" s="6" t="s">
        <v>681</v>
      </c>
      <c r="B684" s="6" t="s">
        <v>15</v>
      </c>
      <c r="C684" s="7" t="s">
        <v>682</v>
      </c>
      <c r="D684" s="8">
        <v>86288.4</v>
      </c>
      <c r="E684" s="9" t="s">
        <v>16</v>
      </c>
      <c r="F684" s="23">
        <v>208</v>
      </c>
      <c r="G684" s="25"/>
      <c r="H684" s="14">
        <f t="shared" si="525"/>
        <v>0.55000000000000004</v>
      </c>
      <c r="I684" s="25">
        <f ca="1">IFERROR(__xludf.DUMMYFUNCTION("ROUND(D684*GOOGLEFINANCE(""RUBKZT"")*H684)"),370344)</f>
        <v>370344</v>
      </c>
      <c r="J684" s="26">
        <f ca="1">IFERROR(__xludf.DUMMYFUNCTION("ROUND(I684*GOOGLEFINANCE(""KZTEUR""))"),776)</f>
        <v>776</v>
      </c>
      <c r="K684" s="26">
        <f t="shared" ca="1" si="526"/>
        <v>3731</v>
      </c>
      <c r="L684" s="26">
        <f t="shared" ca="1" si="527"/>
        <v>708.89</v>
      </c>
      <c r="M684" s="26">
        <f t="shared" ref="M684:N684" si="700">M$3</f>
        <v>500</v>
      </c>
      <c r="N684" s="26">
        <f t="shared" si="700"/>
        <v>500</v>
      </c>
      <c r="O684" s="26">
        <f ca="1">IFERROR(__xludf.DUMMYFUNCTION("ROUND(GOOGLEFINANCE(""Currency:EURKZT"")*K684)"),1781812)</f>
        <v>1781812</v>
      </c>
      <c r="P684" s="26">
        <f ca="1">IFERROR(__xludf.DUMMYFUNCTION("ROUND(GOOGLEFINANCE(""Currency:EURKZT"")*M684)"),238785)</f>
        <v>238785</v>
      </c>
      <c r="Q684" s="26">
        <f ca="1">IFERROR(__xludf.DUMMYFUNCTION("ROUND(GOOGLEFINANCE(""Currency:EURKZT"")*N684)"),238785)</f>
        <v>238785</v>
      </c>
      <c r="R684" s="26">
        <f t="shared" ca="1" si="529"/>
        <v>213817</v>
      </c>
      <c r="S684" s="26">
        <f t="shared" ca="1" si="530"/>
        <v>2473199</v>
      </c>
      <c r="T684" s="26">
        <f ca="1">IFERROR(__xludf.DUMMYFUNCTION("ROUND(GOOGLEFINANCE(""Currency:EURKZT"")*L684+S684)"),2811743)</f>
        <v>2811743</v>
      </c>
      <c r="U684" s="26">
        <f ca="1">IFERROR(__xludf.DUMMYFUNCTION("D684*GOOGLEFINANCE(""RUBKZT"")*1000/F684"),3237276.44837748)</f>
        <v>3237276.4483774798</v>
      </c>
      <c r="V684" s="27">
        <f t="shared" ca="1" si="531"/>
        <v>0.15134151605515861</v>
      </c>
    </row>
    <row r="685" spans="1:22" ht="12.75" customHeight="1" x14ac:dyDescent="0.2">
      <c r="A685" s="6" t="s">
        <v>35</v>
      </c>
      <c r="B685" s="6" t="s">
        <v>15</v>
      </c>
      <c r="C685" s="7">
        <v>166506</v>
      </c>
      <c r="D685" s="8">
        <v>87324</v>
      </c>
      <c r="E685" s="9" t="s">
        <v>16</v>
      </c>
      <c r="F685" s="23">
        <v>208</v>
      </c>
      <c r="G685" s="25"/>
      <c r="H685" s="14">
        <f t="shared" si="525"/>
        <v>0.55000000000000004</v>
      </c>
      <c r="I685" s="25">
        <f ca="1">IFERROR(__xludf.DUMMYFUNCTION("ROUND(D685*GOOGLEFINANCE(""RUBKZT"")*H685)"),374789)</f>
        <v>374789</v>
      </c>
      <c r="J685" s="26">
        <f ca="1">IFERROR(__xludf.DUMMYFUNCTION("ROUND(I685*GOOGLEFINANCE(""KZTEUR""))"),785)</f>
        <v>785</v>
      </c>
      <c r="K685" s="26">
        <f t="shared" ca="1" si="526"/>
        <v>3774</v>
      </c>
      <c r="L685" s="26">
        <f t="shared" ca="1" si="527"/>
        <v>717.06000000000006</v>
      </c>
      <c r="M685" s="26">
        <f t="shared" ref="M685:N685" si="701">M$3</f>
        <v>500</v>
      </c>
      <c r="N685" s="26">
        <f t="shared" si="701"/>
        <v>500</v>
      </c>
      <c r="O685" s="26">
        <f ca="1">IFERROR(__xludf.DUMMYFUNCTION("ROUND(GOOGLEFINANCE(""Currency:EURKZT"")*K685)"),1802348)</f>
        <v>1802348</v>
      </c>
      <c r="P685" s="26">
        <f ca="1">IFERROR(__xludf.DUMMYFUNCTION("ROUND(GOOGLEFINANCE(""Currency:EURKZT"")*M685)"),238785)</f>
        <v>238785</v>
      </c>
      <c r="Q685" s="26">
        <f ca="1">IFERROR(__xludf.DUMMYFUNCTION("ROUND(GOOGLEFINANCE(""Currency:EURKZT"")*N685)"),238785)</f>
        <v>238785</v>
      </c>
      <c r="R685" s="26">
        <f t="shared" ca="1" si="529"/>
        <v>216282</v>
      </c>
      <c r="S685" s="26">
        <f t="shared" ca="1" si="530"/>
        <v>2496200</v>
      </c>
      <c r="T685" s="26">
        <f ca="1">IFERROR(__xludf.DUMMYFUNCTION("ROUND(GOOGLEFINANCE(""Currency:EURKZT"")*L685+S685)"),2838646)</f>
        <v>2838646</v>
      </c>
      <c r="U685" s="26">
        <f ca="1">IFERROR(__xludf.DUMMYFUNCTION("D685*GOOGLEFINANCE(""RUBKZT"")*1000/F685"),3276128.98811561)</f>
        <v>3276128.9881156101</v>
      </c>
      <c r="V685" s="27">
        <f t="shared" ca="1" si="531"/>
        <v>0.15411678247855143</v>
      </c>
    </row>
    <row r="686" spans="1:22" ht="12.75" customHeight="1" x14ac:dyDescent="0.2">
      <c r="A686" s="6" t="s">
        <v>36</v>
      </c>
      <c r="B686" s="6" t="s">
        <v>15</v>
      </c>
      <c r="C686" s="7">
        <v>166464</v>
      </c>
      <c r="D686" s="8">
        <v>84873.599999999991</v>
      </c>
      <c r="E686" s="9" t="s">
        <v>16</v>
      </c>
      <c r="F686" s="23">
        <v>208</v>
      </c>
      <c r="G686" s="25"/>
      <c r="H686" s="14">
        <f t="shared" si="525"/>
        <v>0.55000000000000004</v>
      </c>
      <c r="I686" s="25">
        <f ca="1">IFERROR(__xludf.DUMMYFUNCTION("ROUND(D686*GOOGLEFINANCE(""RUBKZT"")*H686)"),364272)</f>
        <v>364272</v>
      </c>
      <c r="J686" s="26">
        <f ca="1">IFERROR(__xludf.DUMMYFUNCTION("ROUND(I686*GOOGLEFINANCE(""KZTEUR""))"),763)</f>
        <v>763</v>
      </c>
      <c r="K686" s="26">
        <f t="shared" ca="1" si="526"/>
        <v>3668</v>
      </c>
      <c r="L686" s="26">
        <f t="shared" ca="1" si="527"/>
        <v>696.92</v>
      </c>
      <c r="M686" s="26">
        <f t="shared" ref="M686:N686" si="702">M$3</f>
        <v>500</v>
      </c>
      <c r="N686" s="26">
        <f t="shared" si="702"/>
        <v>500</v>
      </c>
      <c r="O686" s="26">
        <f ca="1">IFERROR(__xludf.DUMMYFUNCTION("ROUND(GOOGLEFINANCE(""Currency:EURKZT"")*K686)"),1751725)</f>
        <v>1751725</v>
      </c>
      <c r="P686" s="26">
        <f ca="1">IFERROR(__xludf.DUMMYFUNCTION("ROUND(GOOGLEFINANCE(""Currency:EURKZT"")*M686)"),238785)</f>
        <v>238785</v>
      </c>
      <c r="Q686" s="26">
        <f ca="1">IFERROR(__xludf.DUMMYFUNCTION("ROUND(GOOGLEFINANCE(""Currency:EURKZT"")*N686)"),238785)</f>
        <v>238785</v>
      </c>
      <c r="R686" s="26">
        <f t="shared" ca="1" si="529"/>
        <v>210207</v>
      </c>
      <c r="S686" s="26">
        <f t="shared" ca="1" si="530"/>
        <v>2439502</v>
      </c>
      <c r="T686" s="26">
        <f ca="1">IFERROR(__xludf.DUMMYFUNCTION("ROUND(GOOGLEFINANCE(""Currency:EURKZT"")*L686+S686)"),2772330)</f>
        <v>2772330</v>
      </c>
      <c r="U686" s="26">
        <f ca="1">IFERROR(__xludf.DUMMYFUNCTION("D686*GOOGLEFINANCE(""RUBKZT"")*1000/F686"),3184197.48620916)</f>
        <v>3184197.4862091602</v>
      </c>
      <c r="V686" s="27">
        <f t="shared" ca="1" si="531"/>
        <v>0.14856365808152716</v>
      </c>
    </row>
    <row r="687" spans="1:22" ht="12.75" customHeight="1" x14ac:dyDescent="0.2">
      <c r="A687" s="6" t="s">
        <v>37</v>
      </c>
      <c r="B687" s="6" t="s">
        <v>15</v>
      </c>
      <c r="C687" s="7">
        <v>166516</v>
      </c>
      <c r="D687" s="8">
        <v>86988</v>
      </c>
      <c r="E687" s="9" t="s">
        <v>16</v>
      </c>
      <c r="F687" s="23">
        <v>208</v>
      </c>
      <c r="G687" s="25"/>
      <c r="H687" s="14">
        <f t="shared" si="525"/>
        <v>0.55000000000000004</v>
      </c>
      <c r="I687" s="25">
        <f ca="1">IFERROR(__xludf.DUMMYFUNCTION("ROUND(D687*GOOGLEFINANCE(""RUBKZT"")*H687)"),373347)</f>
        <v>373347</v>
      </c>
      <c r="J687" s="26">
        <f ca="1">IFERROR(__xludf.DUMMYFUNCTION("ROUND(I687*GOOGLEFINANCE(""KZTEUR""))"),782)</f>
        <v>782</v>
      </c>
      <c r="K687" s="26">
        <f t="shared" ca="1" si="526"/>
        <v>3760</v>
      </c>
      <c r="L687" s="26">
        <f t="shared" ca="1" si="527"/>
        <v>714.4</v>
      </c>
      <c r="M687" s="26">
        <f t="shared" ref="M687:N687" si="703">M$3</f>
        <v>500</v>
      </c>
      <c r="N687" s="26">
        <f t="shared" si="703"/>
        <v>500</v>
      </c>
      <c r="O687" s="26">
        <f ca="1">IFERROR(__xludf.DUMMYFUNCTION("ROUND(GOOGLEFINANCE(""Currency:EURKZT"")*K687)"),1795662)</f>
        <v>1795662</v>
      </c>
      <c r="P687" s="26">
        <f ca="1">IFERROR(__xludf.DUMMYFUNCTION("ROUND(GOOGLEFINANCE(""Currency:EURKZT"")*M687)"),238785)</f>
        <v>238785</v>
      </c>
      <c r="Q687" s="26">
        <f ca="1">IFERROR(__xludf.DUMMYFUNCTION("ROUND(GOOGLEFINANCE(""Currency:EURKZT"")*N687)"),238785)</f>
        <v>238785</v>
      </c>
      <c r="R687" s="26">
        <f t="shared" ca="1" si="529"/>
        <v>215479</v>
      </c>
      <c r="S687" s="26">
        <f t="shared" ca="1" si="530"/>
        <v>2488711</v>
      </c>
      <c r="T687" s="26">
        <f ca="1">IFERROR(__xludf.DUMMYFUNCTION("ROUND(GOOGLEFINANCE(""Currency:EURKZT"")*L687+S687)"),2829887)</f>
        <v>2829887</v>
      </c>
      <c r="U687" s="26">
        <f ca="1">IFERROR(__xludf.DUMMYFUNCTION("D687*GOOGLEFINANCE(""RUBKZT"")*1000/F687"),3263523.29735469)</f>
        <v>3263523.2973546898</v>
      </c>
      <c r="V687" s="27">
        <f t="shared" ca="1" si="531"/>
        <v>0.15323449217395951</v>
      </c>
    </row>
    <row r="688" spans="1:22" ht="12.75" customHeight="1" x14ac:dyDescent="0.2">
      <c r="A688" s="6" t="s">
        <v>38</v>
      </c>
      <c r="B688" s="6" t="s">
        <v>15</v>
      </c>
      <c r="C688" s="7">
        <v>166531</v>
      </c>
      <c r="D688" s="8">
        <v>102211.2</v>
      </c>
      <c r="E688" s="9" t="s">
        <v>16</v>
      </c>
      <c r="F688" s="23">
        <v>208</v>
      </c>
      <c r="G688" s="25"/>
      <c r="H688" s="14">
        <f t="shared" si="525"/>
        <v>0.55000000000000004</v>
      </c>
      <c r="I688" s="25">
        <f ca="1">IFERROR(__xludf.DUMMYFUNCTION("ROUND(D688*GOOGLEFINANCE(""RUBKZT"")*H688)"),438684)</f>
        <v>438684</v>
      </c>
      <c r="J688" s="26">
        <f ca="1">IFERROR(__xludf.DUMMYFUNCTION("ROUND(I688*GOOGLEFINANCE(""KZTEUR""))"),919)</f>
        <v>919</v>
      </c>
      <c r="K688" s="26">
        <f t="shared" ca="1" si="526"/>
        <v>4418</v>
      </c>
      <c r="L688" s="26">
        <f t="shared" ca="1" si="527"/>
        <v>839.42</v>
      </c>
      <c r="M688" s="26">
        <f t="shared" ref="M688:N688" si="704">M$3</f>
        <v>500</v>
      </c>
      <c r="N688" s="26">
        <f t="shared" si="704"/>
        <v>500</v>
      </c>
      <c r="O688" s="26">
        <f ca="1">IFERROR(__xludf.DUMMYFUNCTION("ROUND(GOOGLEFINANCE(""Currency:EURKZT"")*K688)"),2109903)</f>
        <v>2109903</v>
      </c>
      <c r="P688" s="26">
        <f ca="1">IFERROR(__xludf.DUMMYFUNCTION("ROUND(GOOGLEFINANCE(""Currency:EURKZT"")*M688)"),238785)</f>
        <v>238785</v>
      </c>
      <c r="Q688" s="26">
        <f ca="1">IFERROR(__xludf.DUMMYFUNCTION("ROUND(GOOGLEFINANCE(""Currency:EURKZT"")*N688)"),238785)</f>
        <v>238785</v>
      </c>
      <c r="R688" s="26">
        <f t="shared" ca="1" si="529"/>
        <v>253188</v>
      </c>
      <c r="S688" s="26">
        <f t="shared" ca="1" si="530"/>
        <v>2840661</v>
      </c>
      <c r="T688" s="26">
        <f ca="1">IFERROR(__xludf.DUMMYFUNCTION("ROUND(GOOGLEFINANCE(""Currency:EURKZT"")*L688+S688)"),3241542)</f>
        <v>3241542</v>
      </c>
      <c r="U688" s="26">
        <f ca="1">IFERROR(__xludf.DUMMYFUNCTION("D688*GOOGLEFINANCE(""RUBKZT"")*1000/F688"),3834651.12947279)</f>
        <v>3834651.1294727898</v>
      </c>
      <c r="V688" s="27">
        <f t="shared" ca="1" si="531"/>
        <v>0.18297129251226418</v>
      </c>
    </row>
    <row r="689" spans="1:22" ht="12.75" customHeight="1" x14ac:dyDescent="0.2">
      <c r="A689" s="6" t="s">
        <v>39</v>
      </c>
      <c r="B689" s="6" t="s">
        <v>15</v>
      </c>
      <c r="C689" s="7">
        <v>166811</v>
      </c>
      <c r="D689" s="8">
        <v>106150.8</v>
      </c>
      <c r="E689" s="9" t="s">
        <v>16</v>
      </c>
      <c r="F689" s="23">
        <v>208</v>
      </c>
      <c r="G689" s="25"/>
      <c r="H689" s="14">
        <f t="shared" si="525"/>
        <v>0.55000000000000004</v>
      </c>
      <c r="I689" s="25">
        <f ca="1">IFERROR(__xludf.DUMMYFUNCTION("ROUND(D689*GOOGLEFINANCE(""RUBKZT"")*H689)"),455593)</f>
        <v>455593</v>
      </c>
      <c r="J689" s="26">
        <f ca="1">IFERROR(__xludf.DUMMYFUNCTION("ROUND(I689*GOOGLEFINANCE(""KZTEUR""))"),954)</f>
        <v>954</v>
      </c>
      <c r="K689" s="26">
        <f t="shared" ca="1" si="526"/>
        <v>4587</v>
      </c>
      <c r="L689" s="26">
        <f t="shared" ca="1" si="527"/>
        <v>871.53</v>
      </c>
      <c r="M689" s="26">
        <f t="shared" ref="M689:N689" si="705">M$3</f>
        <v>500</v>
      </c>
      <c r="N689" s="26">
        <f t="shared" si="705"/>
        <v>500</v>
      </c>
      <c r="O689" s="26">
        <f ca="1">IFERROR(__xludf.DUMMYFUNCTION("ROUND(GOOGLEFINANCE(""Currency:EURKZT"")*K689)"),2190612)</f>
        <v>2190612</v>
      </c>
      <c r="P689" s="26">
        <f ca="1">IFERROR(__xludf.DUMMYFUNCTION("ROUND(GOOGLEFINANCE(""Currency:EURKZT"")*M689)"),238785)</f>
        <v>238785</v>
      </c>
      <c r="Q689" s="26">
        <f ca="1">IFERROR(__xludf.DUMMYFUNCTION("ROUND(GOOGLEFINANCE(""Currency:EURKZT"")*N689)"),238785)</f>
        <v>238785</v>
      </c>
      <c r="R689" s="26">
        <f t="shared" ca="1" si="529"/>
        <v>262873</v>
      </c>
      <c r="S689" s="26">
        <f t="shared" ca="1" si="530"/>
        <v>2931055</v>
      </c>
      <c r="T689" s="26">
        <f ca="1">IFERROR(__xludf.DUMMYFUNCTION("ROUND(GOOGLEFINANCE(""Currency:EURKZT"")*L689+S689)"),3347271)</f>
        <v>3347271</v>
      </c>
      <c r="U689" s="26">
        <f ca="1">IFERROR(__xludf.DUMMYFUNCTION("D689*GOOGLEFINANCE(""RUBKZT"")*1000/F689"),3982452.85364462)</f>
        <v>3982452.8536446202</v>
      </c>
      <c r="V689" s="27">
        <f t="shared" ca="1" si="531"/>
        <v>0.18976110797262014</v>
      </c>
    </row>
    <row r="690" spans="1:22" ht="12.75" customHeight="1" x14ac:dyDescent="0.2">
      <c r="A690" s="6" t="s">
        <v>40</v>
      </c>
      <c r="B690" s="6" t="s">
        <v>15</v>
      </c>
      <c r="C690" s="7">
        <v>166522</v>
      </c>
      <c r="D690" s="8">
        <v>108196.8</v>
      </c>
      <c r="E690" s="9" t="s">
        <v>16</v>
      </c>
      <c r="F690" s="23">
        <v>208</v>
      </c>
      <c r="G690" s="25"/>
      <c r="H690" s="14">
        <f t="shared" si="525"/>
        <v>0.55000000000000004</v>
      </c>
      <c r="I690" s="25">
        <f ca="1">IFERROR(__xludf.DUMMYFUNCTION("ROUND(D690*GOOGLEFINANCE(""RUBKZT"")*H690)"),464374)</f>
        <v>464374</v>
      </c>
      <c r="J690" s="26">
        <f ca="1">IFERROR(__xludf.DUMMYFUNCTION("ROUND(I690*GOOGLEFINANCE(""KZTEUR""))"),973)</f>
        <v>973</v>
      </c>
      <c r="K690" s="26">
        <f t="shared" ca="1" si="526"/>
        <v>4678</v>
      </c>
      <c r="L690" s="26">
        <f t="shared" ca="1" si="527"/>
        <v>888.82</v>
      </c>
      <c r="M690" s="26">
        <f t="shared" ref="M690:N690" si="706">M$3</f>
        <v>500</v>
      </c>
      <c r="N690" s="26">
        <f t="shared" si="706"/>
        <v>500</v>
      </c>
      <c r="O690" s="26">
        <f ca="1">IFERROR(__xludf.DUMMYFUNCTION("ROUND(GOOGLEFINANCE(""Currency:EURKZT"")*K690)"),2234071)</f>
        <v>2234071</v>
      </c>
      <c r="P690" s="26">
        <f ca="1">IFERROR(__xludf.DUMMYFUNCTION("ROUND(GOOGLEFINANCE(""Currency:EURKZT"")*M690)"),238785)</f>
        <v>238785</v>
      </c>
      <c r="Q690" s="26">
        <f ca="1">IFERROR(__xludf.DUMMYFUNCTION("ROUND(GOOGLEFINANCE(""Currency:EURKZT"")*N690)"),238785)</f>
        <v>238785</v>
      </c>
      <c r="R690" s="26">
        <f t="shared" ca="1" si="529"/>
        <v>268089</v>
      </c>
      <c r="S690" s="26">
        <f t="shared" ca="1" si="530"/>
        <v>2979730</v>
      </c>
      <c r="T690" s="26">
        <f ca="1">IFERROR(__xludf.DUMMYFUNCTION("ROUND(GOOGLEFINANCE(""Currency:EURKZT"")*L690+S690)"),3404203)</f>
        <v>3404203</v>
      </c>
      <c r="U690" s="26">
        <f ca="1">IFERROR(__xludf.DUMMYFUNCTION("D690*GOOGLEFINANCE(""RUBKZT"")*1000/F690"),4059212.50631381)</f>
        <v>4059212.5063138101</v>
      </c>
      <c r="V690" s="27">
        <f t="shared" ca="1" si="531"/>
        <v>0.19241199961160074</v>
      </c>
    </row>
    <row r="691" spans="1:22" ht="12.75" customHeight="1" x14ac:dyDescent="0.2">
      <c r="A691" s="6" t="s">
        <v>41</v>
      </c>
      <c r="B691" s="6" t="s">
        <v>15</v>
      </c>
      <c r="C691" s="7">
        <v>166533</v>
      </c>
      <c r="D691" s="8">
        <v>105026.4</v>
      </c>
      <c r="E691" s="9" t="s">
        <v>16</v>
      </c>
      <c r="F691" s="23">
        <v>208</v>
      </c>
      <c r="G691" s="25"/>
      <c r="H691" s="14">
        <f t="shared" si="525"/>
        <v>0.55000000000000004</v>
      </c>
      <c r="I691" s="25">
        <f ca="1">IFERROR(__xludf.DUMMYFUNCTION("ROUND(D691*GOOGLEFINANCE(""RUBKZT"")*H691)"),450767)</f>
        <v>450767</v>
      </c>
      <c r="J691" s="26">
        <f ca="1">IFERROR(__xludf.DUMMYFUNCTION("ROUND(I691*GOOGLEFINANCE(""KZTEUR""))"),944)</f>
        <v>944</v>
      </c>
      <c r="K691" s="26">
        <f t="shared" ca="1" si="526"/>
        <v>4538</v>
      </c>
      <c r="L691" s="26">
        <f t="shared" ca="1" si="527"/>
        <v>862.22</v>
      </c>
      <c r="M691" s="26">
        <f t="shared" ref="M691:N691" si="707">M$3</f>
        <v>500</v>
      </c>
      <c r="N691" s="26">
        <f t="shared" si="707"/>
        <v>500</v>
      </c>
      <c r="O691" s="26">
        <f ca="1">IFERROR(__xludf.DUMMYFUNCTION("ROUND(GOOGLEFINANCE(""Currency:EURKZT"")*K691)"),2167211)</f>
        <v>2167211</v>
      </c>
      <c r="P691" s="26">
        <f ca="1">IFERROR(__xludf.DUMMYFUNCTION("ROUND(GOOGLEFINANCE(""Currency:EURKZT"")*M691)"),238785)</f>
        <v>238785</v>
      </c>
      <c r="Q691" s="26">
        <f ca="1">IFERROR(__xludf.DUMMYFUNCTION("ROUND(GOOGLEFINANCE(""Currency:EURKZT"")*N691)"),238785)</f>
        <v>238785</v>
      </c>
      <c r="R691" s="26">
        <f t="shared" ca="1" si="529"/>
        <v>260065</v>
      </c>
      <c r="S691" s="26">
        <f t="shared" ca="1" si="530"/>
        <v>2904846</v>
      </c>
      <c r="T691" s="26">
        <f ca="1">IFERROR(__xludf.DUMMYFUNCTION("ROUND(GOOGLEFINANCE(""Currency:EURKZT"")*L691+S691)"),3316616)</f>
        <v>3316616</v>
      </c>
      <c r="U691" s="26">
        <f ca="1">IFERROR(__xludf.DUMMYFUNCTION("D691*GOOGLEFINANCE(""RUBKZT"")*1000/F691"),3940268.80991967)</f>
        <v>3940268.8099196702</v>
      </c>
      <c r="V691" s="27">
        <f t="shared" ca="1" si="531"/>
        <v>0.1880388956453416</v>
      </c>
    </row>
    <row r="692" spans="1:22" ht="12.75" customHeight="1" x14ac:dyDescent="0.2">
      <c r="A692" s="6" t="s">
        <v>42</v>
      </c>
      <c r="B692" s="6" t="s">
        <v>15</v>
      </c>
      <c r="C692" s="7">
        <v>166524</v>
      </c>
      <c r="D692" s="8">
        <v>107835.59999999999</v>
      </c>
      <c r="E692" s="9" t="s">
        <v>16</v>
      </c>
      <c r="F692" s="23">
        <v>208</v>
      </c>
      <c r="G692" s="25"/>
      <c r="H692" s="14">
        <f t="shared" si="525"/>
        <v>0.55000000000000004</v>
      </c>
      <c r="I692" s="25">
        <f ca="1">IFERROR(__xludf.DUMMYFUNCTION("ROUND(D692*GOOGLEFINANCE(""RUBKZT"")*H692)"),462824)</f>
        <v>462824</v>
      </c>
      <c r="J692" s="26">
        <f ca="1">IFERROR(__xludf.DUMMYFUNCTION("ROUND(I692*GOOGLEFINANCE(""KZTEUR""))"),969)</f>
        <v>969</v>
      </c>
      <c r="K692" s="26">
        <f t="shared" ca="1" si="526"/>
        <v>4659</v>
      </c>
      <c r="L692" s="26">
        <f t="shared" ca="1" si="527"/>
        <v>885.21</v>
      </c>
      <c r="M692" s="26">
        <f t="shared" ref="M692:N692" si="708">M$3</f>
        <v>500</v>
      </c>
      <c r="N692" s="26">
        <f t="shared" si="708"/>
        <v>500</v>
      </c>
      <c r="O692" s="26">
        <f ca="1">IFERROR(__xludf.DUMMYFUNCTION("ROUND(GOOGLEFINANCE(""Currency:EURKZT"")*K692)"),2224997)</f>
        <v>2224997</v>
      </c>
      <c r="P692" s="26">
        <f ca="1">IFERROR(__xludf.DUMMYFUNCTION("ROUND(GOOGLEFINANCE(""Currency:EURKZT"")*M692)"),238785)</f>
        <v>238785</v>
      </c>
      <c r="Q692" s="26">
        <f ca="1">IFERROR(__xludf.DUMMYFUNCTION("ROUND(GOOGLEFINANCE(""Currency:EURKZT"")*N692)"),238785)</f>
        <v>238785</v>
      </c>
      <c r="R692" s="26">
        <f t="shared" ca="1" si="529"/>
        <v>267000</v>
      </c>
      <c r="S692" s="26">
        <f t="shared" ca="1" si="530"/>
        <v>2969567</v>
      </c>
      <c r="T692" s="26">
        <f ca="1">IFERROR(__xludf.DUMMYFUNCTION("ROUND(GOOGLEFINANCE(""Currency:EURKZT"")*L692+S692)"),3392316)</f>
        <v>3392316</v>
      </c>
      <c r="U692" s="26">
        <f ca="1">IFERROR(__xludf.DUMMYFUNCTION("D692*GOOGLEFINANCE(""RUBKZT"")*1000/F692"),4045661.38874582)</f>
        <v>4045661.3887458201</v>
      </c>
      <c r="V692" s="27">
        <f t="shared" ca="1" si="531"/>
        <v>0.19259567467942848</v>
      </c>
    </row>
    <row r="693" spans="1:22" ht="12.75" customHeight="1" x14ac:dyDescent="0.2">
      <c r="A693" s="6" t="s">
        <v>43</v>
      </c>
      <c r="B693" s="6" t="s">
        <v>15</v>
      </c>
      <c r="C693" s="7">
        <v>166526</v>
      </c>
      <c r="D693" s="8">
        <v>103915.2</v>
      </c>
      <c r="E693" s="9" t="s">
        <v>16</v>
      </c>
      <c r="F693" s="23">
        <v>208</v>
      </c>
      <c r="G693" s="25"/>
      <c r="H693" s="14">
        <f t="shared" si="525"/>
        <v>0.55000000000000004</v>
      </c>
      <c r="I693" s="25">
        <f ca="1">IFERROR(__xludf.DUMMYFUNCTION("ROUND(D693*GOOGLEFINANCE(""RUBKZT"")*H693)"),445998)</f>
        <v>445998</v>
      </c>
      <c r="J693" s="26">
        <f ca="1">IFERROR(__xludf.DUMMYFUNCTION("ROUND(I693*GOOGLEFINANCE(""KZTEUR""))"),934)</f>
        <v>934</v>
      </c>
      <c r="K693" s="26">
        <f t="shared" ca="1" si="526"/>
        <v>4490</v>
      </c>
      <c r="L693" s="26">
        <f t="shared" ca="1" si="527"/>
        <v>853.1</v>
      </c>
      <c r="M693" s="26">
        <f t="shared" ref="M693:N693" si="709">M$3</f>
        <v>500</v>
      </c>
      <c r="N693" s="26">
        <f t="shared" si="709"/>
        <v>500</v>
      </c>
      <c r="O693" s="26">
        <f ca="1">IFERROR(__xludf.DUMMYFUNCTION("ROUND(GOOGLEFINANCE(""Currency:EURKZT"")*K693)"),2144288)</f>
        <v>2144288</v>
      </c>
      <c r="P693" s="26">
        <f ca="1">IFERROR(__xludf.DUMMYFUNCTION("ROUND(GOOGLEFINANCE(""Currency:EURKZT"")*M693)"),238785)</f>
        <v>238785</v>
      </c>
      <c r="Q693" s="26">
        <f ca="1">IFERROR(__xludf.DUMMYFUNCTION("ROUND(GOOGLEFINANCE(""Currency:EURKZT"")*N693)"),238785)</f>
        <v>238785</v>
      </c>
      <c r="R693" s="26">
        <f t="shared" ca="1" si="529"/>
        <v>257315</v>
      </c>
      <c r="S693" s="26">
        <f t="shared" ca="1" si="530"/>
        <v>2879173</v>
      </c>
      <c r="T693" s="26">
        <f ca="1">IFERROR(__xludf.DUMMYFUNCTION("ROUND(GOOGLEFINANCE(""Currency:EURKZT"")*L693+S693)"),3286588)</f>
        <v>3286588</v>
      </c>
      <c r="U693" s="26">
        <f ca="1">IFERROR(__xludf.DUMMYFUNCTION("D693*GOOGLEFINANCE(""RUBKZT"")*1000/F693"),3898579.98976033)</f>
        <v>3898579.9897603299</v>
      </c>
      <c r="V693" s="27">
        <f t="shared" ca="1" si="531"/>
        <v>0.18620891628653483</v>
      </c>
    </row>
    <row r="694" spans="1:22" ht="12.75" customHeight="1" x14ac:dyDescent="0.2">
      <c r="A694" s="6" t="s">
        <v>57</v>
      </c>
      <c r="B694" s="6" t="s">
        <v>15</v>
      </c>
      <c r="C694" s="7">
        <v>211102</v>
      </c>
      <c r="D694" s="8">
        <v>121336.79999999999</v>
      </c>
      <c r="E694" s="9" t="s">
        <v>16</v>
      </c>
      <c r="F694" s="23">
        <v>208</v>
      </c>
      <c r="G694" s="25"/>
      <c r="H694" s="14">
        <f t="shared" si="525"/>
        <v>0.55000000000000004</v>
      </c>
      <c r="I694" s="25">
        <f ca="1">IFERROR(__xludf.DUMMYFUNCTION("ROUND(D694*GOOGLEFINANCE(""RUBKZT"")*H694)"),520770)</f>
        <v>520770</v>
      </c>
      <c r="J694" s="26">
        <f ca="1">IFERROR(__xludf.DUMMYFUNCTION("ROUND(I694*GOOGLEFINANCE(""KZTEUR""))"),1091)</f>
        <v>1091</v>
      </c>
      <c r="K694" s="26">
        <f t="shared" ca="1" si="526"/>
        <v>5245</v>
      </c>
      <c r="L694" s="26">
        <f t="shared" ca="1" si="527"/>
        <v>996.55000000000007</v>
      </c>
      <c r="M694" s="26">
        <f t="shared" ref="M694:N694" si="710">M$3</f>
        <v>500</v>
      </c>
      <c r="N694" s="26">
        <f t="shared" si="710"/>
        <v>500</v>
      </c>
      <c r="O694" s="26">
        <f ca="1">IFERROR(__xludf.DUMMYFUNCTION("ROUND(GOOGLEFINANCE(""Currency:EURKZT"")*K694)"),2504853)</f>
        <v>2504853</v>
      </c>
      <c r="P694" s="26">
        <f ca="1">IFERROR(__xludf.DUMMYFUNCTION("ROUND(GOOGLEFINANCE(""Currency:EURKZT"")*M694)"),238785)</f>
        <v>238785</v>
      </c>
      <c r="Q694" s="26">
        <f ca="1">IFERROR(__xludf.DUMMYFUNCTION("ROUND(GOOGLEFINANCE(""Currency:EURKZT"")*N694)"),238785)</f>
        <v>238785</v>
      </c>
      <c r="R694" s="26">
        <f t="shared" ca="1" si="529"/>
        <v>300582</v>
      </c>
      <c r="S694" s="26">
        <f t="shared" ca="1" si="530"/>
        <v>3283005</v>
      </c>
      <c r="T694" s="26">
        <f ca="1">IFERROR(__xludf.DUMMYFUNCTION("ROUND(GOOGLEFINANCE(""Currency:EURKZT"")*L694+S694)"),3758927)</f>
        <v>3758927</v>
      </c>
      <c r="U694" s="26">
        <f ca="1">IFERROR(__xludf.DUMMYFUNCTION("D694*GOOGLEFINANCE(""RUBKZT"")*1000/F694"),4552185.05571419)</f>
        <v>4552185.05571419</v>
      </c>
      <c r="V694" s="27">
        <f t="shared" ca="1" si="531"/>
        <v>0.2110331101705859</v>
      </c>
    </row>
    <row r="695" spans="1:22" ht="12.75" customHeight="1" x14ac:dyDescent="0.2">
      <c r="A695" s="6" t="s">
        <v>58</v>
      </c>
      <c r="B695" s="6" t="s">
        <v>15</v>
      </c>
      <c r="C695" s="7">
        <v>166520</v>
      </c>
      <c r="D695" s="8">
        <v>115804.8</v>
      </c>
      <c r="E695" s="9" t="s">
        <v>16</v>
      </c>
      <c r="F695" s="23">
        <v>208</v>
      </c>
      <c r="G695" s="25"/>
      <c r="H695" s="14">
        <f t="shared" si="525"/>
        <v>0.55000000000000004</v>
      </c>
      <c r="I695" s="25">
        <f ca="1">IFERROR(__xludf.DUMMYFUNCTION("ROUND(D695*GOOGLEFINANCE(""RUBKZT"")*H695)"),497027)</f>
        <v>497027</v>
      </c>
      <c r="J695" s="26">
        <f ca="1">IFERROR(__xludf.DUMMYFUNCTION("ROUND(I695*GOOGLEFINANCE(""KZTEUR""))"),1041)</f>
        <v>1041</v>
      </c>
      <c r="K695" s="26">
        <f t="shared" ca="1" si="526"/>
        <v>5005</v>
      </c>
      <c r="L695" s="26">
        <f t="shared" ca="1" si="527"/>
        <v>950.95</v>
      </c>
      <c r="M695" s="26">
        <f t="shared" ref="M695:N695" si="711">M$3</f>
        <v>500</v>
      </c>
      <c r="N695" s="26">
        <f t="shared" si="711"/>
        <v>500</v>
      </c>
      <c r="O695" s="26">
        <f ca="1">IFERROR(__xludf.DUMMYFUNCTION("ROUND(GOOGLEFINANCE(""Currency:EURKZT"")*K695)"),2390236)</f>
        <v>2390236</v>
      </c>
      <c r="P695" s="26">
        <f ca="1">IFERROR(__xludf.DUMMYFUNCTION("ROUND(GOOGLEFINANCE(""Currency:EURKZT"")*M695)"),238785)</f>
        <v>238785</v>
      </c>
      <c r="Q695" s="26">
        <f ca="1">IFERROR(__xludf.DUMMYFUNCTION("ROUND(GOOGLEFINANCE(""Currency:EURKZT"")*N695)"),238785)</f>
        <v>238785</v>
      </c>
      <c r="R695" s="26">
        <f t="shared" ca="1" si="529"/>
        <v>286828</v>
      </c>
      <c r="S695" s="26">
        <f t="shared" ca="1" si="530"/>
        <v>3154634</v>
      </c>
      <c r="T695" s="26">
        <f ca="1">IFERROR(__xludf.DUMMYFUNCTION("ROUND(GOOGLEFINANCE(""Currency:EURKZT"")*L695+S695)"),3608779)</f>
        <v>3608779</v>
      </c>
      <c r="U695" s="26">
        <f ca="1">IFERROR(__xludf.DUMMYFUNCTION("D695*GOOGLEFINANCE(""RUBKZT"")*1000/F695"),4344641.36140043)</f>
        <v>4344641.3614004301</v>
      </c>
      <c r="V695" s="27">
        <f t="shared" ca="1" si="531"/>
        <v>0.20390895685228441</v>
      </c>
    </row>
    <row r="696" spans="1:22" ht="12.75" customHeight="1" x14ac:dyDescent="0.2">
      <c r="A696" s="6" t="s">
        <v>60</v>
      </c>
      <c r="B696" s="6" t="s">
        <v>15</v>
      </c>
      <c r="C696" s="7">
        <v>166509</v>
      </c>
      <c r="D696" s="8">
        <v>76224</v>
      </c>
      <c r="E696" s="9" t="s">
        <v>16</v>
      </c>
      <c r="F696" s="23">
        <v>208</v>
      </c>
      <c r="G696" s="25"/>
      <c r="H696" s="14">
        <f t="shared" si="525"/>
        <v>0.55000000000000004</v>
      </c>
      <c r="I696" s="25">
        <f ca="1">IFERROR(__xludf.DUMMYFUNCTION("ROUND(D696*GOOGLEFINANCE(""RUBKZT"")*H696)"),327149)</f>
        <v>327149</v>
      </c>
      <c r="J696" s="26">
        <f ca="1">IFERROR(__xludf.DUMMYFUNCTION("ROUND(I696*GOOGLEFINANCE(""KZTEUR""))"),685)</f>
        <v>685</v>
      </c>
      <c r="K696" s="26">
        <f t="shared" ca="1" si="526"/>
        <v>3293</v>
      </c>
      <c r="L696" s="26">
        <f t="shared" ca="1" si="527"/>
        <v>625.66999999999996</v>
      </c>
      <c r="M696" s="26">
        <f t="shared" ref="M696:N696" si="712">M$3</f>
        <v>500</v>
      </c>
      <c r="N696" s="26">
        <f t="shared" si="712"/>
        <v>500</v>
      </c>
      <c r="O696" s="26">
        <f ca="1">IFERROR(__xludf.DUMMYFUNCTION("ROUND(GOOGLEFINANCE(""Currency:EURKZT"")*K696)"),1572637)</f>
        <v>1572637</v>
      </c>
      <c r="P696" s="26">
        <f ca="1">IFERROR(__xludf.DUMMYFUNCTION("ROUND(GOOGLEFINANCE(""Currency:EURKZT"")*M696)"),238785)</f>
        <v>238785</v>
      </c>
      <c r="Q696" s="26">
        <f ca="1">IFERROR(__xludf.DUMMYFUNCTION("ROUND(GOOGLEFINANCE(""Currency:EURKZT"")*N696)"),238785)</f>
        <v>238785</v>
      </c>
      <c r="R696" s="26">
        <f t="shared" ca="1" si="529"/>
        <v>188716</v>
      </c>
      <c r="S696" s="26">
        <f t="shared" ca="1" si="530"/>
        <v>2238923</v>
      </c>
      <c r="T696" s="26">
        <f ca="1">IFERROR(__xludf.DUMMYFUNCTION("ROUND(GOOGLEFINANCE(""Currency:EURKZT"")*L696+S696)"),2537724)</f>
        <v>2537724</v>
      </c>
      <c r="U696" s="26">
        <f ca="1">IFERROR(__xludf.DUMMYFUNCTION("D696*GOOGLEFINANCE(""RUBKZT"")*1000/F696"),2859690.98976369)</f>
        <v>2859690.9897636902</v>
      </c>
      <c r="V696" s="27">
        <f t="shared" ca="1" si="531"/>
        <v>0.12687234299856492</v>
      </c>
    </row>
    <row r="697" spans="1:22" ht="12.75" customHeight="1" x14ac:dyDescent="0.2">
      <c r="A697" s="6" t="s">
        <v>61</v>
      </c>
      <c r="B697" s="6" t="s">
        <v>15</v>
      </c>
      <c r="C697" s="7">
        <v>166512</v>
      </c>
      <c r="D697" s="8">
        <v>78909.599999999991</v>
      </c>
      <c r="E697" s="9" t="s">
        <v>16</v>
      </c>
      <c r="F697" s="23">
        <v>208</v>
      </c>
      <c r="G697" s="25"/>
      <c r="H697" s="14">
        <f t="shared" si="525"/>
        <v>0.55000000000000004</v>
      </c>
      <c r="I697" s="25">
        <f ca="1">IFERROR(__xludf.DUMMYFUNCTION("ROUND(D697*GOOGLEFINANCE(""RUBKZT"")*H697)"),338675)</f>
        <v>338675</v>
      </c>
      <c r="J697" s="26">
        <f ca="1">IFERROR(__xludf.DUMMYFUNCTION("ROUND(I697*GOOGLEFINANCE(""KZTEUR""))"),709)</f>
        <v>709</v>
      </c>
      <c r="K697" s="26">
        <f t="shared" ca="1" si="526"/>
        <v>3409</v>
      </c>
      <c r="L697" s="26">
        <f t="shared" ca="1" si="527"/>
        <v>647.71</v>
      </c>
      <c r="M697" s="26">
        <f t="shared" ref="M697:N697" si="713">M$3</f>
        <v>500</v>
      </c>
      <c r="N697" s="26">
        <f t="shared" si="713"/>
        <v>500</v>
      </c>
      <c r="O697" s="26">
        <f ca="1">IFERROR(__xludf.DUMMYFUNCTION("ROUND(GOOGLEFINANCE(""Currency:EURKZT"")*K697)"),1628035)</f>
        <v>1628035</v>
      </c>
      <c r="P697" s="26">
        <f ca="1">IFERROR(__xludf.DUMMYFUNCTION("ROUND(GOOGLEFINANCE(""Currency:EURKZT"")*M697)"),238785)</f>
        <v>238785</v>
      </c>
      <c r="Q697" s="26">
        <f ca="1">IFERROR(__xludf.DUMMYFUNCTION("ROUND(GOOGLEFINANCE(""Currency:EURKZT"")*N697)"),238785)</f>
        <v>238785</v>
      </c>
      <c r="R697" s="26">
        <f t="shared" ca="1" si="529"/>
        <v>195364</v>
      </c>
      <c r="S697" s="26">
        <f t="shared" ca="1" si="530"/>
        <v>2300969</v>
      </c>
      <c r="T697" s="26">
        <f ca="1">IFERROR(__xludf.DUMMYFUNCTION("ROUND(GOOGLEFINANCE(""Currency:EURKZT"")*L697+S697)"),2610296)</f>
        <v>2610296</v>
      </c>
      <c r="U697" s="26">
        <f ca="1">IFERROR(__xludf.DUMMYFUNCTION("D697*GOOGLEFINANCE(""RUBKZT"")*1000/F697"),2960446.47520278)</f>
        <v>2960446.4752027802</v>
      </c>
      <c r="V697" s="27">
        <f t="shared" ca="1" si="531"/>
        <v>0.13414205714707458</v>
      </c>
    </row>
    <row r="698" spans="1:22" ht="12.75" customHeight="1" x14ac:dyDescent="0.2">
      <c r="A698" s="6" t="s">
        <v>62</v>
      </c>
      <c r="B698" s="6" t="s">
        <v>15</v>
      </c>
      <c r="C698" s="7">
        <v>166514</v>
      </c>
      <c r="D698" s="8">
        <v>78747.599999999991</v>
      </c>
      <c r="E698" s="9" t="s">
        <v>16</v>
      </c>
      <c r="F698" s="23">
        <v>208</v>
      </c>
      <c r="G698" s="25"/>
      <c r="H698" s="14">
        <f t="shared" si="525"/>
        <v>0.55000000000000004</v>
      </c>
      <c r="I698" s="25">
        <f ca="1">IFERROR(__xludf.DUMMYFUNCTION("ROUND(D698*GOOGLEFINANCE(""RUBKZT"")*H698)"),337980)</f>
        <v>337980</v>
      </c>
      <c r="J698" s="26">
        <f ca="1">IFERROR(__xludf.DUMMYFUNCTION("ROUND(I698*GOOGLEFINANCE(""KZTEUR""))"),708)</f>
        <v>708</v>
      </c>
      <c r="K698" s="26">
        <f t="shared" ca="1" si="526"/>
        <v>3404</v>
      </c>
      <c r="L698" s="26">
        <f t="shared" ca="1" si="527"/>
        <v>646.76</v>
      </c>
      <c r="M698" s="26">
        <f t="shared" ref="M698:N698" si="714">M$3</f>
        <v>500</v>
      </c>
      <c r="N698" s="26">
        <f t="shared" si="714"/>
        <v>500</v>
      </c>
      <c r="O698" s="26">
        <f ca="1">IFERROR(__xludf.DUMMYFUNCTION("ROUND(GOOGLEFINANCE(""Currency:EURKZT"")*K698)"),1625647)</f>
        <v>1625647</v>
      </c>
      <c r="P698" s="26">
        <f ca="1">IFERROR(__xludf.DUMMYFUNCTION("ROUND(GOOGLEFINANCE(""Currency:EURKZT"")*M698)"),238785)</f>
        <v>238785</v>
      </c>
      <c r="Q698" s="26">
        <f ca="1">IFERROR(__xludf.DUMMYFUNCTION("ROUND(GOOGLEFINANCE(""Currency:EURKZT"")*N698)"),238785)</f>
        <v>238785</v>
      </c>
      <c r="R698" s="26">
        <f t="shared" ca="1" si="529"/>
        <v>195078</v>
      </c>
      <c r="S698" s="26">
        <f t="shared" ca="1" si="530"/>
        <v>2298295</v>
      </c>
      <c r="T698" s="26">
        <f ca="1">IFERROR(__xludf.DUMMYFUNCTION("ROUND(GOOGLEFINANCE(""Currency:EURKZT"")*L698+S698)"),2607168)</f>
        <v>2607168</v>
      </c>
      <c r="U698" s="26">
        <f ca="1">IFERROR(__xludf.DUMMYFUNCTION("D698*GOOGLEFINANCE(""RUBKZT"")*1000/F698"),2954368.73144305)</f>
        <v>2954368.7314430499</v>
      </c>
      <c r="V698" s="27">
        <f t="shared" ca="1" si="531"/>
        <v>0.13317159900821499</v>
      </c>
    </row>
    <row r="699" spans="1:22" ht="12.75" customHeight="1" x14ac:dyDescent="0.2">
      <c r="A699" s="6" t="s">
        <v>68</v>
      </c>
      <c r="B699" s="6" t="s">
        <v>15</v>
      </c>
      <c r="C699" s="7">
        <v>166483</v>
      </c>
      <c r="D699" s="8">
        <v>79533.599999999991</v>
      </c>
      <c r="E699" s="9" t="s">
        <v>16</v>
      </c>
      <c r="F699" s="23">
        <v>208</v>
      </c>
      <c r="G699" s="25"/>
      <c r="H699" s="14">
        <f t="shared" si="525"/>
        <v>0.55000000000000004</v>
      </c>
      <c r="I699" s="25">
        <f ca="1">IFERROR(__xludf.DUMMYFUNCTION("ROUND(D699*GOOGLEFINANCE(""RUBKZT"")*H699)"),341353)</f>
        <v>341353</v>
      </c>
      <c r="J699" s="26">
        <f ca="1">IFERROR(__xludf.DUMMYFUNCTION("ROUND(I699*GOOGLEFINANCE(""KZTEUR""))"),715)</f>
        <v>715</v>
      </c>
      <c r="K699" s="26">
        <f t="shared" ca="1" si="526"/>
        <v>3438</v>
      </c>
      <c r="L699" s="26">
        <f t="shared" ca="1" si="527"/>
        <v>653.22</v>
      </c>
      <c r="M699" s="26">
        <f t="shared" ref="M699:N699" si="715">M$3</f>
        <v>500</v>
      </c>
      <c r="N699" s="26">
        <f t="shared" si="715"/>
        <v>500</v>
      </c>
      <c r="O699" s="26">
        <f ca="1">IFERROR(__xludf.DUMMYFUNCTION("ROUND(GOOGLEFINANCE(""Currency:EURKZT"")*K699)"),1641884)</f>
        <v>1641884</v>
      </c>
      <c r="P699" s="26">
        <f ca="1">IFERROR(__xludf.DUMMYFUNCTION("ROUND(GOOGLEFINANCE(""Currency:EURKZT"")*M699)"),238785)</f>
        <v>238785</v>
      </c>
      <c r="Q699" s="26">
        <f ca="1">IFERROR(__xludf.DUMMYFUNCTION("ROUND(GOOGLEFINANCE(""Currency:EURKZT"")*N699)"),238785)</f>
        <v>238785</v>
      </c>
      <c r="R699" s="26">
        <f t="shared" ca="1" si="529"/>
        <v>197026</v>
      </c>
      <c r="S699" s="26">
        <f t="shared" ca="1" si="530"/>
        <v>2316480</v>
      </c>
      <c r="T699" s="26">
        <f ca="1">IFERROR(__xludf.DUMMYFUNCTION("ROUND(GOOGLEFINANCE(""Currency:EURKZT"")*L699+S699)"),2628438)</f>
        <v>2628438</v>
      </c>
      <c r="U699" s="26">
        <f ca="1">IFERROR(__xludf.DUMMYFUNCTION("D699*GOOGLEFINANCE(""RUBKZT"")*1000/F699"),2983857.04375878)</f>
        <v>2983857.0437587802</v>
      </c>
      <c r="V699" s="27">
        <f t="shared" ca="1" si="531"/>
        <v>0.13522063056415265</v>
      </c>
    </row>
    <row r="700" spans="1:22" ht="12.75" customHeight="1" x14ac:dyDescent="0.2">
      <c r="A700" s="6" t="s">
        <v>70</v>
      </c>
      <c r="B700" s="6" t="s">
        <v>15</v>
      </c>
      <c r="C700" s="7">
        <v>166477</v>
      </c>
      <c r="D700" s="8">
        <v>106742.39999999999</v>
      </c>
      <c r="E700" s="9" t="s">
        <v>16</v>
      </c>
      <c r="F700" s="23">
        <v>208</v>
      </c>
      <c r="G700" s="25"/>
      <c r="H700" s="14">
        <f t="shared" si="525"/>
        <v>0.55000000000000004</v>
      </c>
      <c r="I700" s="25">
        <f ca="1">IFERROR(__xludf.DUMMYFUNCTION("ROUND(D700*GOOGLEFINANCE(""RUBKZT"")*H700)"),458132)</f>
        <v>458132</v>
      </c>
      <c r="J700" s="26">
        <f ca="1">IFERROR(__xludf.DUMMYFUNCTION("ROUND(I700*GOOGLEFINANCE(""KZTEUR""))"),959)</f>
        <v>959</v>
      </c>
      <c r="K700" s="26">
        <f t="shared" ca="1" si="526"/>
        <v>4611</v>
      </c>
      <c r="L700" s="26">
        <f t="shared" ca="1" si="527"/>
        <v>876.09</v>
      </c>
      <c r="M700" s="26">
        <f t="shared" ref="M700:N700" si="716">M$3</f>
        <v>500</v>
      </c>
      <c r="N700" s="26">
        <f t="shared" si="716"/>
        <v>500</v>
      </c>
      <c r="O700" s="26">
        <f ca="1">IFERROR(__xludf.DUMMYFUNCTION("ROUND(GOOGLEFINANCE(""Currency:EURKZT"")*K700)"),2202073)</f>
        <v>2202073</v>
      </c>
      <c r="P700" s="26">
        <f ca="1">IFERROR(__xludf.DUMMYFUNCTION("ROUND(GOOGLEFINANCE(""Currency:EURKZT"")*M700)"),238785)</f>
        <v>238785</v>
      </c>
      <c r="Q700" s="26">
        <f ca="1">IFERROR(__xludf.DUMMYFUNCTION("ROUND(GOOGLEFINANCE(""Currency:EURKZT"")*N700)"),238785)</f>
        <v>238785</v>
      </c>
      <c r="R700" s="26">
        <f t="shared" ca="1" si="529"/>
        <v>264249</v>
      </c>
      <c r="S700" s="26">
        <f t="shared" ca="1" si="530"/>
        <v>2943892</v>
      </c>
      <c r="T700" s="26">
        <f ca="1">IFERROR(__xludf.DUMMYFUNCTION("ROUND(GOOGLEFINANCE(""Currency:EURKZT"")*L700+S700)"),3362286)</f>
        <v>3362286</v>
      </c>
      <c r="U700" s="26">
        <f ca="1">IFERROR(__xludf.DUMMYFUNCTION("D700*GOOGLEFINANCE(""RUBKZT"")*1000/F700"),4004647.87344867)</f>
        <v>4004647.8734486699</v>
      </c>
      <c r="V700" s="27">
        <f t="shared" ca="1" si="531"/>
        <v>0.19104914735054362</v>
      </c>
    </row>
    <row r="701" spans="1:22" ht="12.75" customHeight="1" x14ac:dyDescent="0.2">
      <c r="A701" s="6" t="s">
        <v>73</v>
      </c>
      <c r="B701" s="6" t="s">
        <v>15</v>
      </c>
      <c r="C701" s="7">
        <v>167110</v>
      </c>
      <c r="D701" s="8">
        <v>95674.8</v>
      </c>
      <c r="E701" s="9" t="s">
        <v>16</v>
      </c>
      <c r="F701" s="23">
        <v>208</v>
      </c>
      <c r="G701" s="25"/>
      <c r="H701" s="14">
        <f t="shared" si="525"/>
        <v>0.55000000000000004</v>
      </c>
      <c r="I701" s="25">
        <f ca="1">IFERROR(__xludf.DUMMYFUNCTION("ROUND(D701*GOOGLEFINANCE(""RUBKZT"")*H701)"),410630)</f>
        <v>410630</v>
      </c>
      <c r="J701" s="26">
        <f ca="1">IFERROR(__xludf.DUMMYFUNCTION("ROUND(I701*GOOGLEFINANCE(""KZTEUR""))"),860)</f>
        <v>860</v>
      </c>
      <c r="K701" s="26">
        <f t="shared" ca="1" si="526"/>
        <v>4135</v>
      </c>
      <c r="L701" s="26">
        <f t="shared" ca="1" si="527"/>
        <v>785.65</v>
      </c>
      <c r="M701" s="26">
        <f t="shared" ref="M701:N701" si="717">M$3</f>
        <v>500</v>
      </c>
      <c r="N701" s="26">
        <f t="shared" si="717"/>
        <v>500</v>
      </c>
      <c r="O701" s="26">
        <f ca="1">IFERROR(__xludf.DUMMYFUNCTION("ROUND(GOOGLEFINANCE(""Currency:EURKZT"")*K701)"),1974750)</f>
        <v>1974750</v>
      </c>
      <c r="P701" s="26">
        <f ca="1">IFERROR(__xludf.DUMMYFUNCTION("ROUND(GOOGLEFINANCE(""Currency:EURKZT"")*M701)"),238785)</f>
        <v>238785</v>
      </c>
      <c r="Q701" s="26">
        <f ca="1">IFERROR(__xludf.DUMMYFUNCTION("ROUND(GOOGLEFINANCE(""Currency:EURKZT"")*N701)"),238785)</f>
        <v>238785</v>
      </c>
      <c r="R701" s="26">
        <f t="shared" ca="1" si="529"/>
        <v>236970</v>
      </c>
      <c r="S701" s="26">
        <f t="shared" ca="1" si="530"/>
        <v>2689290</v>
      </c>
      <c r="T701" s="26">
        <f ca="1">IFERROR(__xludf.DUMMYFUNCTION("ROUND(GOOGLEFINANCE(""Currency:EURKZT"")*L701+S701)"),3064493)</f>
        <v>3064493</v>
      </c>
      <c r="U701" s="26">
        <f ca="1">IFERROR(__xludf.DUMMYFUNCTION("D701*GOOGLEFINANCE(""RUBKZT"")*1000/F701"),3589425.4238487)</f>
        <v>3589425.4238486998</v>
      </c>
      <c r="V701" s="27">
        <f t="shared" ca="1" si="531"/>
        <v>0.17129503113523176</v>
      </c>
    </row>
    <row r="702" spans="1:22" ht="12.75" customHeight="1" x14ac:dyDescent="0.2">
      <c r="A702" s="6" t="s">
        <v>67</v>
      </c>
      <c r="B702" s="6" t="s">
        <v>15</v>
      </c>
      <c r="C702" s="7">
        <v>166806</v>
      </c>
      <c r="D702" s="8">
        <v>94526.399999999994</v>
      </c>
      <c r="E702" s="9" t="s">
        <v>16</v>
      </c>
      <c r="F702" s="23">
        <v>208</v>
      </c>
      <c r="G702" s="25"/>
      <c r="H702" s="14">
        <f t="shared" si="525"/>
        <v>0.55000000000000004</v>
      </c>
      <c r="I702" s="25">
        <f ca="1">IFERROR(__xludf.DUMMYFUNCTION("ROUND(D702*GOOGLEFINANCE(""RUBKZT"")*H702)"),405701)</f>
        <v>405701</v>
      </c>
      <c r="J702" s="26">
        <f ca="1">IFERROR(__xludf.DUMMYFUNCTION("ROUND(I702*GOOGLEFINANCE(""KZTEUR""))"),850)</f>
        <v>850</v>
      </c>
      <c r="K702" s="26">
        <f t="shared" ca="1" si="526"/>
        <v>4087</v>
      </c>
      <c r="L702" s="26">
        <f t="shared" ca="1" si="527"/>
        <v>776.53</v>
      </c>
      <c r="M702" s="26">
        <f t="shared" ref="M702:N702" si="718">M$3</f>
        <v>500</v>
      </c>
      <c r="N702" s="26">
        <f t="shared" si="718"/>
        <v>500</v>
      </c>
      <c r="O702" s="26">
        <f ca="1">IFERROR(__xludf.DUMMYFUNCTION("ROUND(GOOGLEFINANCE(""Currency:EURKZT"")*K702)"),1951827)</f>
        <v>1951827</v>
      </c>
      <c r="P702" s="26">
        <f ca="1">IFERROR(__xludf.DUMMYFUNCTION("ROUND(GOOGLEFINANCE(""Currency:EURKZT"")*M702)"),238785)</f>
        <v>238785</v>
      </c>
      <c r="Q702" s="26">
        <f ca="1">IFERROR(__xludf.DUMMYFUNCTION("ROUND(GOOGLEFINANCE(""Currency:EURKZT"")*N702)"),238785)</f>
        <v>238785</v>
      </c>
      <c r="R702" s="26">
        <f t="shared" ca="1" si="529"/>
        <v>234219</v>
      </c>
      <c r="S702" s="26">
        <f t="shared" ca="1" si="530"/>
        <v>2663616</v>
      </c>
      <c r="T702" s="26">
        <f ca="1">IFERROR(__xludf.DUMMYFUNCTION("ROUND(GOOGLEFINANCE(""Currency:EURKZT"")*L702+S702)"),3034463)</f>
        <v>3034463</v>
      </c>
      <c r="U702" s="26">
        <f ca="1">IFERROR(__xludf.DUMMYFUNCTION("D702*GOOGLEFINANCE(""RUBKZT"")*1000/F702"),3546340.97364083)</f>
        <v>3546340.9736408298</v>
      </c>
      <c r="V702" s="27">
        <f t="shared" ca="1" si="531"/>
        <v>0.1686881578852106</v>
      </c>
    </row>
    <row r="703" spans="1:22" ht="12.75" customHeight="1" x14ac:dyDescent="0.2">
      <c r="A703" s="6" t="s">
        <v>92</v>
      </c>
      <c r="B703" s="6" t="s">
        <v>15</v>
      </c>
      <c r="C703" s="7">
        <v>168836</v>
      </c>
      <c r="D703" s="8">
        <v>104694</v>
      </c>
      <c r="E703" s="9" t="s">
        <v>16</v>
      </c>
      <c r="F703" s="23">
        <v>208</v>
      </c>
      <c r="G703" s="25"/>
      <c r="H703" s="14">
        <f t="shared" si="525"/>
        <v>0.55000000000000004</v>
      </c>
      <c r="I703" s="25">
        <f ca="1">IFERROR(__xludf.DUMMYFUNCTION("ROUND(D703*GOOGLEFINANCE(""RUBKZT"")*H703)"),449340)</f>
        <v>449340</v>
      </c>
      <c r="J703" s="26">
        <f ca="1">IFERROR(__xludf.DUMMYFUNCTION("ROUND(I703*GOOGLEFINANCE(""KZTEUR""))"),941)</f>
        <v>941</v>
      </c>
      <c r="K703" s="26">
        <f t="shared" ca="1" si="526"/>
        <v>4524</v>
      </c>
      <c r="L703" s="26">
        <f t="shared" ca="1" si="527"/>
        <v>859.56000000000006</v>
      </c>
      <c r="M703" s="26">
        <f t="shared" ref="M703:N703" si="719">M$3</f>
        <v>500</v>
      </c>
      <c r="N703" s="26">
        <f t="shared" si="719"/>
        <v>500</v>
      </c>
      <c r="O703" s="26">
        <f ca="1">IFERROR(__xludf.DUMMYFUNCTION("ROUND(GOOGLEFINANCE(""Currency:EURKZT"")*K703)"),2160525)</f>
        <v>2160525</v>
      </c>
      <c r="P703" s="26">
        <f ca="1">IFERROR(__xludf.DUMMYFUNCTION("ROUND(GOOGLEFINANCE(""Currency:EURKZT"")*M703)"),238785)</f>
        <v>238785</v>
      </c>
      <c r="Q703" s="26">
        <f ca="1">IFERROR(__xludf.DUMMYFUNCTION("ROUND(GOOGLEFINANCE(""Currency:EURKZT"")*N703)"),238785)</f>
        <v>238785</v>
      </c>
      <c r="R703" s="26">
        <f t="shared" ca="1" si="529"/>
        <v>259263</v>
      </c>
      <c r="S703" s="26">
        <f t="shared" ca="1" si="530"/>
        <v>2897358</v>
      </c>
      <c r="T703" s="26">
        <f ca="1">IFERROR(__xludf.DUMMYFUNCTION("ROUND(GOOGLEFINANCE(""Currency:EURKZT"")*L703+S703)"),3307858)</f>
        <v>3307858</v>
      </c>
      <c r="U703" s="26">
        <f ca="1">IFERROR(__xludf.DUMMYFUNCTION("D703*GOOGLEFINANCE(""RUBKZT"")*1000/F703"),3927798.18013119)</f>
        <v>3927798.18013119</v>
      </c>
      <c r="V703" s="27">
        <f t="shared" ca="1" si="531"/>
        <v>0.18741438723524104</v>
      </c>
    </row>
    <row r="704" spans="1:22" ht="12.75" customHeight="1" x14ac:dyDescent="0.2">
      <c r="A704" s="6" t="s">
        <v>153</v>
      </c>
      <c r="B704" s="6" t="s">
        <v>15</v>
      </c>
      <c r="C704" s="7">
        <v>166793</v>
      </c>
      <c r="D704" s="8">
        <v>80930.399999999994</v>
      </c>
      <c r="E704" s="9" t="s">
        <v>16</v>
      </c>
      <c r="F704" s="23">
        <v>208</v>
      </c>
      <c r="G704" s="25"/>
      <c r="H704" s="14">
        <f t="shared" si="525"/>
        <v>0.55000000000000004</v>
      </c>
      <c r="I704" s="25">
        <f ca="1">IFERROR(__xludf.DUMMYFUNCTION("ROUND(D704*GOOGLEFINANCE(""RUBKZT"")*H704)"),347348)</f>
        <v>347348</v>
      </c>
      <c r="J704" s="26">
        <f ca="1">IFERROR(__xludf.DUMMYFUNCTION("ROUND(I704*GOOGLEFINANCE(""KZTEUR""))"),727)</f>
        <v>727</v>
      </c>
      <c r="K704" s="26">
        <f t="shared" ca="1" si="526"/>
        <v>3495</v>
      </c>
      <c r="L704" s="26">
        <f t="shared" ca="1" si="527"/>
        <v>664.05</v>
      </c>
      <c r="M704" s="26">
        <f t="shared" ref="M704:N704" si="720">M$3</f>
        <v>500</v>
      </c>
      <c r="N704" s="26">
        <f t="shared" si="720"/>
        <v>500</v>
      </c>
      <c r="O704" s="26">
        <f ca="1">IFERROR(__xludf.DUMMYFUNCTION("ROUND(GOOGLEFINANCE(""Currency:EURKZT"")*K704)"),1669106)</f>
        <v>1669106</v>
      </c>
      <c r="P704" s="26">
        <f ca="1">IFERROR(__xludf.DUMMYFUNCTION("ROUND(GOOGLEFINANCE(""Currency:EURKZT"")*M704)"),238785)</f>
        <v>238785</v>
      </c>
      <c r="Q704" s="26">
        <f ca="1">IFERROR(__xludf.DUMMYFUNCTION("ROUND(GOOGLEFINANCE(""Currency:EURKZT"")*N704)"),238785)</f>
        <v>238785</v>
      </c>
      <c r="R704" s="26">
        <f t="shared" ca="1" si="529"/>
        <v>200293</v>
      </c>
      <c r="S704" s="26">
        <f t="shared" ca="1" si="530"/>
        <v>2346969</v>
      </c>
      <c r="T704" s="26">
        <f ca="1">IFERROR(__xludf.DUMMYFUNCTION("ROUND(GOOGLEFINANCE(""Currency:EURKZT"")*L704+S704)"),2664099)</f>
        <v>2664099</v>
      </c>
      <c r="U704" s="26">
        <f ca="1">IFERROR(__xludf.DUMMYFUNCTION("D704*GOOGLEFINANCE(""RUBKZT"")*1000/F704"),3036260.7010649)</f>
        <v>3036260.7010649</v>
      </c>
      <c r="V704" s="27">
        <f t="shared" ca="1" si="531"/>
        <v>0.13969514686387408</v>
      </c>
    </row>
    <row r="705" spans="1:22" ht="12.75" customHeight="1" x14ac:dyDescent="0.2">
      <c r="A705" s="6" t="s">
        <v>199</v>
      </c>
      <c r="B705" s="6" t="s">
        <v>15</v>
      </c>
      <c r="C705" s="7">
        <v>174754</v>
      </c>
      <c r="D705" s="8">
        <v>91968</v>
      </c>
      <c r="E705" s="9" t="s">
        <v>16</v>
      </c>
      <c r="F705" s="23">
        <v>208</v>
      </c>
      <c r="G705" s="25"/>
      <c r="H705" s="14">
        <f t="shared" si="525"/>
        <v>0.55000000000000004</v>
      </c>
      <c r="I705" s="25">
        <f ca="1">IFERROR(__xludf.DUMMYFUNCTION("ROUND(D705*GOOGLEFINANCE(""RUBKZT"")*H705)"),394721)</f>
        <v>394721</v>
      </c>
      <c r="J705" s="26">
        <f ca="1">IFERROR(__xludf.DUMMYFUNCTION("ROUND(I705*GOOGLEFINANCE(""KZTEUR""))"),827)</f>
        <v>827</v>
      </c>
      <c r="K705" s="26">
        <f t="shared" ca="1" si="526"/>
        <v>3976</v>
      </c>
      <c r="L705" s="26">
        <f t="shared" ca="1" si="527"/>
        <v>755.44</v>
      </c>
      <c r="M705" s="26">
        <f t="shared" ref="M705:N705" si="721">M$3</f>
        <v>500</v>
      </c>
      <c r="N705" s="26">
        <f t="shared" si="721"/>
        <v>500</v>
      </c>
      <c r="O705" s="26">
        <f ca="1">IFERROR(__xludf.DUMMYFUNCTION("ROUND(GOOGLEFINANCE(""Currency:EURKZT"")*K705)"),1898817)</f>
        <v>1898817</v>
      </c>
      <c r="P705" s="26">
        <f ca="1">IFERROR(__xludf.DUMMYFUNCTION("ROUND(GOOGLEFINANCE(""Currency:EURKZT"")*M705)"),238785)</f>
        <v>238785</v>
      </c>
      <c r="Q705" s="26">
        <f ca="1">IFERROR(__xludf.DUMMYFUNCTION("ROUND(GOOGLEFINANCE(""Currency:EURKZT"")*N705)"),238785)</f>
        <v>238785</v>
      </c>
      <c r="R705" s="26">
        <f t="shared" ca="1" si="529"/>
        <v>227858</v>
      </c>
      <c r="S705" s="26">
        <f t="shared" ca="1" si="530"/>
        <v>2604245</v>
      </c>
      <c r="T705" s="26">
        <f ca="1">IFERROR(__xludf.DUMMYFUNCTION("ROUND(GOOGLEFINANCE(""Currency:EURKZT"")*L705+S705)"),2965020)</f>
        <v>2965020</v>
      </c>
      <c r="U705" s="26">
        <f ca="1">IFERROR(__xludf.DUMMYFUNCTION("D705*GOOGLEFINANCE(""RUBKZT"")*1000/F705"),3450357.64256123)</f>
        <v>3450357.6425612299</v>
      </c>
      <c r="V705" s="27">
        <f t="shared" ca="1" si="531"/>
        <v>0.16368781409947653</v>
      </c>
    </row>
    <row r="706" spans="1:22" ht="12.75" customHeight="1" x14ac:dyDescent="0.2">
      <c r="A706" s="6" t="s">
        <v>203</v>
      </c>
      <c r="B706" s="6" t="s">
        <v>15</v>
      </c>
      <c r="C706" s="7">
        <v>195325</v>
      </c>
      <c r="D706" s="8">
        <v>126194.4</v>
      </c>
      <c r="E706" s="9" t="s">
        <v>16</v>
      </c>
      <c r="F706" s="23">
        <v>208</v>
      </c>
      <c r="G706" s="25"/>
      <c r="H706" s="14">
        <f t="shared" si="525"/>
        <v>0.55000000000000004</v>
      </c>
      <c r="I706" s="25">
        <f ca="1">IFERROR(__xludf.DUMMYFUNCTION("ROUND(D706*GOOGLEFINANCE(""RUBKZT"")*H706)"),541618)</f>
        <v>541618</v>
      </c>
      <c r="J706" s="26">
        <f ca="1">IFERROR(__xludf.DUMMYFUNCTION("ROUND(I706*GOOGLEFINANCE(""KZTEUR""))"),1134)</f>
        <v>1134</v>
      </c>
      <c r="K706" s="26">
        <f t="shared" ca="1" si="526"/>
        <v>5452</v>
      </c>
      <c r="L706" s="26">
        <f t="shared" ca="1" si="527"/>
        <v>1035.8800000000001</v>
      </c>
      <c r="M706" s="26">
        <f t="shared" ref="M706:N706" si="722">M$3</f>
        <v>500</v>
      </c>
      <c r="N706" s="26">
        <f t="shared" si="722"/>
        <v>500</v>
      </c>
      <c r="O706" s="26">
        <f ca="1">IFERROR(__xludf.DUMMYFUNCTION("ROUND(GOOGLEFINANCE(""Currency:EURKZT"")*K706)"),2603710)</f>
        <v>2603710</v>
      </c>
      <c r="P706" s="26">
        <f ca="1">IFERROR(__xludf.DUMMYFUNCTION("ROUND(GOOGLEFINANCE(""Currency:EURKZT"")*M706)"),238785)</f>
        <v>238785</v>
      </c>
      <c r="Q706" s="26">
        <f ca="1">IFERROR(__xludf.DUMMYFUNCTION("ROUND(GOOGLEFINANCE(""Currency:EURKZT"")*N706)"),238785)</f>
        <v>238785</v>
      </c>
      <c r="R706" s="26">
        <f t="shared" ca="1" si="529"/>
        <v>312445</v>
      </c>
      <c r="S706" s="26">
        <f t="shared" ca="1" si="530"/>
        <v>3393725</v>
      </c>
      <c r="T706" s="26">
        <f ca="1">IFERROR(__xludf.DUMMYFUNCTION("ROUND(GOOGLEFINANCE(""Currency:EURKZT"")*L706+S706)"),3888430)</f>
        <v>3888430</v>
      </c>
      <c r="U706" s="26">
        <f ca="1">IFERROR(__xludf.DUMMYFUNCTION("D706*GOOGLEFINANCE(""RUBKZT"")*1000/F706"),4734427.32785783)</f>
        <v>4734427.3278578296</v>
      </c>
      <c r="V706" s="27">
        <f t="shared" ca="1" si="531"/>
        <v>0.21756784302606183</v>
      </c>
    </row>
    <row r="707" spans="1:22" ht="12.75" customHeight="1" x14ac:dyDescent="0.2">
      <c r="A707" s="6" t="s">
        <v>208</v>
      </c>
      <c r="B707" s="6" t="s">
        <v>15</v>
      </c>
      <c r="C707" s="7">
        <v>173646</v>
      </c>
      <c r="D707" s="8">
        <v>84028.800000000003</v>
      </c>
      <c r="E707" s="9" t="s">
        <v>16</v>
      </c>
      <c r="F707" s="23">
        <v>208</v>
      </c>
      <c r="G707" s="25"/>
      <c r="H707" s="14">
        <f t="shared" si="525"/>
        <v>0.55000000000000004</v>
      </c>
      <c r="I707" s="25">
        <f ca="1">IFERROR(__xludf.DUMMYFUNCTION("ROUND(D707*GOOGLEFINANCE(""RUBKZT"")*H707)"),360646)</f>
        <v>360646</v>
      </c>
      <c r="J707" s="26">
        <f ca="1">IFERROR(__xludf.DUMMYFUNCTION("ROUND(I707*GOOGLEFINANCE(""KZTEUR""))"),755)</f>
        <v>755</v>
      </c>
      <c r="K707" s="26">
        <f t="shared" ca="1" si="526"/>
        <v>3630</v>
      </c>
      <c r="L707" s="26">
        <f t="shared" ca="1" si="527"/>
        <v>689.7</v>
      </c>
      <c r="M707" s="26">
        <f t="shared" ref="M707:N707" si="723">M$3</f>
        <v>500</v>
      </c>
      <c r="N707" s="26">
        <f t="shared" si="723"/>
        <v>500</v>
      </c>
      <c r="O707" s="26">
        <f ca="1">IFERROR(__xludf.DUMMYFUNCTION("ROUND(GOOGLEFINANCE(""Currency:EURKZT"")*K707)"),1733578)</f>
        <v>1733578</v>
      </c>
      <c r="P707" s="26">
        <f ca="1">IFERROR(__xludf.DUMMYFUNCTION("ROUND(GOOGLEFINANCE(""Currency:EURKZT"")*M707)"),238785)</f>
        <v>238785</v>
      </c>
      <c r="Q707" s="26">
        <f ca="1">IFERROR(__xludf.DUMMYFUNCTION("ROUND(GOOGLEFINANCE(""Currency:EURKZT"")*N707)"),238785)</f>
        <v>238785</v>
      </c>
      <c r="R707" s="26">
        <f t="shared" ca="1" si="529"/>
        <v>208029</v>
      </c>
      <c r="S707" s="26">
        <f t="shared" ca="1" si="530"/>
        <v>2419177</v>
      </c>
      <c r="T707" s="26">
        <f ca="1">IFERROR(__xludf.DUMMYFUNCTION("ROUND(GOOGLEFINANCE(""Currency:EURKZT"")*L707+S707)"),2748557)</f>
        <v>2748557</v>
      </c>
      <c r="U707" s="26">
        <f ca="1">IFERROR(__xludf.DUMMYFUNCTION("D707*GOOGLEFINANCE(""RUBKZT"")*1000/F707"),3152503.17801027)</f>
        <v>3152503.17801027</v>
      </c>
      <c r="V707" s="27">
        <f t="shared" ca="1" si="531"/>
        <v>0.14696663667890825</v>
      </c>
    </row>
    <row r="708" spans="1:22" ht="12.75" customHeight="1" x14ac:dyDescent="0.2">
      <c r="A708" s="6" t="s">
        <v>217</v>
      </c>
      <c r="B708" s="6" t="s">
        <v>15</v>
      </c>
      <c r="C708" s="7">
        <v>170320</v>
      </c>
      <c r="D708" s="8">
        <v>117476.4</v>
      </c>
      <c r="E708" s="9" t="s">
        <v>16</v>
      </c>
      <c r="F708" s="23">
        <v>208</v>
      </c>
      <c r="G708" s="25"/>
      <c r="H708" s="14">
        <f t="shared" si="525"/>
        <v>0.55000000000000004</v>
      </c>
      <c r="I708" s="25">
        <f ca="1">IFERROR(__xludf.DUMMYFUNCTION("ROUND(D708*GOOGLEFINANCE(""RUBKZT"")*H708)"),504201)</f>
        <v>504201</v>
      </c>
      <c r="J708" s="26">
        <f ca="1">IFERROR(__xludf.DUMMYFUNCTION("ROUND(I708*GOOGLEFINANCE(""KZTEUR""))"),1056)</f>
        <v>1056</v>
      </c>
      <c r="K708" s="26">
        <f t="shared" ca="1" si="526"/>
        <v>5077</v>
      </c>
      <c r="L708" s="26">
        <f t="shared" ca="1" si="527"/>
        <v>964.63</v>
      </c>
      <c r="M708" s="26">
        <f t="shared" ref="M708:N708" si="724">M$3</f>
        <v>500</v>
      </c>
      <c r="N708" s="26">
        <f t="shared" si="724"/>
        <v>500</v>
      </c>
      <c r="O708" s="26">
        <f ca="1">IFERROR(__xludf.DUMMYFUNCTION("ROUND(GOOGLEFINANCE(""Currency:EURKZT"")*K708)"),2424621)</f>
        <v>2424621</v>
      </c>
      <c r="P708" s="26">
        <f ca="1">IFERROR(__xludf.DUMMYFUNCTION("ROUND(GOOGLEFINANCE(""Currency:EURKZT"")*M708)"),238785)</f>
        <v>238785</v>
      </c>
      <c r="Q708" s="26">
        <f ca="1">IFERROR(__xludf.DUMMYFUNCTION("ROUND(GOOGLEFINANCE(""Currency:EURKZT"")*N708)"),238785)</f>
        <v>238785</v>
      </c>
      <c r="R708" s="26">
        <f t="shared" ca="1" si="529"/>
        <v>290955</v>
      </c>
      <c r="S708" s="26">
        <f t="shared" ca="1" si="530"/>
        <v>3193146</v>
      </c>
      <c r="T708" s="26">
        <f ca="1">IFERROR(__xludf.DUMMYFUNCTION("ROUND(GOOGLEFINANCE(""Currency:EURKZT"")*L708+S708)"),3653824)</f>
        <v>3653824</v>
      </c>
      <c r="U708" s="26">
        <f ca="1">IFERROR(__xludf.DUMMYFUNCTION("D708*GOOGLEFINANCE(""RUBKZT"")*1000/F708"),4407354.67293602)</f>
        <v>4407354.6729360204</v>
      </c>
      <c r="V708" s="27">
        <f t="shared" ca="1" si="531"/>
        <v>0.20623069773914135</v>
      </c>
    </row>
    <row r="709" spans="1:22" ht="12.75" customHeight="1" x14ac:dyDescent="0.2">
      <c r="A709" s="6" t="s">
        <v>233</v>
      </c>
      <c r="B709" s="6" t="s">
        <v>15</v>
      </c>
      <c r="C709" s="7">
        <v>171471</v>
      </c>
      <c r="D709" s="8">
        <v>103153.2</v>
      </c>
      <c r="E709" s="9" t="s">
        <v>16</v>
      </c>
      <c r="F709" s="23">
        <v>208</v>
      </c>
      <c r="G709" s="25"/>
      <c r="H709" s="14">
        <f t="shared" si="525"/>
        <v>0.55000000000000004</v>
      </c>
      <c r="I709" s="25">
        <f ca="1">IFERROR(__xludf.DUMMYFUNCTION("ROUND(D709*GOOGLEFINANCE(""RUBKZT"")*H709)"),442727)</f>
        <v>442727</v>
      </c>
      <c r="J709" s="26">
        <f ca="1">IFERROR(__xludf.DUMMYFUNCTION("ROUND(I709*GOOGLEFINANCE(""KZTEUR""))"),927)</f>
        <v>927</v>
      </c>
      <c r="K709" s="26">
        <f t="shared" ca="1" si="526"/>
        <v>4457</v>
      </c>
      <c r="L709" s="26">
        <f t="shared" ca="1" si="527"/>
        <v>846.83</v>
      </c>
      <c r="M709" s="26">
        <f t="shared" ref="M709:N709" si="725">M$3</f>
        <v>500</v>
      </c>
      <c r="N709" s="26">
        <f t="shared" si="725"/>
        <v>500</v>
      </c>
      <c r="O709" s="26">
        <f ca="1">IFERROR(__xludf.DUMMYFUNCTION("ROUND(GOOGLEFINANCE(""Currency:EURKZT"")*K709)"),2128528)</f>
        <v>2128528</v>
      </c>
      <c r="P709" s="26">
        <f ca="1">IFERROR(__xludf.DUMMYFUNCTION("ROUND(GOOGLEFINANCE(""Currency:EURKZT"")*M709)"),238785)</f>
        <v>238785</v>
      </c>
      <c r="Q709" s="26">
        <f ca="1">IFERROR(__xludf.DUMMYFUNCTION("ROUND(GOOGLEFINANCE(""Currency:EURKZT"")*N709)"),238785)</f>
        <v>238785</v>
      </c>
      <c r="R709" s="26">
        <f t="shared" ca="1" si="529"/>
        <v>255423</v>
      </c>
      <c r="S709" s="26">
        <f t="shared" ca="1" si="530"/>
        <v>2861521</v>
      </c>
      <c r="T709" s="26">
        <f ca="1">IFERROR(__xludf.DUMMYFUNCTION("ROUND(GOOGLEFINANCE(""Currency:EURKZT"")*L709+S709)"),3265941)</f>
        <v>3265941</v>
      </c>
      <c r="U709" s="26">
        <f ca="1">IFERROR(__xludf.DUMMYFUNCTION("D709*GOOGLEFINANCE(""RUBKZT"")*1000/F709"),3869992.08392753)</f>
        <v>3869992.0839275299</v>
      </c>
      <c r="V709" s="27">
        <f t="shared" ca="1" si="531"/>
        <v>0.18495468348250316</v>
      </c>
    </row>
    <row r="710" spans="1:22" ht="12.75" customHeight="1" x14ac:dyDescent="0.2">
      <c r="A710" s="6" t="s">
        <v>264</v>
      </c>
      <c r="B710" s="6" t="s">
        <v>15</v>
      </c>
      <c r="C710" s="7">
        <v>187703</v>
      </c>
      <c r="D710" s="8">
        <v>96772.800000000003</v>
      </c>
      <c r="E710" s="9" t="s">
        <v>16</v>
      </c>
      <c r="F710" s="23">
        <v>208</v>
      </c>
      <c r="G710" s="25"/>
      <c r="H710" s="14">
        <f t="shared" si="525"/>
        <v>0.55000000000000004</v>
      </c>
      <c r="I710" s="25">
        <f ca="1">IFERROR(__xludf.DUMMYFUNCTION("ROUND(D710*GOOGLEFINANCE(""RUBKZT"")*H710)"),415343)</f>
        <v>415343</v>
      </c>
      <c r="J710" s="26">
        <f ca="1">IFERROR(__xludf.DUMMYFUNCTION("ROUND(I710*GOOGLEFINANCE(""KZTEUR""))"),870)</f>
        <v>870</v>
      </c>
      <c r="K710" s="26">
        <f t="shared" ca="1" si="526"/>
        <v>4183</v>
      </c>
      <c r="L710" s="26">
        <f t="shared" ca="1" si="527"/>
        <v>794.77</v>
      </c>
      <c r="M710" s="26">
        <f t="shared" ref="M710:N710" si="726">M$3</f>
        <v>500</v>
      </c>
      <c r="N710" s="26">
        <f t="shared" si="726"/>
        <v>500</v>
      </c>
      <c r="O710" s="26">
        <f ca="1">IFERROR(__xludf.DUMMYFUNCTION("ROUND(GOOGLEFINANCE(""Currency:EURKZT"")*K710)"),1997674)</f>
        <v>1997674</v>
      </c>
      <c r="P710" s="26">
        <f ca="1">IFERROR(__xludf.DUMMYFUNCTION("ROUND(GOOGLEFINANCE(""Currency:EURKZT"")*M710)"),238785)</f>
        <v>238785</v>
      </c>
      <c r="Q710" s="26">
        <f ca="1">IFERROR(__xludf.DUMMYFUNCTION("ROUND(GOOGLEFINANCE(""Currency:EURKZT"")*N710)"),238785)</f>
        <v>238785</v>
      </c>
      <c r="R710" s="26">
        <f t="shared" ca="1" si="529"/>
        <v>239721</v>
      </c>
      <c r="S710" s="26">
        <f t="shared" ca="1" si="530"/>
        <v>2714965</v>
      </c>
      <c r="T710" s="26">
        <f ca="1">IFERROR(__xludf.DUMMYFUNCTION("ROUND(GOOGLEFINANCE(""Currency:EURKZT"")*L710+S710)"),3094523)</f>
        <v>3094523</v>
      </c>
      <c r="U710" s="26">
        <f ca="1">IFERROR(__xludf.DUMMYFUNCTION("D710*GOOGLEFINANCE(""RUBKZT"")*1000/F710"),3630619.02044243)</f>
        <v>3630619.0204424299</v>
      </c>
      <c r="V710" s="27">
        <f t="shared" ca="1" si="531"/>
        <v>0.17324027659268648</v>
      </c>
    </row>
    <row r="711" spans="1:22" ht="12.75" customHeight="1" x14ac:dyDescent="0.2">
      <c r="A711" s="6" t="s">
        <v>356</v>
      </c>
      <c r="B711" s="6" t="s">
        <v>15</v>
      </c>
      <c r="C711" s="7">
        <v>196134</v>
      </c>
      <c r="D711" s="8">
        <v>118328.4</v>
      </c>
      <c r="E711" s="9" t="s">
        <v>7</v>
      </c>
      <c r="F711" s="23">
        <v>208</v>
      </c>
      <c r="G711" s="25"/>
      <c r="H711" s="14">
        <f t="shared" si="525"/>
        <v>0.55000000000000004</v>
      </c>
      <c r="I711" s="25">
        <f ca="1">IFERROR(__xludf.DUMMYFUNCTION("ROUND(D711*GOOGLEFINANCE(""RUBKZT"")*H711)"),507858)</f>
        <v>507858</v>
      </c>
      <c r="J711" s="26">
        <f ca="1">IFERROR(__xludf.DUMMYFUNCTION("ROUND(I711*GOOGLEFINANCE(""KZTEUR""))"),1064)</f>
        <v>1064</v>
      </c>
      <c r="K711" s="26">
        <f t="shared" ca="1" si="526"/>
        <v>5115</v>
      </c>
      <c r="L711" s="26">
        <f t="shared" ca="1" si="527"/>
        <v>971.85</v>
      </c>
      <c r="M711" s="26">
        <f t="shared" ref="M711:N711" si="727">M$3</f>
        <v>500</v>
      </c>
      <c r="N711" s="26">
        <f t="shared" si="727"/>
        <v>500</v>
      </c>
      <c r="O711" s="26">
        <f ca="1">IFERROR(__xludf.DUMMYFUNCTION("ROUND(GOOGLEFINANCE(""Currency:EURKZT"")*K711)"),2442769)</f>
        <v>2442769</v>
      </c>
      <c r="P711" s="26">
        <f ca="1">IFERROR(__xludf.DUMMYFUNCTION("ROUND(GOOGLEFINANCE(""Currency:EURKZT"")*M711)"),238785)</f>
        <v>238785</v>
      </c>
      <c r="Q711" s="26">
        <f ca="1">IFERROR(__xludf.DUMMYFUNCTION("ROUND(GOOGLEFINANCE(""Currency:EURKZT"")*N711)"),238785)</f>
        <v>238785</v>
      </c>
      <c r="R711" s="26">
        <f t="shared" ca="1" si="529"/>
        <v>293132</v>
      </c>
      <c r="S711" s="26">
        <f t="shared" ca="1" si="530"/>
        <v>3213471</v>
      </c>
      <c r="T711" s="26">
        <f ca="1">IFERROR(__xludf.DUMMYFUNCTION("ROUND(GOOGLEFINANCE(""Currency:EURKZT"")*L711+S711)"),3677597)</f>
        <v>3677597</v>
      </c>
      <c r="U711" s="26">
        <f ca="1">IFERROR(__xludf.DUMMYFUNCTION("D711*GOOGLEFINANCE(""RUBKZT"")*1000/F711"),4439319.10307979)</f>
        <v>4439319.1030797902</v>
      </c>
      <c r="V711" s="27">
        <f t="shared" ca="1" si="531"/>
        <v>0.20712495226632779</v>
      </c>
    </row>
    <row r="712" spans="1:22" ht="12.75" customHeight="1" x14ac:dyDescent="0.2">
      <c r="A712" s="6" t="s">
        <v>355</v>
      </c>
      <c r="B712" s="6" t="s">
        <v>15</v>
      </c>
      <c r="C712" s="7">
        <v>196116</v>
      </c>
      <c r="D712" s="8">
        <v>111748.8</v>
      </c>
      <c r="E712" s="9" t="s">
        <v>7</v>
      </c>
      <c r="F712" s="23">
        <v>208</v>
      </c>
      <c r="G712" s="25"/>
      <c r="H712" s="14">
        <f t="shared" si="525"/>
        <v>0.55000000000000004</v>
      </c>
      <c r="I712" s="25">
        <f ca="1">IFERROR(__xludf.DUMMYFUNCTION("ROUND(D712*GOOGLEFINANCE(""RUBKZT"")*H712)"),479619)</f>
        <v>479619</v>
      </c>
      <c r="J712" s="26">
        <f ca="1">IFERROR(__xludf.DUMMYFUNCTION("ROUND(I712*GOOGLEFINANCE(""KZTEUR""))"),1004)</f>
        <v>1004</v>
      </c>
      <c r="K712" s="26">
        <f t="shared" ca="1" si="526"/>
        <v>4827</v>
      </c>
      <c r="L712" s="26">
        <f t="shared" ca="1" si="527"/>
        <v>917.13</v>
      </c>
      <c r="M712" s="26">
        <f t="shared" ref="M712:N712" si="728">M$3</f>
        <v>500</v>
      </c>
      <c r="N712" s="26">
        <f t="shared" si="728"/>
        <v>500</v>
      </c>
      <c r="O712" s="26">
        <f ca="1">IFERROR(__xludf.DUMMYFUNCTION("ROUND(GOOGLEFINANCE(""Currency:EURKZT"")*K712)"),2305229)</f>
        <v>2305229</v>
      </c>
      <c r="P712" s="26">
        <f ca="1">IFERROR(__xludf.DUMMYFUNCTION("ROUND(GOOGLEFINANCE(""Currency:EURKZT"")*M712)"),238785)</f>
        <v>238785</v>
      </c>
      <c r="Q712" s="26">
        <f ca="1">IFERROR(__xludf.DUMMYFUNCTION("ROUND(GOOGLEFINANCE(""Currency:EURKZT"")*N712)"),238785)</f>
        <v>238785</v>
      </c>
      <c r="R712" s="26">
        <f t="shared" ca="1" si="529"/>
        <v>276627</v>
      </c>
      <c r="S712" s="26">
        <f t="shared" ca="1" si="530"/>
        <v>3059426</v>
      </c>
      <c r="T712" s="26">
        <f ca="1">IFERROR(__xludf.DUMMYFUNCTION("ROUND(GOOGLEFINANCE(""Currency:EURKZT"")*L712+S712)"),3497419)</f>
        <v>3497419</v>
      </c>
      <c r="U712" s="26">
        <f ca="1">IFERROR(__xludf.DUMMYFUNCTION("D712*GOOGLEFINANCE(""RUBKZT"")*1000/F712"),4192472.66578643)</f>
        <v>4192472.6657864298</v>
      </c>
      <c r="V712" s="27">
        <f t="shared" ca="1" si="531"/>
        <v>0.19873331327657046</v>
      </c>
    </row>
    <row r="713" spans="1:22" ht="12.75" customHeight="1" x14ac:dyDescent="0.2">
      <c r="A713" s="6" t="s">
        <v>358</v>
      </c>
      <c r="B713" s="6" t="s">
        <v>15</v>
      </c>
      <c r="C713" s="7">
        <v>196148</v>
      </c>
      <c r="D713" s="8">
        <v>112801.2</v>
      </c>
      <c r="E713" s="9" t="s">
        <v>7</v>
      </c>
      <c r="F713" s="23">
        <v>208</v>
      </c>
      <c r="G713" s="25"/>
      <c r="H713" s="14">
        <f t="shared" si="525"/>
        <v>0.55000000000000004</v>
      </c>
      <c r="I713" s="25">
        <f ca="1">IFERROR(__xludf.DUMMYFUNCTION("ROUND(D713*GOOGLEFINANCE(""RUBKZT"")*H713)"),484136)</f>
        <v>484136</v>
      </c>
      <c r="J713" s="26">
        <f ca="1">IFERROR(__xludf.DUMMYFUNCTION("ROUND(I713*GOOGLEFINANCE(""KZTEUR""))"),1014)</f>
        <v>1014</v>
      </c>
      <c r="K713" s="26">
        <f t="shared" ca="1" si="526"/>
        <v>4875</v>
      </c>
      <c r="L713" s="26">
        <f t="shared" ca="1" si="527"/>
        <v>926.25</v>
      </c>
      <c r="M713" s="26">
        <f t="shared" ref="M713:N713" si="729">M$3</f>
        <v>500</v>
      </c>
      <c r="N713" s="26">
        <f t="shared" si="729"/>
        <v>500</v>
      </c>
      <c r="O713" s="26">
        <f ca="1">IFERROR(__xludf.DUMMYFUNCTION("ROUND(GOOGLEFINANCE(""Currency:EURKZT"")*K713)"),2328152)</f>
        <v>2328152</v>
      </c>
      <c r="P713" s="26">
        <f ca="1">IFERROR(__xludf.DUMMYFUNCTION("ROUND(GOOGLEFINANCE(""Currency:EURKZT"")*M713)"),238785)</f>
        <v>238785</v>
      </c>
      <c r="Q713" s="26">
        <f ca="1">IFERROR(__xludf.DUMMYFUNCTION("ROUND(GOOGLEFINANCE(""Currency:EURKZT"")*N713)"),238785)</f>
        <v>238785</v>
      </c>
      <c r="R713" s="26">
        <f t="shared" ca="1" si="529"/>
        <v>279378</v>
      </c>
      <c r="S713" s="26">
        <f t="shared" ca="1" si="530"/>
        <v>3085100</v>
      </c>
      <c r="T713" s="26">
        <f ca="1">IFERROR(__xludf.DUMMYFUNCTION("ROUND(GOOGLEFINANCE(""Currency:EURKZT"")*L713+S713)"),3527449)</f>
        <v>3527449</v>
      </c>
      <c r="U713" s="26">
        <f ca="1">IFERROR(__xludf.DUMMYFUNCTION("D713*GOOGLEFINANCE(""RUBKZT"")*1000/F713"),4231955.4900626)</f>
        <v>4231955.4900626</v>
      </c>
      <c r="V713" s="27">
        <f t="shared" ca="1" si="531"/>
        <v>0.1997212404949299</v>
      </c>
    </row>
    <row r="714" spans="1:22" ht="12.75" customHeight="1" x14ac:dyDescent="0.2">
      <c r="A714" s="6" t="s">
        <v>364</v>
      </c>
      <c r="B714" s="6" t="s">
        <v>15</v>
      </c>
      <c r="C714" s="7">
        <v>211435</v>
      </c>
      <c r="D714" s="8">
        <v>115903.2</v>
      </c>
      <c r="E714" s="9" t="s">
        <v>7</v>
      </c>
      <c r="F714" s="23">
        <v>208</v>
      </c>
      <c r="G714" s="25"/>
      <c r="H714" s="14">
        <f t="shared" si="525"/>
        <v>0.55000000000000004</v>
      </c>
      <c r="I714" s="25">
        <f ca="1">IFERROR(__xludf.DUMMYFUNCTION("ROUND(D714*GOOGLEFINANCE(""RUBKZT"")*H714)"),497449)</f>
        <v>497449</v>
      </c>
      <c r="J714" s="26">
        <f ca="1">IFERROR(__xludf.DUMMYFUNCTION("ROUND(I714*GOOGLEFINANCE(""KZTEUR""))"),1042)</f>
        <v>1042</v>
      </c>
      <c r="K714" s="26">
        <f t="shared" ca="1" si="526"/>
        <v>5010</v>
      </c>
      <c r="L714" s="26">
        <f t="shared" ca="1" si="527"/>
        <v>951.9</v>
      </c>
      <c r="M714" s="26">
        <f t="shared" ref="M714:N714" si="730">M$3</f>
        <v>500</v>
      </c>
      <c r="N714" s="26">
        <f t="shared" si="730"/>
        <v>500</v>
      </c>
      <c r="O714" s="26">
        <f ca="1">IFERROR(__xludf.DUMMYFUNCTION("ROUND(GOOGLEFINANCE(""Currency:EURKZT"")*K714)"),2392624)</f>
        <v>2392624</v>
      </c>
      <c r="P714" s="26">
        <f ca="1">IFERROR(__xludf.DUMMYFUNCTION("ROUND(GOOGLEFINANCE(""Currency:EURKZT"")*M714)"),238785)</f>
        <v>238785</v>
      </c>
      <c r="Q714" s="26">
        <f ca="1">IFERROR(__xludf.DUMMYFUNCTION("ROUND(GOOGLEFINANCE(""Currency:EURKZT"")*N714)"),238785)</f>
        <v>238785</v>
      </c>
      <c r="R714" s="26">
        <f t="shared" ca="1" si="529"/>
        <v>287115</v>
      </c>
      <c r="S714" s="26">
        <f t="shared" ca="1" si="530"/>
        <v>3157309</v>
      </c>
      <c r="T714" s="26">
        <f ca="1">IFERROR(__xludf.DUMMYFUNCTION("ROUND(GOOGLEFINANCE(""Currency:EURKZT"")*L714+S714)"),3611908)</f>
        <v>3611908</v>
      </c>
      <c r="U714" s="26">
        <f ca="1">IFERROR(__xludf.DUMMYFUNCTION("D714*GOOGLEFINANCE(""RUBKZT"")*1000/F714"),4348333.02798041)</f>
        <v>4348333.0279804096</v>
      </c>
      <c r="V714" s="27">
        <f t="shared" ca="1" si="531"/>
        <v>0.20388809127486346</v>
      </c>
    </row>
    <row r="715" spans="1:22" ht="12.75" customHeight="1" x14ac:dyDescent="0.2">
      <c r="A715" s="6" t="s">
        <v>413</v>
      </c>
      <c r="B715" s="6" t="s">
        <v>15</v>
      </c>
      <c r="C715" s="7">
        <v>203550</v>
      </c>
      <c r="D715" s="8">
        <v>76806</v>
      </c>
      <c r="E715" s="9" t="s">
        <v>16</v>
      </c>
      <c r="F715" s="23">
        <v>208</v>
      </c>
      <c r="G715" s="25"/>
      <c r="H715" s="14">
        <f t="shared" si="525"/>
        <v>0.55000000000000004</v>
      </c>
      <c r="I715" s="25">
        <f ca="1">IFERROR(__xludf.DUMMYFUNCTION("ROUND(D715*GOOGLEFINANCE(""RUBKZT"")*H715)"),329647)</f>
        <v>329647</v>
      </c>
      <c r="J715" s="26">
        <f ca="1">IFERROR(__xludf.DUMMYFUNCTION("ROUND(I715*GOOGLEFINANCE(""KZTEUR""))"),690)</f>
        <v>690</v>
      </c>
      <c r="K715" s="26">
        <f t="shared" ca="1" si="526"/>
        <v>3317</v>
      </c>
      <c r="L715" s="26">
        <f t="shared" ca="1" si="527"/>
        <v>630.23</v>
      </c>
      <c r="M715" s="26">
        <f t="shared" ref="M715:N715" si="731">M$3</f>
        <v>500</v>
      </c>
      <c r="N715" s="26">
        <f t="shared" si="731"/>
        <v>500</v>
      </c>
      <c r="O715" s="26">
        <f ca="1">IFERROR(__xludf.DUMMYFUNCTION("ROUND(GOOGLEFINANCE(""Currency:EURKZT"")*K715)"),1584098)</f>
        <v>1584098</v>
      </c>
      <c r="P715" s="26">
        <f ca="1">IFERROR(__xludf.DUMMYFUNCTION("ROUND(GOOGLEFINANCE(""Currency:EURKZT"")*M715)"),238785)</f>
        <v>238785</v>
      </c>
      <c r="Q715" s="26">
        <f ca="1">IFERROR(__xludf.DUMMYFUNCTION("ROUND(GOOGLEFINANCE(""Currency:EURKZT"")*N715)"),238785)</f>
        <v>238785</v>
      </c>
      <c r="R715" s="26">
        <f t="shared" ca="1" si="529"/>
        <v>190092</v>
      </c>
      <c r="S715" s="26">
        <f t="shared" ca="1" si="530"/>
        <v>2251760</v>
      </c>
      <c r="T715" s="26">
        <f ca="1">IFERROR(__xludf.DUMMYFUNCTION("ROUND(GOOGLEFINANCE(""Currency:EURKZT"")*L715+S715)"),2552739)</f>
        <v>2552739</v>
      </c>
      <c r="U715" s="26">
        <f ca="1">IFERROR(__xludf.DUMMYFUNCTION("D715*GOOGLEFINANCE(""RUBKZT"")*1000/F715"),2881525.84697457)</f>
        <v>2881525.8469745698</v>
      </c>
      <c r="V715" s="27">
        <f t="shared" ca="1" si="531"/>
        <v>0.12879767456624819</v>
      </c>
    </row>
    <row r="716" spans="1:22" ht="12.75" customHeight="1" x14ac:dyDescent="0.2">
      <c r="A716" s="6" t="s">
        <v>414</v>
      </c>
      <c r="B716" s="6" t="s">
        <v>15</v>
      </c>
      <c r="C716" s="7">
        <v>203556</v>
      </c>
      <c r="D716" s="8">
        <v>83227.199999999997</v>
      </c>
      <c r="E716" s="9" t="s">
        <v>16</v>
      </c>
      <c r="F716" s="23">
        <v>208</v>
      </c>
      <c r="G716" s="25"/>
      <c r="H716" s="14">
        <f t="shared" si="525"/>
        <v>0.55000000000000004</v>
      </c>
      <c r="I716" s="25">
        <f ca="1">IFERROR(__xludf.DUMMYFUNCTION("ROUND(D716*GOOGLEFINANCE(""RUBKZT"")*H716)"),357206)</f>
        <v>357206</v>
      </c>
      <c r="J716" s="26">
        <f ca="1">IFERROR(__xludf.DUMMYFUNCTION("ROUND(I716*GOOGLEFINANCE(""KZTEUR""))"),748)</f>
        <v>748</v>
      </c>
      <c r="K716" s="26">
        <f t="shared" ca="1" si="526"/>
        <v>3596</v>
      </c>
      <c r="L716" s="26">
        <f t="shared" ca="1" si="527"/>
        <v>683.24</v>
      </c>
      <c r="M716" s="26">
        <f t="shared" ref="M716:N716" si="732">M$3</f>
        <v>500</v>
      </c>
      <c r="N716" s="26">
        <f t="shared" si="732"/>
        <v>500</v>
      </c>
      <c r="O716" s="26">
        <f ca="1">IFERROR(__xludf.DUMMYFUNCTION("ROUND(GOOGLEFINANCE(""Currency:EURKZT"")*K716)"),1717340)</f>
        <v>1717340</v>
      </c>
      <c r="P716" s="26">
        <f ca="1">IFERROR(__xludf.DUMMYFUNCTION("ROUND(GOOGLEFINANCE(""Currency:EURKZT"")*M716)"),238785)</f>
        <v>238785</v>
      </c>
      <c r="Q716" s="26">
        <f ca="1">IFERROR(__xludf.DUMMYFUNCTION("ROUND(GOOGLEFINANCE(""Currency:EURKZT"")*N716)"),238785)</f>
        <v>238785</v>
      </c>
      <c r="R716" s="26">
        <f t="shared" ca="1" si="529"/>
        <v>206081</v>
      </c>
      <c r="S716" s="26">
        <f t="shared" ca="1" si="530"/>
        <v>2400991</v>
      </c>
      <c r="T716" s="26">
        <f ca="1">IFERROR(__xludf.DUMMYFUNCTION("ROUND(GOOGLEFINANCE(""Currency:EURKZT"")*L716+S716)"),2727286)</f>
        <v>2727286</v>
      </c>
      <c r="U716" s="26">
        <f ca="1">IFERROR(__xludf.DUMMYFUNCTION("D716*GOOGLEFINANCE(""RUBKZT"")*1000/F716"),3122429.60148064)</f>
        <v>3122429.60148064</v>
      </c>
      <c r="V716" s="27">
        <f t="shared" ca="1" si="531"/>
        <v>0.14488528210119511</v>
      </c>
    </row>
    <row r="717" spans="1:22" ht="12.75" customHeight="1" x14ac:dyDescent="0.2">
      <c r="A717" s="6" t="s">
        <v>415</v>
      </c>
      <c r="B717" s="6" t="s">
        <v>15</v>
      </c>
      <c r="C717" s="7">
        <v>203553</v>
      </c>
      <c r="D717" s="8">
        <v>79533.599999999991</v>
      </c>
      <c r="E717" s="9" t="s">
        <v>16</v>
      </c>
      <c r="F717" s="23">
        <v>208</v>
      </c>
      <c r="G717" s="25"/>
      <c r="H717" s="14">
        <f t="shared" si="525"/>
        <v>0.55000000000000004</v>
      </c>
      <c r="I717" s="25">
        <f ca="1">IFERROR(__xludf.DUMMYFUNCTION("ROUND(D717*GOOGLEFINANCE(""RUBKZT"")*H717)"),341353)</f>
        <v>341353</v>
      </c>
      <c r="J717" s="26">
        <f ca="1">IFERROR(__xludf.DUMMYFUNCTION("ROUND(I717*GOOGLEFINANCE(""KZTEUR""))"),715)</f>
        <v>715</v>
      </c>
      <c r="K717" s="26">
        <f t="shared" ca="1" si="526"/>
        <v>3438</v>
      </c>
      <c r="L717" s="26">
        <f t="shared" ca="1" si="527"/>
        <v>653.22</v>
      </c>
      <c r="M717" s="26">
        <f t="shared" ref="M717:N717" si="733">M$3</f>
        <v>500</v>
      </c>
      <c r="N717" s="26">
        <f t="shared" si="733"/>
        <v>500</v>
      </c>
      <c r="O717" s="26">
        <f ca="1">IFERROR(__xludf.DUMMYFUNCTION("ROUND(GOOGLEFINANCE(""Currency:EURKZT"")*K717)"),1641884)</f>
        <v>1641884</v>
      </c>
      <c r="P717" s="26">
        <f ca="1">IFERROR(__xludf.DUMMYFUNCTION("ROUND(GOOGLEFINANCE(""Currency:EURKZT"")*M717)"),238785)</f>
        <v>238785</v>
      </c>
      <c r="Q717" s="26">
        <f ca="1">IFERROR(__xludf.DUMMYFUNCTION("ROUND(GOOGLEFINANCE(""Currency:EURKZT"")*N717)"),238785)</f>
        <v>238785</v>
      </c>
      <c r="R717" s="26">
        <f t="shared" ca="1" si="529"/>
        <v>197026</v>
      </c>
      <c r="S717" s="26">
        <f t="shared" ca="1" si="530"/>
        <v>2316480</v>
      </c>
      <c r="T717" s="26">
        <f ca="1">IFERROR(__xludf.DUMMYFUNCTION("ROUND(GOOGLEFINANCE(""Currency:EURKZT"")*L717+S717)"),2628438)</f>
        <v>2628438</v>
      </c>
      <c r="U717" s="26">
        <f ca="1">IFERROR(__xludf.DUMMYFUNCTION("D717*GOOGLEFINANCE(""RUBKZT"")*1000/F717"),2983857.04375878)</f>
        <v>2983857.0437587802</v>
      </c>
      <c r="V717" s="27">
        <f t="shared" ca="1" si="531"/>
        <v>0.13522063056415265</v>
      </c>
    </row>
    <row r="718" spans="1:22" ht="12.75" customHeight="1" x14ac:dyDescent="0.2">
      <c r="A718" s="6" t="s">
        <v>416</v>
      </c>
      <c r="B718" s="6" t="s">
        <v>15</v>
      </c>
      <c r="C718" s="7">
        <v>203542</v>
      </c>
      <c r="D718" s="8">
        <v>78314.399999999994</v>
      </c>
      <c r="E718" s="9" t="s">
        <v>7</v>
      </c>
      <c r="F718" s="23">
        <v>208</v>
      </c>
      <c r="G718" s="25"/>
      <c r="H718" s="14">
        <f t="shared" si="525"/>
        <v>0.55000000000000004</v>
      </c>
      <c r="I718" s="25">
        <f ca="1">IFERROR(__xludf.DUMMYFUNCTION("ROUND(D718*GOOGLEFINANCE(""RUBKZT"")*H718)"),336121)</f>
        <v>336121</v>
      </c>
      <c r="J718" s="26">
        <f ca="1">IFERROR(__xludf.DUMMYFUNCTION("ROUND(I718*GOOGLEFINANCE(""KZTEUR""))"),704)</f>
        <v>704</v>
      </c>
      <c r="K718" s="26">
        <f t="shared" ca="1" si="526"/>
        <v>3385</v>
      </c>
      <c r="L718" s="26">
        <f t="shared" ca="1" si="527"/>
        <v>643.15</v>
      </c>
      <c r="M718" s="26">
        <f t="shared" ref="M718:N718" si="734">M$3</f>
        <v>500</v>
      </c>
      <c r="N718" s="26">
        <f t="shared" si="734"/>
        <v>500</v>
      </c>
      <c r="O718" s="26">
        <f ca="1">IFERROR(__xludf.DUMMYFUNCTION("ROUND(GOOGLEFINANCE(""Currency:EURKZT"")*K718)"),1616573)</f>
        <v>1616573</v>
      </c>
      <c r="P718" s="26">
        <f ca="1">IFERROR(__xludf.DUMMYFUNCTION("ROUND(GOOGLEFINANCE(""Currency:EURKZT"")*M718)"),238785)</f>
        <v>238785</v>
      </c>
      <c r="Q718" s="26">
        <f ca="1">IFERROR(__xludf.DUMMYFUNCTION("ROUND(GOOGLEFINANCE(""Currency:EURKZT"")*N718)"),238785)</f>
        <v>238785</v>
      </c>
      <c r="R718" s="26">
        <f t="shared" ca="1" si="529"/>
        <v>193989</v>
      </c>
      <c r="S718" s="26">
        <f t="shared" ca="1" si="530"/>
        <v>2288132</v>
      </c>
      <c r="T718" s="26">
        <f ca="1">IFERROR(__xludf.DUMMYFUNCTION("ROUND(GOOGLEFINANCE(""Currency:EURKZT"")*L718+S718)"),2595281)</f>
        <v>2595281</v>
      </c>
      <c r="U718" s="26">
        <f ca="1">IFERROR(__xludf.DUMMYFUNCTION("D718*GOOGLEFINANCE(""RUBKZT"")*1000/F718"),2938116.39442629)</f>
        <v>2938116.3944262899</v>
      </c>
      <c r="V718" s="27">
        <f t="shared" ca="1" si="531"/>
        <v>0.1320995277298643</v>
      </c>
    </row>
    <row r="719" spans="1:22" ht="12.75" customHeight="1" x14ac:dyDescent="0.2">
      <c r="A719" s="6" t="s">
        <v>417</v>
      </c>
      <c r="B719" s="6" t="s">
        <v>15</v>
      </c>
      <c r="C719" s="7">
        <v>203545</v>
      </c>
      <c r="D719" s="8">
        <v>96216</v>
      </c>
      <c r="E719" s="9" t="s">
        <v>7</v>
      </c>
      <c r="F719" s="23">
        <v>208</v>
      </c>
      <c r="G719" s="25"/>
      <c r="H719" s="14">
        <f t="shared" si="525"/>
        <v>0.55000000000000004</v>
      </c>
      <c r="I719" s="25">
        <f ca="1">IFERROR(__xludf.DUMMYFUNCTION("ROUND(D719*GOOGLEFINANCE(""RUBKZT"")*H719)"),412953)</f>
        <v>412953</v>
      </c>
      <c r="J719" s="26">
        <f ca="1">IFERROR(__xludf.DUMMYFUNCTION("ROUND(I719*GOOGLEFINANCE(""KZTEUR""))"),865)</f>
        <v>865</v>
      </c>
      <c r="K719" s="26">
        <f t="shared" ca="1" si="526"/>
        <v>4159</v>
      </c>
      <c r="L719" s="26">
        <f t="shared" ca="1" si="527"/>
        <v>790.21</v>
      </c>
      <c r="M719" s="26">
        <f t="shared" ref="M719:N719" si="735">M$3</f>
        <v>500</v>
      </c>
      <c r="N719" s="26">
        <f t="shared" si="735"/>
        <v>500</v>
      </c>
      <c r="O719" s="26">
        <f ca="1">IFERROR(__xludf.DUMMYFUNCTION("ROUND(GOOGLEFINANCE(""Currency:EURKZT"")*K719)"),1986212)</f>
        <v>1986212</v>
      </c>
      <c r="P719" s="26">
        <f ca="1">IFERROR(__xludf.DUMMYFUNCTION("ROUND(GOOGLEFINANCE(""Currency:EURKZT"")*M719)"),238785)</f>
        <v>238785</v>
      </c>
      <c r="Q719" s="26">
        <f ca="1">IFERROR(__xludf.DUMMYFUNCTION("ROUND(GOOGLEFINANCE(""Currency:EURKZT"")*N719)"),238785)</f>
        <v>238785</v>
      </c>
      <c r="R719" s="26">
        <f t="shared" ca="1" si="529"/>
        <v>238345</v>
      </c>
      <c r="S719" s="26">
        <f t="shared" ca="1" si="530"/>
        <v>2702127</v>
      </c>
      <c r="T719" s="26">
        <f ca="1">IFERROR(__xludf.DUMMYFUNCTION("ROUND(GOOGLEFINANCE(""Currency:EURKZT"")*L719+S719)"),3079507)</f>
        <v>3079507</v>
      </c>
      <c r="U719" s="26">
        <f ca="1">IFERROR(__xludf.DUMMYFUNCTION("D719*GOOGLEFINANCE(""RUBKZT"")*1000/F719"),3609729.59003861)</f>
        <v>3609729.5900386102</v>
      </c>
      <c r="V719" s="27">
        <f t="shared" ca="1" si="531"/>
        <v>0.17217775119154141</v>
      </c>
    </row>
    <row r="720" spans="1:22" ht="12.75" customHeight="1" x14ac:dyDescent="0.2">
      <c r="A720" s="6" t="s">
        <v>437</v>
      </c>
      <c r="B720" s="6" t="s">
        <v>15</v>
      </c>
      <c r="C720" s="7">
        <v>209573</v>
      </c>
      <c r="D720" s="8">
        <v>93447.599999999991</v>
      </c>
      <c r="E720" s="9" t="s">
        <v>16</v>
      </c>
      <c r="F720" s="23">
        <v>208</v>
      </c>
      <c r="G720" s="25"/>
      <c r="H720" s="14">
        <f t="shared" si="525"/>
        <v>0.55000000000000004</v>
      </c>
      <c r="I720" s="25">
        <f ca="1">IFERROR(__xludf.DUMMYFUNCTION("ROUND(D720*GOOGLEFINANCE(""RUBKZT"")*H720)"),401071)</f>
        <v>401071</v>
      </c>
      <c r="J720" s="26">
        <f ca="1">IFERROR(__xludf.DUMMYFUNCTION("ROUND(I720*GOOGLEFINANCE(""KZTEUR""))"),840)</f>
        <v>840</v>
      </c>
      <c r="K720" s="26">
        <f t="shared" ca="1" si="526"/>
        <v>4038</v>
      </c>
      <c r="L720" s="26">
        <f t="shared" ca="1" si="527"/>
        <v>767.22</v>
      </c>
      <c r="M720" s="26">
        <f t="shared" ref="M720:N720" si="736">M$3</f>
        <v>500</v>
      </c>
      <c r="N720" s="26">
        <f t="shared" si="736"/>
        <v>500</v>
      </c>
      <c r="O720" s="26">
        <f ca="1">IFERROR(__xludf.DUMMYFUNCTION("ROUND(GOOGLEFINANCE(""Currency:EURKZT"")*K720)"),1928426)</f>
        <v>1928426</v>
      </c>
      <c r="P720" s="26">
        <f ca="1">IFERROR(__xludf.DUMMYFUNCTION("ROUND(GOOGLEFINANCE(""Currency:EURKZT"")*M720)"),238785)</f>
        <v>238785</v>
      </c>
      <c r="Q720" s="26">
        <f ca="1">IFERROR(__xludf.DUMMYFUNCTION("ROUND(GOOGLEFINANCE(""Currency:EURKZT"")*N720)"),238785)</f>
        <v>238785</v>
      </c>
      <c r="R720" s="26">
        <f t="shared" ca="1" si="529"/>
        <v>231411</v>
      </c>
      <c r="S720" s="26">
        <f t="shared" ca="1" si="530"/>
        <v>2637407</v>
      </c>
      <c r="T720" s="26">
        <f ca="1">IFERROR(__xludf.DUMMYFUNCTION("ROUND(GOOGLEFINANCE(""Currency:EURKZT"")*L720+S720)"),3003808)</f>
        <v>3003808</v>
      </c>
      <c r="U720" s="26">
        <f ca="1">IFERROR(__xludf.DUMMYFUNCTION("D720*GOOGLEFINANCE(""RUBKZT"")*1000/F720"),3505867.70223343)</f>
        <v>3505867.70223343</v>
      </c>
      <c r="V720" s="27">
        <f t="shared" ca="1" si="531"/>
        <v>0.16714107633824465</v>
      </c>
    </row>
    <row r="721" spans="1:22" ht="12.75" customHeight="1" x14ac:dyDescent="0.2">
      <c r="A721" s="6" t="s">
        <v>494</v>
      </c>
      <c r="B721" s="6" t="s">
        <v>15</v>
      </c>
      <c r="C721" s="7">
        <v>216624</v>
      </c>
      <c r="D721" s="8">
        <v>114498</v>
      </c>
      <c r="E721" s="9" t="s">
        <v>16</v>
      </c>
      <c r="F721" s="23">
        <v>208</v>
      </c>
      <c r="G721" s="25"/>
      <c r="H721" s="14">
        <f t="shared" si="525"/>
        <v>0.55000000000000004</v>
      </c>
      <c r="I721" s="25">
        <f ca="1">IFERROR(__xludf.DUMMYFUNCTION("ROUND(D721*GOOGLEFINANCE(""RUBKZT"")*H721)"),491418)</f>
        <v>491418</v>
      </c>
      <c r="J721" s="26">
        <f ca="1">IFERROR(__xludf.DUMMYFUNCTION("ROUND(I721*GOOGLEFINANCE(""KZTEUR""))"),1029)</f>
        <v>1029</v>
      </c>
      <c r="K721" s="26">
        <f t="shared" ca="1" si="526"/>
        <v>4947</v>
      </c>
      <c r="L721" s="26">
        <f t="shared" ca="1" si="527"/>
        <v>939.93000000000006</v>
      </c>
      <c r="M721" s="26">
        <f t="shared" ref="M721:N721" si="737">M$3</f>
        <v>500</v>
      </c>
      <c r="N721" s="26">
        <f t="shared" si="737"/>
        <v>500</v>
      </c>
      <c r="O721" s="26">
        <f ca="1">IFERROR(__xludf.DUMMYFUNCTION("ROUND(GOOGLEFINANCE(""Currency:EURKZT"")*K721)"),2362537)</f>
        <v>2362537</v>
      </c>
      <c r="P721" s="26">
        <f ca="1">IFERROR(__xludf.DUMMYFUNCTION("ROUND(GOOGLEFINANCE(""Currency:EURKZT"")*M721)"),238785)</f>
        <v>238785</v>
      </c>
      <c r="Q721" s="26">
        <f ca="1">IFERROR(__xludf.DUMMYFUNCTION("ROUND(GOOGLEFINANCE(""Currency:EURKZT"")*N721)"),238785)</f>
        <v>238785</v>
      </c>
      <c r="R721" s="26">
        <f t="shared" ca="1" si="529"/>
        <v>283504</v>
      </c>
      <c r="S721" s="26">
        <f t="shared" ca="1" si="530"/>
        <v>3123611</v>
      </c>
      <c r="T721" s="26">
        <f ca="1">IFERROR(__xludf.DUMMYFUNCTION("ROUND(GOOGLEFINANCE(""Currency:EURKZT"")*L721+S721)"),3572493)</f>
        <v>3572493</v>
      </c>
      <c r="U721" s="26">
        <f ca="1">IFERROR(__xludf.DUMMYFUNCTION("D721*GOOGLEFINANCE(""RUBKZT"")*1000/F721"),4295614.22840526)</f>
        <v>4295614.2284052595</v>
      </c>
      <c r="V721" s="27">
        <f t="shared" ca="1" si="531"/>
        <v>0.20241361659918145</v>
      </c>
    </row>
    <row r="722" spans="1:22" ht="12.75" customHeight="1" x14ac:dyDescent="0.2">
      <c r="A722" s="6" t="s">
        <v>61</v>
      </c>
      <c r="B722" s="6" t="s">
        <v>15</v>
      </c>
      <c r="C722" s="7">
        <v>190668</v>
      </c>
      <c r="D722" s="8">
        <v>78909.599999999991</v>
      </c>
      <c r="E722" s="9" t="s">
        <v>16</v>
      </c>
      <c r="F722" s="23">
        <v>208</v>
      </c>
      <c r="G722" s="25"/>
      <c r="H722" s="14">
        <f t="shared" si="525"/>
        <v>0.55000000000000004</v>
      </c>
      <c r="I722" s="25">
        <f ca="1">IFERROR(__xludf.DUMMYFUNCTION("ROUND(D722*GOOGLEFINANCE(""RUBKZT"")*H722)"),338675)</f>
        <v>338675</v>
      </c>
      <c r="J722" s="26">
        <f ca="1">IFERROR(__xludf.DUMMYFUNCTION("ROUND(I722*GOOGLEFINANCE(""KZTEUR""))"),709)</f>
        <v>709</v>
      </c>
      <c r="K722" s="26">
        <f t="shared" ca="1" si="526"/>
        <v>3409</v>
      </c>
      <c r="L722" s="26">
        <f t="shared" ca="1" si="527"/>
        <v>647.71</v>
      </c>
      <c r="M722" s="26">
        <f t="shared" ref="M722:N722" si="738">M$3</f>
        <v>500</v>
      </c>
      <c r="N722" s="26">
        <f t="shared" si="738"/>
        <v>500</v>
      </c>
      <c r="O722" s="26">
        <f ca="1">IFERROR(__xludf.DUMMYFUNCTION("ROUND(GOOGLEFINANCE(""Currency:EURKZT"")*K722)"),1628035)</f>
        <v>1628035</v>
      </c>
      <c r="P722" s="26">
        <f ca="1">IFERROR(__xludf.DUMMYFUNCTION("ROUND(GOOGLEFINANCE(""Currency:EURKZT"")*M722)"),238785)</f>
        <v>238785</v>
      </c>
      <c r="Q722" s="26">
        <f ca="1">IFERROR(__xludf.DUMMYFUNCTION("ROUND(GOOGLEFINANCE(""Currency:EURKZT"")*N722)"),238785)</f>
        <v>238785</v>
      </c>
      <c r="R722" s="26">
        <f t="shared" ca="1" si="529"/>
        <v>195364</v>
      </c>
      <c r="S722" s="26">
        <f t="shared" ca="1" si="530"/>
        <v>2300969</v>
      </c>
      <c r="T722" s="26">
        <f ca="1">IFERROR(__xludf.DUMMYFUNCTION("ROUND(GOOGLEFINANCE(""Currency:EURKZT"")*L722+S722)"),2610296)</f>
        <v>2610296</v>
      </c>
      <c r="U722" s="26">
        <f ca="1">IFERROR(__xludf.DUMMYFUNCTION("D722*GOOGLEFINANCE(""RUBKZT"")*1000/F722"),2960446.47520278)</f>
        <v>2960446.4752027802</v>
      </c>
      <c r="V722" s="27">
        <f t="shared" ca="1" si="531"/>
        <v>0.13414205714707458</v>
      </c>
    </row>
    <row r="723" spans="1:22" ht="12.75" customHeight="1" x14ac:dyDescent="0.2">
      <c r="A723" s="6" t="s">
        <v>70</v>
      </c>
      <c r="B723" s="6" t="s">
        <v>15</v>
      </c>
      <c r="C723" s="7">
        <v>197110</v>
      </c>
      <c r="D723" s="8">
        <v>106742.39999999999</v>
      </c>
      <c r="E723" s="9" t="s">
        <v>16</v>
      </c>
      <c r="F723" s="23">
        <v>208</v>
      </c>
      <c r="G723" s="25"/>
      <c r="H723" s="14">
        <f t="shared" si="525"/>
        <v>0.55000000000000004</v>
      </c>
      <c r="I723" s="25">
        <f ca="1">IFERROR(__xludf.DUMMYFUNCTION("ROUND(D723*GOOGLEFINANCE(""RUBKZT"")*H723)"),458132)</f>
        <v>458132</v>
      </c>
      <c r="J723" s="26">
        <f ca="1">IFERROR(__xludf.DUMMYFUNCTION("ROUND(I723*GOOGLEFINANCE(""KZTEUR""))"),959)</f>
        <v>959</v>
      </c>
      <c r="K723" s="26">
        <f t="shared" ca="1" si="526"/>
        <v>4611</v>
      </c>
      <c r="L723" s="26">
        <f t="shared" ca="1" si="527"/>
        <v>876.09</v>
      </c>
      <c r="M723" s="26">
        <f t="shared" ref="M723:N723" si="739">M$3</f>
        <v>500</v>
      </c>
      <c r="N723" s="26">
        <f t="shared" si="739"/>
        <v>500</v>
      </c>
      <c r="O723" s="26">
        <f ca="1">IFERROR(__xludf.DUMMYFUNCTION("ROUND(GOOGLEFINANCE(""Currency:EURKZT"")*K723)"),2202073)</f>
        <v>2202073</v>
      </c>
      <c r="P723" s="26">
        <f ca="1">IFERROR(__xludf.DUMMYFUNCTION("ROUND(GOOGLEFINANCE(""Currency:EURKZT"")*M723)"),238785)</f>
        <v>238785</v>
      </c>
      <c r="Q723" s="26">
        <f ca="1">IFERROR(__xludf.DUMMYFUNCTION("ROUND(GOOGLEFINANCE(""Currency:EURKZT"")*N723)"),238785)</f>
        <v>238785</v>
      </c>
      <c r="R723" s="26">
        <f t="shared" ca="1" si="529"/>
        <v>264249</v>
      </c>
      <c r="S723" s="26">
        <f t="shared" ca="1" si="530"/>
        <v>2943892</v>
      </c>
      <c r="T723" s="26">
        <f ca="1">IFERROR(__xludf.DUMMYFUNCTION("ROUND(GOOGLEFINANCE(""Currency:EURKZT"")*L723+S723)"),3362286)</f>
        <v>3362286</v>
      </c>
      <c r="U723" s="26">
        <f ca="1">IFERROR(__xludf.DUMMYFUNCTION("D723*GOOGLEFINANCE(""RUBKZT"")*1000/F723"),4004647.87344867)</f>
        <v>4004647.8734486699</v>
      </c>
      <c r="V723" s="27">
        <f t="shared" ca="1" si="531"/>
        <v>0.19104914735054362</v>
      </c>
    </row>
    <row r="724" spans="1:22" ht="12.75" customHeight="1" x14ac:dyDescent="0.2">
      <c r="A724" s="6" t="s">
        <v>356</v>
      </c>
      <c r="B724" s="6" t="s">
        <v>15</v>
      </c>
      <c r="C724" s="7">
        <v>197095</v>
      </c>
      <c r="D724" s="8">
        <v>118328.4</v>
      </c>
      <c r="E724" s="9" t="s">
        <v>7</v>
      </c>
      <c r="F724" s="23">
        <v>208</v>
      </c>
      <c r="G724" s="25"/>
      <c r="H724" s="14">
        <f t="shared" si="525"/>
        <v>0.55000000000000004</v>
      </c>
      <c r="I724" s="25">
        <f ca="1">IFERROR(__xludf.DUMMYFUNCTION("ROUND(D724*GOOGLEFINANCE(""RUBKZT"")*H724)"),507858)</f>
        <v>507858</v>
      </c>
      <c r="J724" s="26">
        <f ca="1">IFERROR(__xludf.DUMMYFUNCTION("ROUND(I724*GOOGLEFINANCE(""KZTEUR""))"),1064)</f>
        <v>1064</v>
      </c>
      <c r="K724" s="26">
        <f t="shared" ca="1" si="526"/>
        <v>5115</v>
      </c>
      <c r="L724" s="26">
        <f t="shared" ca="1" si="527"/>
        <v>971.85</v>
      </c>
      <c r="M724" s="26">
        <f t="shared" ref="M724:N724" si="740">M$3</f>
        <v>500</v>
      </c>
      <c r="N724" s="26">
        <f t="shared" si="740"/>
        <v>500</v>
      </c>
      <c r="O724" s="26">
        <f ca="1">IFERROR(__xludf.DUMMYFUNCTION("ROUND(GOOGLEFINANCE(""Currency:EURKZT"")*K724)"),2442769)</f>
        <v>2442769</v>
      </c>
      <c r="P724" s="26">
        <f ca="1">IFERROR(__xludf.DUMMYFUNCTION("ROUND(GOOGLEFINANCE(""Currency:EURKZT"")*M724)"),238785)</f>
        <v>238785</v>
      </c>
      <c r="Q724" s="26">
        <f ca="1">IFERROR(__xludf.DUMMYFUNCTION("ROUND(GOOGLEFINANCE(""Currency:EURKZT"")*N724)"),238785)</f>
        <v>238785</v>
      </c>
      <c r="R724" s="26">
        <f t="shared" ca="1" si="529"/>
        <v>293132</v>
      </c>
      <c r="S724" s="26">
        <f t="shared" ca="1" si="530"/>
        <v>3213471</v>
      </c>
      <c r="T724" s="26">
        <f ca="1">IFERROR(__xludf.DUMMYFUNCTION("ROUND(GOOGLEFINANCE(""Currency:EURKZT"")*L724+S724)"),3677597)</f>
        <v>3677597</v>
      </c>
      <c r="U724" s="26">
        <f ca="1">IFERROR(__xludf.DUMMYFUNCTION("D724*GOOGLEFINANCE(""RUBKZT"")*1000/F724"),4439319.10307979)</f>
        <v>4439319.1030797902</v>
      </c>
      <c r="V724" s="27">
        <f t="shared" ca="1" si="531"/>
        <v>0.20712495226632779</v>
      </c>
    </row>
    <row r="725" spans="1:22" ht="12.75" customHeight="1" x14ac:dyDescent="0.2">
      <c r="A725" s="6" t="s">
        <v>358</v>
      </c>
      <c r="B725" s="6" t="s">
        <v>15</v>
      </c>
      <c r="C725" s="7">
        <v>196158</v>
      </c>
      <c r="D725" s="8">
        <v>112801.2</v>
      </c>
      <c r="E725" s="9" t="s">
        <v>7</v>
      </c>
      <c r="F725" s="23">
        <v>208</v>
      </c>
      <c r="G725" s="25"/>
      <c r="H725" s="14">
        <f t="shared" si="525"/>
        <v>0.55000000000000004</v>
      </c>
      <c r="I725" s="25">
        <f ca="1">IFERROR(__xludf.DUMMYFUNCTION("ROUND(D725*GOOGLEFINANCE(""RUBKZT"")*H725)"),484136)</f>
        <v>484136</v>
      </c>
      <c r="J725" s="26">
        <f ca="1">IFERROR(__xludf.DUMMYFUNCTION("ROUND(I725*GOOGLEFINANCE(""KZTEUR""))"),1014)</f>
        <v>1014</v>
      </c>
      <c r="K725" s="26">
        <f t="shared" ca="1" si="526"/>
        <v>4875</v>
      </c>
      <c r="L725" s="26">
        <f t="shared" ca="1" si="527"/>
        <v>926.25</v>
      </c>
      <c r="M725" s="26">
        <f t="shared" ref="M725:N725" si="741">M$3</f>
        <v>500</v>
      </c>
      <c r="N725" s="26">
        <f t="shared" si="741"/>
        <v>500</v>
      </c>
      <c r="O725" s="26">
        <f ca="1">IFERROR(__xludf.DUMMYFUNCTION("ROUND(GOOGLEFINANCE(""Currency:EURKZT"")*K725)"),2328152)</f>
        <v>2328152</v>
      </c>
      <c r="P725" s="26">
        <f ca="1">IFERROR(__xludf.DUMMYFUNCTION("ROUND(GOOGLEFINANCE(""Currency:EURKZT"")*M725)"),238785)</f>
        <v>238785</v>
      </c>
      <c r="Q725" s="26">
        <f ca="1">IFERROR(__xludf.DUMMYFUNCTION("ROUND(GOOGLEFINANCE(""Currency:EURKZT"")*N725)"),238785)</f>
        <v>238785</v>
      </c>
      <c r="R725" s="26">
        <f t="shared" ca="1" si="529"/>
        <v>279378</v>
      </c>
      <c r="S725" s="26">
        <f t="shared" ca="1" si="530"/>
        <v>3085100</v>
      </c>
      <c r="T725" s="26">
        <f ca="1">IFERROR(__xludf.DUMMYFUNCTION("ROUND(GOOGLEFINANCE(""Currency:EURKZT"")*L725+S725)"),3527449)</f>
        <v>3527449</v>
      </c>
      <c r="U725" s="26">
        <f ca="1">IFERROR(__xludf.DUMMYFUNCTION("D725*GOOGLEFINANCE(""RUBKZT"")*1000/F725"),4231955.4900626)</f>
        <v>4231955.4900626</v>
      </c>
      <c r="V725" s="27">
        <f t="shared" ca="1" si="531"/>
        <v>0.1997212404949299</v>
      </c>
    </row>
    <row r="726" spans="1:22" ht="12.75" customHeight="1" x14ac:dyDescent="0.2">
      <c r="A726" s="6" t="s">
        <v>414</v>
      </c>
      <c r="B726" s="6" t="s">
        <v>15</v>
      </c>
      <c r="C726" s="7">
        <v>203557</v>
      </c>
      <c r="D726" s="8">
        <v>83227.199999999997</v>
      </c>
      <c r="E726" s="9" t="s">
        <v>16</v>
      </c>
      <c r="F726" s="23">
        <v>208</v>
      </c>
      <c r="G726" s="25"/>
      <c r="H726" s="14">
        <f t="shared" si="525"/>
        <v>0.55000000000000004</v>
      </c>
      <c r="I726" s="25">
        <f ca="1">IFERROR(__xludf.DUMMYFUNCTION("ROUND(D726*GOOGLEFINANCE(""RUBKZT"")*H726)"),357206)</f>
        <v>357206</v>
      </c>
      <c r="J726" s="26">
        <f ca="1">IFERROR(__xludf.DUMMYFUNCTION("ROUND(I726*GOOGLEFINANCE(""KZTEUR""))"),748)</f>
        <v>748</v>
      </c>
      <c r="K726" s="26">
        <f t="shared" ca="1" si="526"/>
        <v>3596</v>
      </c>
      <c r="L726" s="26">
        <f t="shared" ca="1" si="527"/>
        <v>683.24</v>
      </c>
      <c r="M726" s="26">
        <f t="shared" ref="M726:N726" si="742">M$3</f>
        <v>500</v>
      </c>
      <c r="N726" s="26">
        <f t="shared" si="742"/>
        <v>500</v>
      </c>
      <c r="O726" s="26">
        <f ca="1">IFERROR(__xludf.DUMMYFUNCTION("ROUND(GOOGLEFINANCE(""Currency:EURKZT"")*K726)"),1717340)</f>
        <v>1717340</v>
      </c>
      <c r="P726" s="26">
        <f ca="1">IFERROR(__xludf.DUMMYFUNCTION("ROUND(GOOGLEFINANCE(""Currency:EURKZT"")*M726)"),238785)</f>
        <v>238785</v>
      </c>
      <c r="Q726" s="26">
        <f ca="1">IFERROR(__xludf.DUMMYFUNCTION("ROUND(GOOGLEFINANCE(""Currency:EURKZT"")*N726)"),238785)</f>
        <v>238785</v>
      </c>
      <c r="R726" s="26">
        <f t="shared" ca="1" si="529"/>
        <v>206081</v>
      </c>
      <c r="S726" s="26">
        <f t="shared" ca="1" si="530"/>
        <v>2400991</v>
      </c>
      <c r="T726" s="26">
        <f ca="1">IFERROR(__xludf.DUMMYFUNCTION("ROUND(GOOGLEFINANCE(""Currency:EURKZT"")*L726+S726)"),2727286)</f>
        <v>2727286</v>
      </c>
      <c r="U726" s="26">
        <f ca="1">IFERROR(__xludf.DUMMYFUNCTION("D726*GOOGLEFINANCE(""RUBKZT"")*1000/F726"),3122429.60148064)</f>
        <v>3122429.60148064</v>
      </c>
      <c r="V726" s="27">
        <f t="shared" ca="1" si="531"/>
        <v>0.14488528210119511</v>
      </c>
    </row>
    <row r="727" spans="1:22" ht="12.75" customHeight="1" x14ac:dyDescent="0.2">
      <c r="A727" s="6" t="s">
        <v>593</v>
      </c>
      <c r="B727" s="6" t="s">
        <v>15</v>
      </c>
      <c r="C727" s="7">
        <v>201239</v>
      </c>
      <c r="D727" s="8">
        <v>337952.39999999997</v>
      </c>
      <c r="E727" s="9" t="s">
        <v>16</v>
      </c>
      <c r="F727" s="23">
        <v>208</v>
      </c>
      <c r="G727" s="25"/>
      <c r="H727" s="14">
        <f t="shared" si="525"/>
        <v>0.55000000000000004</v>
      </c>
      <c r="I727" s="25">
        <f ca="1">IFERROR(__xludf.DUMMYFUNCTION("ROUND(D727*GOOGLEFINANCE(""RUBKZT"")*H727)"),1450471)</f>
        <v>1450471</v>
      </c>
      <c r="J727" s="26">
        <f ca="1">IFERROR(__xludf.DUMMYFUNCTION("ROUND(I727*GOOGLEFINANCE(""KZTEUR""))"),3038)</f>
        <v>3038</v>
      </c>
      <c r="K727" s="26">
        <f t="shared" ca="1" si="526"/>
        <v>14606</v>
      </c>
      <c r="L727" s="26">
        <f t="shared" ca="1" si="527"/>
        <v>2775.14</v>
      </c>
      <c r="M727" s="26">
        <f t="shared" ref="M727:N727" si="743">M$3</f>
        <v>500</v>
      </c>
      <c r="N727" s="26">
        <f t="shared" si="743"/>
        <v>500</v>
      </c>
      <c r="O727" s="26">
        <f ca="1">IFERROR(__xludf.DUMMYFUNCTION("ROUND(GOOGLEFINANCE(""Currency:EURKZT"")*K727)"),6975382)</f>
        <v>6975382</v>
      </c>
      <c r="P727" s="26">
        <f ca="1">IFERROR(__xludf.DUMMYFUNCTION("ROUND(GOOGLEFINANCE(""Currency:EURKZT"")*M727)"),238785)</f>
        <v>238785</v>
      </c>
      <c r="Q727" s="26">
        <f ca="1">IFERROR(__xludf.DUMMYFUNCTION("ROUND(GOOGLEFINANCE(""Currency:EURKZT"")*N727)"),238785)</f>
        <v>238785</v>
      </c>
      <c r="R727" s="26">
        <f t="shared" ca="1" si="529"/>
        <v>837046</v>
      </c>
      <c r="S727" s="26">
        <f t="shared" ca="1" si="530"/>
        <v>8289998</v>
      </c>
      <c r="T727" s="26">
        <f ca="1">IFERROR(__xludf.DUMMYFUNCTION("ROUND(GOOGLEFINANCE(""Currency:EURKZT"")*L727+S727)"),9615321)</f>
        <v>9615321</v>
      </c>
      <c r="U727" s="26">
        <f ca="1">IFERROR(__xludf.DUMMYFUNCTION("D727*GOOGLEFINANCE(""RUBKZT"")*1000/F727"),12678938.8283088)</f>
        <v>12678938.8283088</v>
      </c>
      <c r="V727" s="27">
        <f t="shared" ca="1" si="531"/>
        <v>0.31861836212319905</v>
      </c>
    </row>
    <row r="728" spans="1:22" ht="12.75" customHeight="1" x14ac:dyDescent="0.2">
      <c r="A728" s="6" t="s">
        <v>600</v>
      </c>
      <c r="B728" s="6" t="s">
        <v>15</v>
      </c>
      <c r="C728" s="7">
        <v>201293</v>
      </c>
      <c r="D728" s="8">
        <v>92871.599999999991</v>
      </c>
      <c r="E728" s="9" t="s">
        <v>16</v>
      </c>
      <c r="F728" s="23">
        <v>208</v>
      </c>
      <c r="G728" s="25"/>
      <c r="H728" s="14">
        <f t="shared" si="525"/>
        <v>0.55000000000000004</v>
      </c>
      <c r="I728" s="25">
        <f ca="1">IFERROR(__xludf.DUMMYFUNCTION("ROUND(D728*GOOGLEFINANCE(""RUBKZT"")*H728)"),398599)</f>
        <v>398599</v>
      </c>
      <c r="J728" s="26">
        <f ca="1">IFERROR(__xludf.DUMMYFUNCTION("ROUND(I728*GOOGLEFINANCE(""KZTEUR""))"),835)</f>
        <v>835</v>
      </c>
      <c r="K728" s="26">
        <f t="shared" ca="1" si="526"/>
        <v>4014</v>
      </c>
      <c r="L728" s="26">
        <f t="shared" ca="1" si="527"/>
        <v>762.66</v>
      </c>
      <c r="M728" s="26">
        <f t="shared" ref="M728:N728" si="744">M$3</f>
        <v>500</v>
      </c>
      <c r="N728" s="26">
        <f t="shared" si="744"/>
        <v>500</v>
      </c>
      <c r="O728" s="26">
        <f ca="1">IFERROR(__xludf.DUMMYFUNCTION("ROUND(GOOGLEFINANCE(""Currency:EURKZT"")*K728)"),1916964)</f>
        <v>1916964</v>
      </c>
      <c r="P728" s="26">
        <f ca="1">IFERROR(__xludf.DUMMYFUNCTION("ROUND(GOOGLEFINANCE(""Currency:EURKZT"")*M728)"),238785)</f>
        <v>238785</v>
      </c>
      <c r="Q728" s="26">
        <f ca="1">IFERROR(__xludf.DUMMYFUNCTION("ROUND(GOOGLEFINANCE(""Currency:EURKZT"")*N728)"),238785)</f>
        <v>238785</v>
      </c>
      <c r="R728" s="26">
        <f t="shared" ca="1" si="529"/>
        <v>230036</v>
      </c>
      <c r="S728" s="26">
        <f t="shared" ca="1" si="530"/>
        <v>2624570</v>
      </c>
      <c r="T728" s="26">
        <f ca="1">IFERROR(__xludf.DUMMYFUNCTION("ROUND(GOOGLEFINANCE(""Currency:EURKZT"")*L728+S728)"),2988793)</f>
        <v>2988793</v>
      </c>
      <c r="U728" s="26">
        <f ca="1">IFERROR(__xludf.DUMMYFUNCTION("D728*GOOGLEFINANCE(""RUBKZT"")*1000/F728"),3484257.94664328)</f>
        <v>3484257.9466432799</v>
      </c>
      <c r="V728" s="27">
        <f t="shared" ca="1" si="531"/>
        <v>0.16577425959016898</v>
      </c>
    </row>
    <row r="729" spans="1:22" ht="12.75" customHeight="1" x14ac:dyDescent="0.2">
      <c r="A729" s="6" t="s">
        <v>610</v>
      </c>
      <c r="B729" s="6" t="s">
        <v>15</v>
      </c>
      <c r="C729" s="7">
        <v>201659</v>
      </c>
      <c r="D729" s="8">
        <v>240094.8</v>
      </c>
      <c r="E729" s="9" t="s">
        <v>16</v>
      </c>
      <c r="F729" s="23">
        <v>208</v>
      </c>
      <c r="G729" s="25"/>
      <c r="H729" s="14">
        <f t="shared" si="525"/>
        <v>0.55000000000000004</v>
      </c>
      <c r="I729" s="25">
        <f ca="1">IFERROR(__xludf.DUMMYFUNCTION("ROUND(D729*GOOGLEFINANCE(""RUBKZT"")*H729)"),1030472)</f>
        <v>1030472</v>
      </c>
      <c r="J729" s="26">
        <f ca="1">IFERROR(__xludf.DUMMYFUNCTION("ROUND(I729*GOOGLEFINANCE(""KZTEUR""))"),2158)</f>
        <v>2158</v>
      </c>
      <c r="K729" s="26">
        <f t="shared" ca="1" si="526"/>
        <v>10375</v>
      </c>
      <c r="L729" s="26">
        <f t="shared" ca="1" si="527"/>
        <v>1971.25</v>
      </c>
      <c r="M729" s="26">
        <f t="shared" ref="M729:N729" si="745">M$3</f>
        <v>500</v>
      </c>
      <c r="N729" s="26">
        <f t="shared" si="745"/>
        <v>500</v>
      </c>
      <c r="O729" s="26">
        <f ca="1">IFERROR(__xludf.DUMMYFUNCTION("ROUND(GOOGLEFINANCE(""Currency:EURKZT"")*K729)"),4954785)</f>
        <v>4954785</v>
      </c>
      <c r="P729" s="26">
        <f ca="1">IFERROR(__xludf.DUMMYFUNCTION("ROUND(GOOGLEFINANCE(""Currency:EURKZT"")*M729)"),238785)</f>
        <v>238785</v>
      </c>
      <c r="Q729" s="26">
        <f ca="1">IFERROR(__xludf.DUMMYFUNCTION("ROUND(GOOGLEFINANCE(""Currency:EURKZT"")*N729)"),238785)</f>
        <v>238785</v>
      </c>
      <c r="R729" s="26">
        <f t="shared" ca="1" si="529"/>
        <v>594574</v>
      </c>
      <c r="S729" s="26">
        <f t="shared" ca="1" si="530"/>
        <v>6026929</v>
      </c>
      <c r="T729" s="26">
        <f ca="1">IFERROR(__xludf.DUMMYFUNCTION("ROUND(GOOGLEFINANCE(""Currency:EURKZT"")*L729+S729)"),6968338)</f>
        <v>6968338</v>
      </c>
      <c r="U729" s="26">
        <f ca="1">IFERROR(__xludf.DUMMYFUNCTION("D729*GOOGLEFINANCE(""RUBKZT"")*1000/F729"),9007621.43483831)</f>
        <v>9007621.4348383099</v>
      </c>
      <c r="V729" s="27">
        <f t="shared" ca="1" si="531"/>
        <v>0.29264990229209747</v>
      </c>
    </row>
    <row r="730" spans="1:22" ht="12.75" customHeight="1" x14ac:dyDescent="0.2">
      <c r="A730" s="6" t="s">
        <v>629</v>
      </c>
      <c r="B730" s="6" t="s">
        <v>15</v>
      </c>
      <c r="C730" s="7">
        <v>110720</v>
      </c>
      <c r="D730" s="8">
        <v>79810.8</v>
      </c>
      <c r="E730" s="9" t="s">
        <v>16</v>
      </c>
      <c r="F730" s="23">
        <v>208</v>
      </c>
      <c r="G730" s="25"/>
      <c r="H730" s="14">
        <f t="shared" si="525"/>
        <v>0.55000000000000004</v>
      </c>
      <c r="I730" s="25">
        <f ca="1">IFERROR(__xludf.DUMMYFUNCTION("ROUND(D730*GOOGLEFINANCE(""RUBKZT"")*H730)"),342543)</f>
        <v>342543</v>
      </c>
      <c r="J730" s="26">
        <f ca="1">IFERROR(__xludf.DUMMYFUNCTION("ROUND(I730*GOOGLEFINANCE(""KZTEUR""))"),717)</f>
        <v>717</v>
      </c>
      <c r="K730" s="26">
        <f t="shared" ca="1" si="526"/>
        <v>3447</v>
      </c>
      <c r="L730" s="26">
        <f t="shared" ca="1" si="527"/>
        <v>654.93000000000006</v>
      </c>
      <c r="M730" s="26">
        <f t="shared" ref="M730:N730" si="746">M$3</f>
        <v>500</v>
      </c>
      <c r="N730" s="26">
        <f t="shared" si="746"/>
        <v>500</v>
      </c>
      <c r="O730" s="26">
        <f ca="1">IFERROR(__xludf.DUMMYFUNCTION("ROUND(GOOGLEFINANCE(""Currency:EURKZT"")*K730)"),1646182)</f>
        <v>1646182</v>
      </c>
      <c r="P730" s="26">
        <f ca="1">IFERROR(__xludf.DUMMYFUNCTION("ROUND(GOOGLEFINANCE(""Currency:EURKZT"")*M730)"),238785)</f>
        <v>238785</v>
      </c>
      <c r="Q730" s="26">
        <f ca="1">IFERROR(__xludf.DUMMYFUNCTION("ROUND(GOOGLEFINANCE(""Currency:EURKZT"")*N730)"),238785)</f>
        <v>238785</v>
      </c>
      <c r="R730" s="26">
        <f t="shared" ca="1" si="529"/>
        <v>197542</v>
      </c>
      <c r="S730" s="26">
        <f t="shared" ca="1" si="530"/>
        <v>2321294</v>
      </c>
      <c r="T730" s="26">
        <f ca="1">IFERROR(__xludf.DUMMYFUNCTION("ROUND(GOOGLEFINANCE(""Currency:EURKZT"")*L730+S730)"),2634069)</f>
        <v>2634069</v>
      </c>
      <c r="U730" s="26">
        <f ca="1">IFERROR(__xludf.DUMMYFUNCTION("D730*GOOGLEFINANCE(""RUBKZT"")*1000/F730"),2994256.73863654)</f>
        <v>2994256.7386365398</v>
      </c>
      <c r="V730" s="27">
        <f t="shared" ca="1" si="531"/>
        <v>0.13674195271139056</v>
      </c>
    </row>
    <row r="731" spans="1:22" ht="12.75" customHeight="1" x14ac:dyDescent="0.2">
      <c r="A731" s="6" t="s">
        <v>199</v>
      </c>
      <c r="B731" s="6" t="s">
        <v>15</v>
      </c>
      <c r="C731" s="7">
        <v>10291101</v>
      </c>
      <c r="D731" s="8">
        <v>91968</v>
      </c>
      <c r="E731" s="9" t="s">
        <v>16</v>
      </c>
      <c r="F731" s="23">
        <v>208</v>
      </c>
      <c r="G731" s="25"/>
      <c r="H731" s="14">
        <f t="shared" si="525"/>
        <v>0.55000000000000004</v>
      </c>
      <c r="I731" s="25">
        <f ca="1">IFERROR(__xludf.DUMMYFUNCTION("ROUND(D731*GOOGLEFINANCE(""RUBKZT"")*H731)"),394721)</f>
        <v>394721</v>
      </c>
      <c r="J731" s="26">
        <f ca="1">IFERROR(__xludf.DUMMYFUNCTION("ROUND(I731*GOOGLEFINANCE(""KZTEUR""))"),827)</f>
        <v>827</v>
      </c>
      <c r="K731" s="26">
        <f t="shared" ca="1" si="526"/>
        <v>3976</v>
      </c>
      <c r="L731" s="26">
        <f t="shared" ca="1" si="527"/>
        <v>755.44</v>
      </c>
      <c r="M731" s="26">
        <f t="shared" ref="M731:N731" si="747">M$3</f>
        <v>500</v>
      </c>
      <c r="N731" s="26">
        <f t="shared" si="747"/>
        <v>500</v>
      </c>
      <c r="O731" s="26">
        <f ca="1">IFERROR(__xludf.DUMMYFUNCTION("ROUND(GOOGLEFINANCE(""Currency:EURKZT"")*K731)"),1898817)</f>
        <v>1898817</v>
      </c>
      <c r="P731" s="26">
        <f ca="1">IFERROR(__xludf.DUMMYFUNCTION("ROUND(GOOGLEFINANCE(""Currency:EURKZT"")*M731)"),238785)</f>
        <v>238785</v>
      </c>
      <c r="Q731" s="26">
        <f ca="1">IFERROR(__xludf.DUMMYFUNCTION("ROUND(GOOGLEFINANCE(""Currency:EURKZT"")*N731)"),238785)</f>
        <v>238785</v>
      </c>
      <c r="R731" s="26">
        <f t="shared" ca="1" si="529"/>
        <v>227858</v>
      </c>
      <c r="S731" s="26">
        <f t="shared" ca="1" si="530"/>
        <v>2604245</v>
      </c>
      <c r="T731" s="26">
        <f ca="1">IFERROR(__xludf.DUMMYFUNCTION("ROUND(GOOGLEFINANCE(""Currency:EURKZT"")*L731+S731)"),2965020)</f>
        <v>2965020</v>
      </c>
      <c r="U731" s="26">
        <f ca="1">IFERROR(__xludf.DUMMYFUNCTION("D731*GOOGLEFINANCE(""RUBKZT"")*1000/F731"),3450357.64256123)</f>
        <v>3450357.6425612299</v>
      </c>
      <c r="V731" s="27">
        <f t="shared" ca="1" si="531"/>
        <v>0.16368781409947653</v>
      </c>
    </row>
    <row r="732" spans="1:22" ht="12.75" customHeight="1" x14ac:dyDescent="0.2">
      <c r="A732" s="6" t="s">
        <v>686</v>
      </c>
      <c r="B732" s="6" t="s">
        <v>15</v>
      </c>
      <c r="C732" s="7">
        <v>166797</v>
      </c>
      <c r="D732" s="8">
        <v>75930</v>
      </c>
      <c r="E732" s="9" t="s">
        <v>16</v>
      </c>
      <c r="F732" s="23">
        <v>208</v>
      </c>
      <c r="G732" s="25"/>
      <c r="H732" s="14">
        <f t="shared" si="525"/>
        <v>0.55000000000000004</v>
      </c>
      <c r="I732" s="25">
        <f ca="1">IFERROR(__xludf.DUMMYFUNCTION("ROUND(D732*GOOGLEFINANCE(""RUBKZT"")*H732)"),325887)</f>
        <v>325887</v>
      </c>
      <c r="J732" s="26">
        <f ca="1">IFERROR(__xludf.DUMMYFUNCTION("ROUND(I732*GOOGLEFINANCE(""KZTEUR""))"),683)</f>
        <v>683</v>
      </c>
      <c r="K732" s="26">
        <f t="shared" ca="1" si="526"/>
        <v>3284</v>
      </c>
      <c r="L732" s="26">
        <f t="shared" ca="1" si="527"/>
        <v>623.96</v>
      </c>
      <c r="M732" s="26">
        <f t="shared" ref="M732:N732" si="748">M$3</f>
        <v>500</v>
      </c>
      <c r="N732" s="26">
        <f t="shared" si="748"/>
        <v>500</v>
      </c>
      <c r="O732" s="26">
        <f ca="1">IFERROR(__xludf.DUMMYFUNCTION("ROUND(GOOGLEFINANCE(""Currency:EURKZT"")*K732)"),1568339)</f>
        <v>1568339</v>
      </c>
      <c r="P732" s="26">
        <f ca="1">IFERROR(__xludf.DUMMYFUNCTION("ROUND(GOOGLEFINANCE(""Currency:EURKZT"")*M732)"),238785)</f>
        <v>238785</v>
      </c>
      <c r="Q732" s="26">
        <f ca="1">IFERROR(__xludf.DUMMYFUNCTION("ROUND(GOOGLEFINANCE(""Currency:EURKZT"")*N732)"),238785)</f>
        <v>238785</v>
      </c>
      <c r="R732" s="26">
        <f t="shared" ca="1" si="529"/>
        <v>188201</v>
      </c>
      <c r="S732" s="26">
        <f t="shared" ca="1" si="530"/>
        <v>2234110</v>
      </c>
      <c r="T732" s="26">
        <f ca="1">IFERROR(__xludf.DUMMYFUNCTION("ROUND(GOOGLEFINANCE(""Currency:EURKZT"")*L732+S732)"),2532094)</f>
        <v>2532094</v>
      </c>
      <c r="U732" s="26">
        <f ca="1">IFERROR(__xludf.DUMMYFUNCTION("D732*GOOGLEFINANCE(""RUBKZT"")*1000/F732"),2848661.01034788)</f>
        <v>2848661.01034788</v>
      </c>
      <c r="V732" s="27">
        <f t="shared" ca="1" si="531"/>
        <v>0.12502182397173248</v>
      </c>
    </row>
    <row r="733" spans="1:22" ht="12.75" customHeight="1" x14ac:dyDescent="0.2">
      <c r="A733" s="6" t="s">
        <v>193</v>
      </c>
      <c r="B733" s="6" t="s">
        <v>15</v>
      </c>
      <c r="C733" s="7" t="s">
        <v>688</v>
      </c>
      <c r="D733" s="8">
        <v>77316</v>
      </c>
      <c r="E733" s="9" t="s">
        <v>16</v>
      </c>
      <c r="F733" s="23">
        <v>208</v>
      </c>
      <c r="G733" s="25"/>
      <c r="H733" s="14">
        <f t="shared" si="525"/>
        <v>0.55000000000000004</v>
      </c>
      <c r="I733" s="25">
        <f ca="1">IFERROR(__xludf.DUMMYFUNCTION("ROUND(D733*GOOGLEFINANCE(""RUBKZT"")*H733)"),331835)</f>
        <v>331835</v>
      </c>
      <c r="J733" s="26">
        <f ca="1">IFERROR(__xludf.DUMMYFUNCTION("ROUND(I733*GOOGLEFINANCE(""KZTEUR""))"),695)</f>
        <v>695</v>
      </c>
      <c r="K733" s="26">
        <f t="shared" ca="1" si="526"/>
        <v>3341</v>
      </c>
      <c r="L733" s="26">
        <f t="shared" ca="1" si="527"/>
        <v>634.79</v>
      </c>
      <c r="M733" s="26">
        <f t="shared" ref="M733:N733" si="749">M$3</f>
        <v>500</v>
      </c>
      <c r="N733" s="26">
        <f t="shared" si="749"/>
        <v>500</v>
      </c>
      <c r="O733" s="26">
        <f ca="1">IFERROR(__xludf.DUMMYFUNCTION("ROUND(GOOGLEFINANCE(""Currency:EURKZT"")*K733)"),1595560)</f>
        <v>1595560</v>
      </c>
      <c r="P733" s="26">
        <f ca="1">IFERROR(__xludf.DUMMYFUNCTION("ROUND(GOOGLEFINANCE(""Currency:EURKZT"")*M733)"),238785)</f>
        <v>238785</v>
      </c>
      <c r="Q733" s="26">
        <f ca="1">IFERROR(__xludf.DUMMYFUNCTION("ROUND(GOOGLEFINANCE(""Currency:EURKZT"")*N733)"),238785)</f>
        <v>238785</v>
      </c>
      <c r="R733" s="26">
        <f t="shared" ca="1" si="529"/>
        <v>191467</v>
      </c>
      <c r="S733" s="26">
        <f t="shared" ca="1" si="530"/>
        <v>2264597</v>
      </c>
      <c r="T733" s="26">
        <f ca="1">IFERROR(__xludf.DUMMYFUNCTION("ROUND(GOOGLEFINANCE(""Currency:EURKZT"")*L733+S733)"),2567753)</f>
        <v>2567753</v>
      </c>
      <c r="U733" s="26">
        <f ca="1">IFERROR(__xludf.DUMMYFUNCTION("D733*GOOGLEFINANCE(""RUBKZT"")*1000/F733"),2900659.48473669)</f>
        <v>2900659.4847366898</v>
      </c>
      <c r="V733" s="27">
        <f t="shared" ca="1" si="531"/>
        <v>0.12964895172420784</v>
      </c>
    </row>
    <row r="734" spans="1:22" ht="12.75" customHeight="1" x14ac:dyDescent="0.2">
      <c r="A734" s="6" t="s">
        <v>131</v>
      </c>
      <c r="B734" s="6" t="s">
        <v>175</v>
      </c>
      <c r="C734" s="7">
        <v>140212</v>
      </c>
      <c r="D734" s="8">
        <v>32358</v>
      </c>
      <c r="E734" s="9" t="s">
        <v>16</v>
      </c>
      <c r="F734" s="23">
        <v>20</v>
      </c>
      <c r="G734" s="25"/>
      <c r="H734" s="14">
        <f t="shared" si="525"/>
        <v>0.55000000000000004</v>
      </c>
      <c r="I734" s="25">
        <f ca="1">IFERROR(__xludf.DUMMYFUNCTION("ROUND(D734*GOOGLEFINANCE(""RUBKZT"")*H734)"),138879)</f>
        <v>138879</v>
      </c>
      <c r="J734" s="26">
        <f ca="1">IFERROR(__xludf.DUMMYFUNCTION("ROUND(I734*GOOGLEFINANCE(""KZTEUR""))"),291)</f>
        <v>291</v>
      </c>
      <c r="K734" s="26">
        <f t="shared" ca="1" si="526"/>
        <v>14550</v>
      </c>
      <c r="L734" s="26">
        <f t="shared" ca="1" si="527"/>
        <v>2764.5</v>
      </c>
      <c r="M734" s="26">
        <f t="shared" ref="M734:N734" si="750">M$3</f>
        <v>500</v>
      </c>
      <c r="N734" s="26">
        <f t="shared" si="750"/>
        <v>500</v>
      </c>
      <c r="O734" s="26">
        <f ca="1">IFERROR(__xludf.DUMMYFUNCTION("ROUND(GOOGLEFINANCE(""Currency:EURKZT"")*K734)"),6948638)</f>
        <v>6948638</v>
      </c>
      <c r="P734" s="26">
        <f ca="1">IFERROR(__xludf.DUMMYFUNCTION("ROUND(GOOGLEFINANCE(""Currency:EURKZT"")*M734)"),238785)</f>
        <v>238785</v>
      </c>
      <c r="Q734" s="26">
        <f ca="1">IFERROR(__xludf.DUMMYFUNCTION("ROUND(GOOGLEFINANCE(""Currency:EURKZT"")*N734)"),238785)</f>
        <v>238785</v>
      </c>
      <c r="R734" s="26">
        <f t="shared" ca="1" si="529"/>
        <v>833837</v>
      </c>
      <c r="S734" s="26">
        <f t="shared" ca="1" si="530"/>
        <v>8260045</v>
      </c>
      <c r="T734" s="26">
        <f ca="1">IFERROR(__xludf.DUMMYFUNCTION("ROUND(GOOGLEFINANCE(""Currency:EURKZT"")*L734+S734)"),9580286)</f>
        <v>9580286</v>
      </c>
      <c r="U734" s="26">
        <f ca="1">IFERROR(__xludf.DUMMYFUNCTION("D734*GOOGLEFINANCE(""RUBKZT"")*1000/F734"),12625319.6222508)</f>
        <v>12625319.622250799</v>
      </c>
      <c r="V734" s="27">
        <f t="shared" ca="1" si="531"/>
        <v>0.31784370761486652</v>
      </c>
    </row>
    <row r="735" spans="1:22" ht="12.75" customHeight="1" x14ac:dyDescent="0.2">
      <c r="A735" s="6" t="s">
        <v>127</v>
      </c>
      <c r="B735" s="6" t="s">
        <v>175</v>
      </c>
      <c r="C735" s="7">
        <v>146226</v>
      </c>
      <c r="D735" s="8">
        <v>29466</v>
      </c>
      <c r="E735" s="9" t="s">
        <v>16</v>
      </c>
      <c r="F735" s="23">
        <v>20</v>
      </c>
      <c r="G735" s="25"/>
      <c r="H735" s="14">
        <f t="shared" si="525"/>
        <v>0.55000000000000004</v>
      </c>
      <c r="I735" s="25">
        <f ca="1">IFERROR(__xludf.DUMMYFUNCTION("ROUND(D735*GOOGLEFINANCE(""RUBKZT"")*H735)"),126466)</f>
        <v>126466</v>
      </c>
      <c r="J735" s="26">
        <f ca="1">IFERROR(__xludf.DUMMYFUNCTION("ROUND(I735*GOOGLEFINANCE(""KZTEUR""))"),265)</f>
        <v>265</v>
      </c>
      <c r="K735" s="26">
        <f t="shared" ca="1" si="526"/>
        <v>13250</v>
      </c>
      <c r="L735" s="26">
        <f t="shared" ca="1" si="527"/>
        <v>2517.5</v>
      </c>
      <c r="M735" s="26">
        <f t="shared" ref="M735:N735" si="751">M$3</f>
        <v>500</v>
      </c>
      <c r="N735" s="26">
        <f t="shared" si="751"/>
        <v>500</v>
      </c>
      <c r="O735" s="26">
        <f ca="1">IFERROR(__xludf.DUMMYFUNCTION("ROUND(GOOGLEFINANCE(""Currency:EURKZT"")*K735)"),6327797)</f>
        <v>6327797</v>
      </c>
      <c r="P735" s="26">
        <f ca="1">IFERROR(__xludf.DUMMYFUNCTION("ROUND(GOOGLEFINANCE(""Currency:EURKZT"")*M735)"),238785)</f>
        <v>238785</v>
      </c>
      <c r="Q735" s="26">
        <f ca="1">IFERROR(__xludf.DUMMYFUNCTION("ROUND(GOOGLEFINANCE(""Currency:EURKZT"")*N735)"),238785)</f>
        <v>238785</v>
      </c>
      <c r="R735" s="26">
        <f t="shared" ca="1" si="529"/>
        <v>759336</v>
      </c>
      <c r="S735" s="26">
        <f t="shared" ca="1" si="530"/>
        <v>7564703</v>
      </c>
      <c r="T735" s="26">
        <f ca="1">IFERROR(__xludf.DUMMYFUNCTION("ROUND(GOOGLEFINANCE(""Currency:EURKZT"")*L735+S735)"),8766985)</f>
        <v>8766985</v>
      </c>
      <c r="U735" s="26">
        <f ca="1">IFERROR(__xludf.DUMMYFUNCTION("D735*GOOGLEFINANCE(""RUBKZT"")*1000/F735"),11496930.2178516)</f>
        <v>11496930.2178516</v>
      </c>
      <c r="V735" s="27">
        <f t="shared" ca="1" si="531"/>
        <v>0.31138928809067196</v>
      </c>
    </row>
    <row r="736" spans="1:22" ht="12.75" customHeight="1" x14ac:dyDescent="0.2">
      <c r="A736" s="6" t="s">
        <v>31</v>
      </c>
      <c r="B736" s="6" t="s">
        <v>32</v>
      </c>
      <c r="C736" s="7">
        <v>110469</v>
      </c>
      <c r="D736" s="8">
        <v>10196.4</v>
      </c>
      <c r="E736" s="9" t="s">
        <v>16</v>
      </c>
      <c r="F736" s="23">
        <v>20</v>
      </c>
      <c r="G736" s="25"/>
      <c r="H736" s="14">
        <f t="shared" si="525"/>
        <v>0.55000000000000004</v>
      </c>
      <c r="I736" s="25">
        <f ca="1">IFERROR(__xludf.DUMMYFUNCTION("ROUND(D736*GOOGLEFINANCE(""RUBKZT"")*H736)"),43762)</f>
        <v>43762</v>
      </c>
      <c r="J736" s="26">
        <f ca="1">IFERROR(__xludf.DUMMYFUNCTION("ROUND(I736*GOOGLEFINANCE(""KZTEUR""))"),92)</f>
        <v>92</v>
      </c>
      <c r="K736" s="26">
        <f t="shared" ca="1" si="526"/>
        <v>4600</v>
      </c>
      <c r="L736" s="26">
        <f t="shared" ca="1" si="527"/>
        <v>874</v>
      </c>
      <c r="M736" s="26">
        <f t="shared" ref="M736:N736" si="752">M$3</f>
        <v>500</v>
      </c>
      <c r="N736" s="26">
        <f t="shared" si="752"/>
        <v>500</v>
      </c>
      <c r="O736" s="26">
        <f ca="1">IFERROR(__xludf.DUMMYFUNCTION("ROUND(GOOGLEFINANCE(""Currency:EURKZT"")*K736)"),2196820)</f>
        <v>2196820</v>
      </c>
      <c r="P736" s="26">
        <f ca="1">IFERROR(__xludf.DUMMYFUNCTION("ROUND(GOOGLEFINANCE(""Currency:EURKZT"")*M736)"),238785)</f>
        <v>238785</v>
      </c>
      <c r="Q736" s="26">
        <f ca="1">IFERROR(__xludf.DUMMYFUNCTION("ROUND(GOOGLEFINANCE(""Currency:EURKZT"")*N736)"),238785)</f>
        <v>238785</v>
      </c>
      <c r="R736" s="26">
        <f t="shared" ca="1" si="529"/>
        <v>263618</v>
      </c>
      <c r="S736" s="26">
        <f t="shared" ca="1" si="530"/>
        <v>2938008</v>
      </c>
      <c r="T736" s="26">
        <f ca="1">IFERROR(__xludf.DUMMYFUNCTION("ROUND(GOOGLEFINANCE(""Currency:EURKZT"")*L736+S736)"),3355404)</f>
        <v>3355404</v>
      </c>
      <c r="U736" s="26">
        <f ca="1">IFERROR(__xludf.DUMMYFUNCTION("D736*GOOGLEFINANCE(""RUBKZT"")*1000/F736"),3978392.02040664)</f>
        <v>3978392.0204066401</v>
      </c>
      <c r="V736" s="27">
        <f t="shared" ca="1" si="531"/>
        <v>0.18566706733574859</v>
      </c>
    </row>
    <row r="737" spans="1:22" ht="12.75" customHeight="1" x14ac:dyDescent="0.2">
      <c r="A737" s="6" t="s">
        <v>35</v>
      </c>
      <c r="B737" s="6" t="s">
        <v>32</v>
      </c>
      <c r="C737" s="7">
        <v>110475</v>
      </c>
      <c r="D737" s="8">
        <v>9196.7999999999993</v>
      </c>
      <c r="E737" s="9" t="s">
        <v>16</v>
      </c>
      <c r="F737" s="23">
        <v>20</v>
      </c>
      <c r="G737" s="25"/>
      <c r="H737" s="14">
        <f t="shared" si="525"/>
        <v>0.55000000000000004</v>
      </c>
      <c r="I737" s="25">
        <f ca="1">IFERROR(__xludf.DUMMYFUNCTION("ROUND(D737*GOOGLEFINANCE(""RUBKZT"")*H737)"),39472)</f>
        <v>39472</v>
      </c>
      <c r="J737" s="26">
        <f ca="1">IFERROR(__xludf.DUMMYFUNCTION("ROUND(I737*GOOGLEFINANCE(""KZTEUR""))"),83)</f>
        <v>83</v>
      </c>
      <c r="K737" s="26">
        <f t="shared" ca="1" si="526"/>
        <v>4150</v>
      </c>
      <c r="L737" s="26">
        <f t="shared" ca="1" si="527"/>
        <v>788.5</v>
      </c>
      <c r="M737" s="26">
        <f t="shared" ref="M737:N737" si="753">M$3</f>
        <v>500</v>
      </c>
      <c r="N737" s="26">
        <f t="shared" si="753"/>
        <v>500</v>
      </c>
      <c r="O737" s="26">
        <f ca="1">IFERROR(__xludf.DUMMYFUNCTION("ROUND(GOOGLEFINANCE(""Currency:EURKZT"")*K737)"),1981914)</f>
        <v>1981914</v>
      </c>
      <c r="P737" s="26">
        <f ca="1">IFERROR(__xludf.DUMMYFUNCTION("ROUND(GOOGLEFINANCE(""Currency:EURKZT"")*M737)"),238785)</f>
        <v>238785</v>
      </c>
      <c r="Q737" s="26">
        <f ca="1">IFERROR(__xludf.DUMMYFUNCTION("ROUND(GOOGLEFINANCE(""Currency:EURKZT"")*N737)"),238785)</f>
        <v>238785</v>
      </c>
      <c r="R737" s="26">
        <f t="shared" ca="1" si="529"/>
        <v>237830</v>
      </c>
      <c r="S737" s="26">
        <f t="shared" ca="1" si="530"/>
        <v>2697314</v>
      </c>
      <c r="T737" s="26">
        <f ca="1">IFERROR(__xludf.DUMMYFUNCTION("ROUND(GOOGLEFINANCE(""Currency:EURKZT"")*L737+S737)"),3073878)</f>
        <v>3073878</v>
      </c>
      <c r="U737" s="26">
        <f ca="1">IFERROR(__xludf.DUMMYFUNCTION("D737*GOOGLEFINANCE(""RUBKZT"")*1000/F737"),3588371.94826368)</f>
        <v>3588371.9482636801</v>
      </c>
      <c r="V737" s="27">
        <f t="shared" ca="1" si="531"/>
        <v>0.16737617701928317</v>
      </c>
    </row>
    <row r="738" spans="1:22" ht="12.75" customHeight="1" x14ac:dyDescent="0.2">
      <c r="A738" s="6" t="s">
        <v>36</v>
      </c>
      <c r="B738" s="6" t="s">
        <v>32</v>
      </c>
      <c r="C738" s="7">
        <v>110478</v>
      </c>
      <c r="D738" s="8">
        <v>8870.4</v>
      </c>
      <c r="E738" s="9" t="s">
        <v>16</v>
      </c>
      <c r="F738" s="23">
        <v>20</v>
      </c>
      <c r="G738" s="25"/>
      <c r="H738" s="14">
        <f t="shared" si="525"/>
        <v>0.55000000000000004</v>
      </c>
      <c r="I738" s="25">
        <f ca="1">IFERROR(__xludf.DUMMYFUNCTION("ROUND(D738*GOOGLEFINANCE(""RUBKZT"")*H738)"),38071)</f>
        <v>38071</v>
      </c>
      <c r="J738" s="26">
        <f ca="1">IFERROR(__xludf.DUMMYFUNCTION("ROUND(I738*GOOGLEFINANCE(""KZTEUR""))"),80)</f>
        <v>80</v>
      </c>
      <c r="K738" s="26">
        <f t="shared" ca="1" si="526"/>
        <v>4000</v>
      </c>
      <c r="L738" s="26">
        <f t="shared" ca="1" si="527"/>
        <v>760</v>
      </c>
      <c r="M738" s="26">
        <f t="shared" ref="M738:N738" si="754">M$3</f>
        <v>500</v>
      </c>
      <c r="N738" s="26">
        <f t="shared" si="754"/>
        <v>500</v>
      </c>
      <c r="O738" s="26">
        <f ca="1">IFERROR(__xludf.DUMMYFUNCTION("ROUND(GOOGLEFINANCE(""Currency:EURKZT"")*K738)"),1910278)</f>
        <v>1910278</v>
      </c>
      <c r="P738" s="26">
        <f ca="1">IFERROR(__xludf.DUMMYFUNCTION("ROUND(GOOGLEFINANCE(""Currency:EURKZT"")*M738)"),238785)</f>
        <v>238785</v>
      </c>
      <c r="Q738" s="26">
        <f ca="1">IFERROR(__xludf.DUMMYFUNCTION("ROUND(GOOGLEFINANCE(""Currency:EURKZT"")*N738)"),238785)</f>
        <v>238785</v>
      </c>
      <c r="R738" s="26">
        <f t="shared" ca="1" si="529"/>
        <v>229233</v>
      </c>
      <c r="S738" s="26">
        <f t="shared" ca="1" si="530"/>
        <v>2617081</v>
      </c>
      <c r="T738" s="26">
        <f ca="1">IFERROR(__xludf.DUMMYFUNCTION("ROUND(GOOGLEFINANCE(""Currency:EURKZT"")*L738+S738)"),2980034)</f>
        <v>2980034</v>
      </c>
      <c r="U738" s="26">
        <f ca="1">IFERROR(__xludf.DUMMYFUNCTION("D738*GOOGLEFINANCE(""RUBKZT"")*1000/F738"),3461018.45531904)</f>
        <v>3461018.45531904</v>
      </c>
      <c r="V738" s="27">
        <f t="shared" ca="1" si="531"/>
        <v>0.16140233813407498</v>
      </c>
    </row>
    <row r="739" spans="1:22" ht="12.75" customHeight="1" x14ac:dyDescent="0.2">
      <c r="A739" s="6" t="s">
        <v>37</v>
      </c>
      <c r="B739" s="6" t="s">
        <v>32</v>
      </c>
      <c r="C739" s="7">
        <v>110481</v>
      </c>
      <c r="D739" s="8">
        <v>9056.4</v>
      </c>
      <c r="E739" s="9" t="s">
        <v>16</v>
      </c>
      <c r="F739" s="23">
        <v>20</v>
      </c>
      <c r="G739" s="25"/>
      <c r="H739" s="14">
        <f t="shared" si="525"/>
        <v>0.55000000000000004</v>
      </c>
      <c r="I739" s="25">
        <f ca="1">IFERROR(__xludf.DUMMYFUNCTION("ROUND(D739*GOOGLEFINANCE(""RUBKZT"")*H739)"),38870)</f>
        <v>38870</v>
      </c>
      <c r="J739" s="26">
        <f ca="1">IFERROR(__xludf.DUMMYFUNCTION("ROUND(I739*GOOGLEFINANCE(""KZTEUR""))"),81)</f>
        <v>81</v>
      </c>
      <c r="K739" s="26">
        <f t="shared" ca="1" si="526"/>
        <v>4050</v>
      </c>
      <c r="L739" s="26">
        <f t="shared" ca="1" si="527"/>
        <v>769.5</v>
      </c>
      <c r="M739" s="26">
        <f t="shared" ref="M739:N739" si="755">M$3</f>
        <v>500</v>
      </c>
      <c r="N739" s="26">
        <f t="shared" si="755"/>
        <v>500</v>
      </c>
      <c r="O739" s="26">
        <f ca="1">IFERROR(__xludf.DUMMYFUNCTION("ROUND(GOOGLEFINANCE(""Currency:EURKZT"")*K739)"),1934157)</f>
        <v>1934157</v>
      </c>
      <c r="P739" s="26">
        <f ca="1">IFERROR(__xludf.DUMMYFUNCTION("ROUND(GOOGLEFINANCE(""Currency:EURKZT"")*M739)"),238785)</f>
        <v>238785</v>
      </c>
      <c r="Q739" s="26">
        <f ca="1">IFERROR(__xludf.DUMMYFUNCTION("ROUND(GOOGLEFINANCE(""Currency:EURKZT"")*N739)"),238785)</f>
        <v>238785</v>
      </c>
      <c r="R739" s="26">
        <f t="shared" ca="1" si="529"/>
        <v>232099</v>
      </c>
      <c r="S739" s="26">
        <f t="shared" ca="1" si="530"/>
        <v>2643826</v>
      </c>
      <c r="T739" s="26">
        <f ca="1">IFERROR(__xludf.DUMMYFUNCTION("ROUND(GOOGLEFINANCE(""Currency:EURKZT"")*L739+S739)"),3011316)</f>
        <v>3011316</v>
      </c>
      <c r="U739" s="26">
        <f ca="1">IFERROR(__xludf.DUMMYFUNCTION("D739*GOOGLEFINANCE(""RUBKZT"")*1000/F739"),3533591.21784264)</f>
        <v>3533591.2178426399</v>
      </c>
      <c r="V739" s="27">
        <f t="shared" ca="1" si="531"/>
        <v>0.17343753290675568</v>
      </c>
    </row>
    <row r="740" spans="1:22" ht="12.75" customHeight="1" x14ac:dyDescent="0.2">
      <c r="A740" s="6" t="s">
        <v>38</v>
      </c>
      <c r="B740" s="6" t="s">
        <v>32</v>
      </c>
      <c r="C740" s="7">
        <v>110484</v>
      </c>
      <c r="D740" s="8">
        <v>11161.199999999999</v>
      </c>
      <c r="E740" s="9" t="s">
        <v>16</v>
      </c>
      <c r="F740" s="23">
        <v>20</v>
      </c>
      <c r="G740" s="25"/>
      <c r="H740" s="14">
        <f t="shared" si="525"/>
        <v>0.55000000000000004</v>
      </c>
      <c r="I740" s="25">
        <f ca="1">IFERROR(__xludf.DUMMYFUNCTION("ROUND(D740*GOOGLEFINANCE(""RUBKZT"")*H740)"),47903)</f>
        <v>47903</v>
      </c>
      <c r="J740" s="26">
        <f ca="1">IFERROR(__xludf.DUMMYFUNCTION("ROUND(I740*GOOGLEFINANCE(""KZTEUR""))"),100)</f>
        <v>100</v>
      </c>
      <c r="K740" s="26">
        <f t="shared" ca="1" si="526"/>
        <v>5000</v>
      </c>
      <c r="L740" s="26">
        <f t="shared" ca="1" si="527"/>
        <v>950</v>
      </c>
      <c r="M740" s="26">
        <f t="shared" ref="M740:N740" si="756">M$3</f>
        <v>500</v>
      </c>
      <c r="N740" s="26">
        <f t="shared" si="756"/>
        <v>500</v>
      </c>
      <c r="O740" s="26">
        <f ca="1">IFERROR(__xludf.DUMMYFUNCTION("ROUND(GOOGLEFINANCE(""Currency:EURKZT"")*K740)"),2387848)</f>
        <v>2387848</v>
      </c>
      <c r="P740" s="26">
        <f ca="1">IFERROR(__xludf.DUMMYFUNCTION("ROUND(GOOGLEFINANCE(""Currency:EURKZT"")*M740)"),238785)</f>
        <v>238785</v>
      </c>
      <c r="Q740" s="26">
        <f ca="1">IFERROR(__xludf.DUMMYFUNCTION("ROUND(GOOGLEFINANCE(""Currency:EURKZT"")*N740)"),238785)</f>
        <v>238785</v>
      </c>
      <c r="R740" s="26">
        <f t="shared" ca="1" si="529"/>
        <v>286542</v>
      </c>
      <c r="S740" s="26">
        <f t="shared" ca="1" si="530"/>
        <v>3151960</v>
      </c>
      <c r="T740" s="26">
        <f ca="1">IFERROR(__xludf.DUMMYFUNCTION("ROUND(GOOGLEFINANCE(""Currency:EURKZT"")*L740+S740)"),3605651)</f>
        <v>3605651</v>
      </c>
      <c r="U740" s="26">
        <f ca="1">IFERROR(__xludf.DUMMYFUNCTION("D740*GOOGLEFINANCE(""RUBKZT"")*1000/F740"),4354833.96278712)</f>
        <v>4354833.9627871197</v>
      </c>
      <c r="V740" s="27">
        <f t="shared" ca="1" si="531"/>
        <v>0.2077802213212315</v>
      </c>
    </row>
    <row r="741" spans="1:22" ht="12.75" customHeight="1" x14ac:dyDescent="0.2">
      <c r="A741" s="6" t="s">
        <v>39</v>
      </c>
      <c r="B741" s="6" t="s">
        <v>32</v>
      </c>
      <c r="C741" s="7">
        <v>110487</v>
      </c>
      <c r="D741" s="8">
        <v>11019.6</v>
      </c>
      <c r="E741" s="9" t="s">
        <v>16</v>
      </c>
      <c r="F741" s="23">
        <v>20</v>
      </c>
      <c r="G741" s="25"/>
      <c r="H741" s="14">
        <f t="shared" si="525"/>
        <v>0.55000000000000004</v>
      </c>
      <c r="I741" s="25">
        <f ca="1">IFERROR(__xludf.DUMMYFUNCTION("ROUND(D741*GOOGLEFINANCE(""RUBKZT"")*H741)"),47295)</f>
        <v>47295</v>
      </c>
      <c r="J741" s="26">
        <f ca="1">IFERROR(__xludf.DUMMYFUNCTION("ROUND(I741*GOOGLEFINANCE(""KZTEUR""))"),99)</f>
        <v>99</v>
      </c>
      <c r="K741" s="26">
        <f t="shared" ca="1" si="526"/>
        <v>4950</v>
      </c>
      <c r="L741" s="26">
        <f t="shared" ca="1" si="527"/>
        <v>940.5</v>
      </c>
      <c r="M741" s="26">
        <f t="shared" ref="M741:N741" si="757">M$3</f>
        <v>500</v>
      </c>
      <c r="N741" s="26">
        <f t="shared" si="757"/>
        <v>500</v>
      </c>
      <c r="O741" s="26">
        <f ca="1">IFERROR(__xludf.DUMMYFUNCTION("ROUND(GOOGLEFINANCE(""Currency:EURKZT"")*K741)"),2363970)</f>
        <v>2363970</v>
      </c>
      <c r="P741" s="26">
        <f ca="1">IFERROR(__xludf.DUMMYFUNCTION("ROUND(GOOGLEFINANCE(""Currency:EURKZT"")*M741)"),238785)</f>
        <v>238785</v>
      </c>
      <c r="Q741" s="26">
        <f ca="1">IFERROR(__xludf.DUMMYFUNCTION("ROUND(GOOGLEFINANCE(""Currency:EURKZT"")*N741)"),238785)</f>
        <v>238785</v>
      </c>
      <c r="R741" s="26">
        <f t="shared" ca="1" si="529"/>
        <v>283676</v>
      </c>
      <c r="S741" s="26">
        <f t="shared" ca="1" si="530"/>
        <v>3125216</v>
      </c>
      <c r="T741" s="26">
        <f ca="1">IFERROR(__xludf.DUMMYFUNCTION("ROUND(GOOGLEFINANCE(""Currency:EURKZT"")*L741+S741)"),3574370)</f>
        <v>3574370</v>
      </c>
      <c r="U741" s="26">
        <f ca="1">IFERROR(__xludf.DUMMYFUNCTION("D741*GOOGLEFINANCE(""RUBKZT"")*1000/F741"),4299585.02099496)</f>
        <v>4299585.0209949603</v>
      </c>
      <c r="V741" s="27">
        <f t="shared" ca="1" si="531"/>
        <v>0.20289310311886019</v>
      </c>
    </row>
    <row r="742" spans="1:22" ht="12.75" customHeight="1" x14ac:dyDescent="0.2">
      <c r="A742" s="6" t="s">
        <v>40</v>
      </c>
      <c r="B742" s="6" t="s">
        <v>32</v>
      </c>
      <c r="C742" s="7">
        <v>110490</v>
      </c>
      <c r="D742" s="8">
        <v>11205.6</v>
      </c>
      <c r="E742" s="9" t="s">
        <v>16</v>
      </c>
      <c r="F742" s="23">
        <v>20</v>
      </c>
      <c r="G742" s="25"/>
      <c r="H742" s="14">
        <f t="shared" si="525"/>
        <v>0.55000000000000004</v>
      </c>
      <c r="I742" s="25">
        <f ca="1">IFERROR(__xludf.DUMMYFUNCTION("ROUND(D742*GOOGLEFINANCE(""RUBKZT"")*H742)"),48094)</f>
        <v>48094</v>
      </c>
      <c r="J742" s="26">
        <f ca="1">IFERROR(__xludf.DUMMYFUNCTION("ROUND(I742*GOOGLEFINANCE(""KZTEUR""))"),101)</f>
        <v>101</v>
      </c>
      <c r="K742" s="26">
        <f t="shared" ca="1" si="526"/>
        <v>5050</v>
      </c>
      <c r="L742" s="26">
        <f t="shared" ca="1" si="527"/>
        <v>959.5</v>
      </c>
      <c r="M742" s="26">
        <f t="shared" ref="M742:N742" si="758">M$3</f>
        <v>500</v>
      </c>
      <c r="N742" s="26">
        <f t="shared" si="758"/>
        <v>500</v>
      </c>
      <c r="O742" s="26">
        <f ca="1">IFERROR(__xludf.DUMMYFUNCTION("ROUND(GOOGLEFINANCE(""Currency:EURKZT"")*K742)"),2411727)</f>
        <v>2411727</v>
      </c>
      <c r="P742" s="26">
        <f ca="1">IFERROR(__xludf.DUMMYFUNCTION("ROUND(GOOGLEFINANCE(""Currency:EURKZT"")*M742)"),238785)</f>
        <v>238785</v>
      </c>
      <c r="Q742" s="26">
        <f ca="1">IFERROR(__xludf.DUMMYFUNCTION("ROUND(GOOGLEFINANCE(""Currency:EURKZT"")*N742)"),238785)</f>
        <v>238785</v>
      </c>
      <c r="R742" s="26">
        <f t="shared" ca="1" si="529"/>
        <v>289407</v>
      </c>
      <c r="S742" s="26">
        <f t="shared" ca="1" si="530"/>
        <v>3178704</v>
      </c>
      <c r="T742" s="26">
        <f ca="1">IFERROR(__xludf.DUMMYFUNCTION("ROUND(GOOGLEFINANCE(""Currency:EURKZT"")*L742+S742)"),3636932)</f>
        <v>3636932</v>
      </c>
      <c r="U742" s="26">
        <f ca="1">IFERROR(__xludf.DUMMYFUNCTION("D742*GOOGLEFINANCE(""RUBKZT"")*1000/F742"),4372157.78351856)</f>
        <v>4372157.7835185602</v>
      </c>
      <c r="V742" s="27">
        <f t="shared" ca="1" si="531"/>
        <v>0.20215549356396001</v>
      </c>
    </row>
    <row r="743" spans="1:22" ht="12.75" customHeight="1" x14ac:dyDescent="0.2">
      <c r="A743" s="6" t="s">
        <v>42</v>
      </c>
      <c r="B743" s="6" t="s">
        <v>32</v>
      </c>
      <c r="C743" s="7">
        <v>110495</v>
      </c>
      <c r="D743" s="8">
        <v>11764.8</v>
      </c>
      <c r="E743" s="9" t="s">
        <v>16</v>
      </c>
      <c r="F743" s="23">
        <v>20</v>
      </c>
      <c r="G743" s="25"/>
      <c r="H743" s="14">
        <f t="shared" si="525"/>
        <v>0.55000000000000004</v>
      </c>
      <c r="I743" s="25">
        <f ca="1">IFERROR(__xludf.DUMMYFUNCTION("ROUND(D743*GOOGLEFINANCE(""RUBKZT"")*H743)"),50494)</f>
        <v>50494</v>
      </c>
      <c r="J743" s="26">
        <f ca="1">IFERROR(__xludf.DUMMYFUNCTION("ROUND(I743*GOOGLEFINANCE(""KZTEUR""))"),106)</f>
        <v>106</v>
      </c>
      <c r="K743" s="26">
        <f t="shared" ca="1" si="526"/>
        <v>5300</v>
      </c>
      <c r="L743" s="26">
        <f t="shared" ca="1" si="527"/>
        <v>1007</v>
      </c>
      <c r="M743" s="26">
        <f t="shared" ref="M743:N743" si="759">M$3</f>
        <v>500</v>
      </c>
      <c r="N743" s="26">
        <f t="shared" si="759"/>
        <v>500</v>
      </c>
      <c r="O743" s="26">
        <f ca="1">IFERROR(__xludf.DUMMYFUNCTION("ROUND(GOOGLEFINANCE(""Currency:EURKZT"")*K743)"),2531119)</f>
        <v>2531119</v>
      </c>
      <c r="P743" s="26">
        <f ca="1">IFERROR(__xludf.DUMMYFUNCTION("ROUND(GOOGLEFINANCE(""Currency:EURKZT"")*M743)"),238785)</f>
        <v>238785</v>
      </c>
      <c r="Q743" s="26">
        <f ca="1">IFERROR(__xludf.DUMMYFUNCTION("ROUND(GOOGLEFINANCE(""Currency:EURKZT"")*N743)"),238785)</f>
        <v>238785</v>
      </c>
      <c r="R743" s="26">
        <f t="shared" ca="1" si="529"/>
        <v>303734</v>
      </c>
      <c r="S743" s="26">
        <f t="shared" ca="1" si="530"/>
        <v>3312423</v>
      </c>
      <c r="T743" s="26">
        <f ca="1">IFERROR(__xludf.DUMMYFUNCTION("ROUND(GOOGLEFINANCE(""Currency:EURKZT"")*L743+S743)"),3793336)</f>
        <v>3793336</v>
      </c>
      <c r="U743" s="26">
        <f ca="1">IFERROR(__xludf.DUMMYFUNCTION("D743*GOOGLEFINANCE(""RUBKZT"")*1000/F743"),4590344.28246047)</f>
        <v>4590344.2824604698</v>
      </c>
      <c r="V743" s="27">
        <f t="shared" ca="1" si="531"/>
        <v>0.21010748387711231</v>
      </c>
    </row>
    <row r="744" spans="1:22" ht="12.75" customHeight="1" x14ac:dyDescent="0.2">
      <c r="A744" s="6" t="s">
        <v>45</v>
      </c>
      <c r="B744" s="6" t="s">
        <v>32</v>
      </c>
      <c r="C744" s="7">
        <v>110514</v>
      </c>
      <c r="D744" s="8">
        <v>22392</v>
      </c>
      <c r="E744" s="9" t="s">
        <v>16</v>
      </c>
      <c r="F744" s="23">
        <v>20</v>
      </c>
      <c r="G744" s="25"/>
      <c r="H744" s="14">
        <f t="shared" si="525"/>
        <v>0.55000000000000004</v>
      </c>
      <c r="I744" s="25">
        <f ca="1">IFERROR(__xludf.DUMMYFUNCTION("ROUND(D744*GOOGLEFINANCE(""RUBKZT"")*H744)"),96105)</f>
        <v>96105</v>
      </c>
      <c r="J744" s="26">
        <f ca="1">IFERROR(__xludf.DUMMYFUNCTION("ROUND(I744*GOOGLEFINANCE(""KZTEUR""))"),201)</f>
        <v>201</v>
      </c>
      <c r="K744" s="26">
        <f t="shared" ca="1" si="526"/>
        <v>10050</v>
      </c>
      <c r="L744" s="26">
        <f t="shared" ca="1" si="527"/>
        <v>1909.5</v>
      </c>
      <c r="M744" s="26">
        <f t="shared" ref="M744:N744" si="760">M$3</f>
        <v>500</v>
      </c>
      <c r="N744" s="26">
        <f t="shared" si="760"/>
        <v>500</v>
      </c>
      <c r="O744" s="26">
        <f ca="1">IFERROR(__xludf.DUMMYFUNCTION("ROUND(GOOGLEFINANCE(""Currency:EURKZT"")*K744)"),4799575)</f>
        <v>4799575</v>
      </c>
      <c r="P744" s="26">
        <f ca="1">IFERROR(__xludf.DUMMYFUNCTION("ROUND(GOOGLEFINANCE(""Currency:EURKZT"")*M744)"),238785)</f>
        <v>238785</v>
      </c>
      <c r="Q744" s="26">
        <f ca="1">IFERROR(__xludf.DUMMYFUNCTION("ROUND(GOOGLEFINANCE(""Currency:EURKZT"")*N744)"),238785)</f>
        <v>238785</v>
      </c>
      <c r="R744" s="26">
        <f t="shared" ca="1" si="529"/>
        <v>575949</v>
      </c>
      <c r="S744" s="26">
        <f t="shared" ca="1" si="530"/>
        <v>5853094</v>
      </c>
      <c r="T744" s="26">
        <f ca="1">IFERROR(__xludf.DUMMYFUNCTION("ROUND(GOOGLEFINANCE(""Currency:EURKZT"")*L744+S744)"),6765013)</f>
        <v>6765013</v>
      </c>
      <c r="U744" s="26">
        <f ca="1">IFERROR(__xludf.DUMMYFUNCTION("D744*GOOGLEFINANCE(""RUBKZT"")*1000/F744"),8736824.1850992)</f>
        <v>8736824.1850991994</v>
      </c>
      <c r="V744" s="27">
        <f t="shared" ca="1" si="531"/>
        <v>0.29147189888610703</v>
      </c>
    </row>
    <row r="745" spans="1:22" ht="12.75" customHeight="1" x14ac:dyDescent="0.2">
      <c r="A745" s="6" t="s">
        <v>46</v>
      </c>
      <c r="B745" s="6" t="s">
        <v>32</v>
      </c>
      <c r="C745" s="7">
        <v>110515</v>
      </c>
      <c r="D745" s="8">
        <v>25195.200000000001</v>
      </c>
      <c r="E745" s="9" t="s">
        <v>16</v>
      </c>
      <c r="F745" s="23">
        <v>20</v>
      </c>
      <c r="G745" s="25"/>
      <c r="H745" s="14">
        <f t="shared" si="525"/>
        <v>0.55000000000000004</v>
      </c>
      <c r="I745" s="25">
        <f ca="1">IFERROR(__xludf.DUMMYFUNCTION("ROUND(D745*GOOGLEFINANCE(""RUBKZT"")*H745)"),108136)</f>
        <v>108136</v>
      </c>
      <c r="J745" s="26">
        <f ca="1">IFERROR(__xludf.DUMMYFUNCTION("ROUND(I745*GOOGLEFINANCE(""KZTEUR""))"),226)</f>
        <v>226</v>
      </c>
      <c r="K745" s="26">
        <f t="shared" ca="1" si="526"/>
        <v>11300</v>
      </c>
      <c r="L745" s="26">
        <f t="shared" ca="1" si="527"/>
        <v>2147</v>
      </c>
      <c r="M745" s="26">
        <f t="shared" ref="M745:N745" si="761">M$3</f>
        <v>500</v>
      </c>
      <c r="N745" s="26">
        <f t="shared" si="761"/>
        <v>500</v>
      </c>
      <c r="O745" s="26">
        <f ca="1">IFERROR(__xludf.DUMMYFUNCTION("ROUND(GOOGLEFINANCE(""Currency:EURKZT"")*K745)"),5396537)</f>
        <v>5396537</v>
      </c>
      <c r="P745" s="26">
        <f ca="1">IFERROR(__xludf.DUMMYFUNCTION("ROUND(GOOGLEFINANCE(""Currency:EURKZT"")*M745)"),238785)</f>
        <v>238785</v>
      </c>
      <c r="Q745" s="26">
        <f ca="1">IFERROR(__xludf.DUMMYFUNCTION("ROUND(GOOGLEFINANCE(""Currency:EURKZT"")*N745)"),238785)</f>
        <v>238785</v>
      </c>
      <c r="R745" s="26">
        <f t="shared" ca="1" si="529"/>
        <v>647584</v>
      </c>
      <c r="S745" s="26">
        <f t="shared" ca="1" si="530"/>
        <v>6521691</v>
      </c>
      <c r="T745" s="26">
        <f ca="1">IFERROR(__xludf.DUMMYFUNCTION("ROUND(GOOGLEFINANCE(""Currency:EURKZT"")*L745+S745)"),7547033)</f>
        <v>7547033</v>
      </c>
      <c r="U745" s="26">
        <f ca="1">IFERROR(__xludf.DUMMYFUNCTION("D745*GOOGLEFINANCE(""RUBKZT"")*1000/F745"),9830565.94803552)</f>
        <v>9830565.9480355196</v>
      </c>
      <c r="V745" s="27">
        <f t="shared" ca="1" si="531"/>
        <v>0.3025736005176497</v>
      </c>
    </row>
    <row r="746" spans="1:22" ht="12.75" customHeight="1" x14ac:dyDescent="0.2">
      <c r="A746" s="6" t="s">
        <v>47</v>
      </c>
      <c r="B746" s="6" t="s">
        <v>32</v>
      </c>
      <c r="C746" s="7">
        <v>110516</v>
      </c>
      <c r="D746" s="8">
        <v>25430.399999999998</v>
      </c>
      <c r="E746" s="9" t="s">
        <v>16</v>
      </c>
      <c r="F746" s="23">
        <v>20</v>
      </c>
      <c r="G746" s="25"/>
      <c r="H746" s="14">
        <f t="shared" si="525"/>
        <v>0.55000000000000004</v>
      </c>
      <c r="I746" s="25">
        <f ca="1">IFERROR(__xludf.DUMMYFUNCTION("ROUND(D746*GOOGLEFINANCE(""RUBKZT"")*H746)"),109146)</f>
        <v>109146</v>
      </c>
      <c r="J746" s="26">
        <f ca="1">IFERROR(__xludf.DUMMYFUNCTION("ROUND(I746*GOOGLEFINANCE(""KZTEUR""))"),229)</f>
        <v>229</v>
      </c>
      <c r="K746" s="26">
        <f t="shared" ca="1" si="526"/>
        <v>11450</v>
      </c>
      <c r="L746" s="26">
        <f t="shared" ca="1" si="527"/>
        <v>2175.5</v>
      </c>
      <c r="M746" s="26">
        <f t="shared" ref="M746:N746" si="762">M$3</f>
        <v>500</v>
      </c>
      <c r="N746" s="26">
        <f t="shared" si="762"/>
        <v>500</v>
      </c>
      <c r="O746" s="26">
        <f ca="1">IFERROR(__xludf.DUMMYFUNCTION("ROUND(GOOGLEFINANCE(""Currency:EURKZT"")*K746)"),5468172)</f>
        <v>5468172</v>
      </c>
      <c r="P746" s="26">
        <f ca="1">IFERROR(__xludf.DUMMYFUNCTION("ROUND(GOOGLEFINANCE(""Currency:EURKZT"")*M746)"),238785)</f>
        <v>238785</v>
      </c>
      <c r="Q746" s="26">
        <f ca="1">IFERROR(__xludf.DUMMYFUNCTION("ROUND(GOOGLEFINANCE(""Currency:EURKZT"")*N746)"),238785)</f>
        <v>238785</v>
      </c>
      <c r="R746" s="26">
        <f t="shared" ca="1" si="529"/>
        <v>656181</v>
      </c>
      <c r="S746" s="26">
        <f t="shared" ca="1" si="530"/>
        <v>6601923</v>
      </c>
      <c r="T746" s="26">
        <f ca="1">IFERROR(__xludf.DUMMYFUNCTION("ROUND(GOOGLEFINANCE(""Currency:EURKZT"")*L746+S746)"),7640876)</f>
        <v>7640876</v>
      </c>
      <c r="U746" s="26">
        <f ca="1">IFERROR(__xludf.DUMMYFUNCTION("D746*GOOGLEFINANCE(""RUBKZT"")*1000/F746"),9922335.37677504)</f>
        <v>9922335.3767750394</v>
      </c>
      <c r="V746" s="27">
        <f t="shared" ca="1" si="531"/>
        <v>0.29858610148562015</v>
      </c>
    </row>
    <row r="747" spans="1:22" ht="12.75" customHeight="1" x14ac:dyDescent="0.2">
      <c r="A747" s="6" t="s">
        <v>58</v>
      </c>
      <c r="B747" s="6" t="s">
        <v>32</v>
      </c>
      <c r="C747" s="7">
        <v>110556</v>
      </c>
      <c r="D747" s="8">
        <v>11965.199999999999</v>
      </c>
      <c r="E747" s="9" t="s">
        <v>16</v>
      </c>
      <c r="F747" s="23">
        <v>20</v>
      </c>
      <c r="G747" s="25"/>
      <c r="H747" s="14">
        <f t="shared" si="525"/>
        <v>0.55000000000000004</v>
      </c>
      <c r="I747" s="25">
        <f ca="1">IFERROR(__xludf.DUMMYFUNCTION("ROUND(D747*GOOGLEFINANCE(""RUBKZT"")*H747)"),51354)</f>
        <v>51354</v>
      </c>
      <c r="J747" s="26">
        <f ca="1">IFERROR(__xludf.DUMMYFUNCTION("ROUND(I747*GOOGLEFINANCE(""KZTEUR""))"),108)</f>
        <v>108</v>
      </c>
      <c r="K747" s="26">
        <f t="shared" ca="1" si="526"/>
        <v>5400</v>
      </c>
      <c r="L747" s="26">
        <f t="shared" ca="1" si="527"/>
        <v>1026</v>
      </c>
      <c r="M747" s="26">
        <f t="shared" ref="M747:N747" si="763">M$3</f>
        <v>500</v>
      </c>
      <c r="N747" s="26">
        <f t="shared" si="763"/>
        <v>500</v>
      </c>
      <c r="O747" s="26">
        <f ca="1">IFERROR(__xludf.DUMMYFUNCTION("ROUND(GOOGLEFINANCE(""Currency:EURKZT"")*K747)"),2578876)</f>
        <v>2578876</v>
      </c>
      <c r="P747" s="26">
        <f ca="1">IFERROR(__xludf.DUMMYFUNCTION("ROUND(GOOGLEFINANCE(""Currency:EURKZT"")*M747)"),238785)</f>
        <v>238785</v>
      </c>
      <c r="Q747" s="26">
        <f ca="1">IFERROR(__xludf.DUMMYFUNCTION("ROUND(GOOGLEFINANCE(""Currency:EURKZT"")*N747)"),238785)</f>
        <v>238785</v>
      </c>
      <c r="R747" s="26">
        <f t="shared" ca="1" si="529"/>
        <v>309465</v>
      </c>
      <c r="S747" s="26">
        <f t="shared" ca="1" si="530"/>
        <v>3365911</v>
      </c>
      <c r="T747" s="26">
        <f ca="1">IFERROR(__xludf.DUMMYFUNCTION("ROUND(GOOGLEFINANCE(""Currency:EURKZT"")*L747+S747)"),3855897)</f>
        <v>3855897</v>
      </c>
      <c r="U747" s="26">
        <f ca="1">IFERROR(__xludf.DUMMYFUNCTION("D747*GOOGLEFINANCE(""RUBKZT"")*1000/F747"),4668535.58143752)</f>
        <v>4668535.5814375198</v>
      </c>
      <c r="V747" s="27">
        <f t="shared" ca="1" si="531"/>
        <v>0.21075214961331171</v>
      </c>
    </row>
    <row r="748" spans="1:22" ht="12.75" customHeight="1" x14ac:dyDescent="0.2">
      <c r="A748" s="6" t="s">
        <v>59</v>
      </c>
      <c r="B748" s="6" t="s">
        <v>32</v>
      </c>
      <c r="C748" s="7">
        <v>110569</v>
      </c>
      <c r="D748" s="8">
        <v>8954.4</v>
      </c>
      <c r="E748" s="9" t="s">
        <v>16</v>
      </c>
      <c r="F748" s="23">
        <v>20</v>
      </c>
      <c r="G748" s="25"/>
      <c r="H748" s="14">
        <f t="shared" si="525"/>
        <v>0.55000000000000004</v>
      </c>
      <c r="I748" s="25">
        <f ca="1">IFERROR(__xludf.DUMMYFUNCTION("ROUND(D748*GOOGLEFINANCE(""RUBKZT"")*H748)"),38432)</f>
        <v>38432</v>
      </c>
      <c r="J748" s="26">
        <f ca="1">IFERROR(__xludf.DUMMYFUNCTION("ROUND(I748*GOOGLEFINANCE(""KZTEUR""))"),80)</f>
        <v>80</v>
      </c>
      <c r="K748" s="26">
        <f t="shared" ca="1" si="526"/>
        <v>4000</v>
      </c>
      <c r="L748" s="26">
        <f t="shared" ca="1" si="527"/>
        <v>760</v>
      </c>
      <c r="M748" s="26">
        <f t="shared" ref="M748:N748" si="764">M$3</f>
        <v>500</v>
      </c>
      <c r="N748" s="26">
        <f t="shared" si="764"/>
        <v>500</v>
      </c>
      <c r="O748" s="26">
        <f ca="1">IFERROR(__xludf.DUMMYFUNCTION("ROUND(GOOGLEFINANCE(""Currency:EURKZT"")*K748)"),1910278)</f>
        <v>1910278</v>
      </c>
      <c r="P748" s="26">
        <f ca="1">IFERROR(__xludf.DUMMYFUNCTION("ROUND(GOOGLEFINANCE(""Currency:EURKZT"")*M748)"),238785)</f>
        <v>238785</v>
      </c>
      <c r="Q748" s="26">
        <f ca="1">IFERROR(__xludf.DUMMYFUNCTION("ROUND(GOOGLEFINANCE(""Currency:EURKZT"")*N748)"),238785)</f>
        <v>238785</v>
      </c>
      <c r="R748" s="26">
        <f t="shared" ca="1" si="529"/>
        <v>229233</v>
      </c>
      <c r="S748" s="26">
        <f t="shared" ca="1" si="530"/>
        <v>2617081</v>
      </c>
      <c r="T748" s="26">
        <f ca="1">IFERROR(__xludf.DUMMYFUNCTION("ROUND(GOOGLEFINANCE(""Currency:EURKZT"")*L748+S748)"),2980034)</f>
        <v>2980034</v>
      </c>
      <c r="U748" s="26">
        <f ca="1">IFERROR(__xludf.DUMMYFUNCTION("D748*GOOGLEFINANCE(""RUBKZT"")*1000/F748"),3493793.25129744)</f>
        <v>3493793.2512974399</v>
      </c>
      <c r="V748" s="27">
        <f t="shared" ca="1" si="531"/>
        <v>0.17240046633610218</v>
      </c>
    </row>
    <row r="749" spans="1:22" ht="12.75" customHeight="1" x14ac:dyDescent="0.2">
      <c r="A749" s="6" t="s">
        <v>60</v>
      </c>
      <c r="B749" s="6" t="s">
        <v>32</v>
      </c>
      <c r="C749" s="7">
        <v>110571</v>
      </c>
      <c r="D749" s="8">
        <v>8072.4</v>
      </c>
      <c r="E749" s="9" t="s">
        <v>16</v>
      </c>
      <c r="F749" s="23">
        <v>20</v>
      </c>
      <c r="G749" s="25"/>
      <c r="H749" s="14">
        <f t="shared" si="525"/>
        <v>0.55000000000000004</v>
      </c>
      <c r="I749" s="25">
        <f ca="1">IFERROR(__xludf.DUMMYFUNCTION("ROUND(D749*GOOGLEFINANCE(""RUBKZT"")*H749)"),34646)</f>
        <v>34646</v>
      </c>
      <c r="J749" s="26">
        <f ca="1">IFERROR(__xludf.DUMMYFUNCTION("ROUND(I749*GOOGLEFINANCE(""KZTEUR""))"),73)</f>
        <v>73</v>
      </c>
      <c r="K749" s="26">
        <f t="shared" ca="1" si="526"/>
        <v>3650</v>
      </c>
      <c r="L749" s="26">
        <f t="shared" ca="1" si="527"/>
        <v>693.5</v>
      </c>
      <c r="M749" s="26">
        <f t="shared" ref="M749:N749" si="765">M$3</f>
        <v>500</v>
      </c>
      <c r="N749" s="26">
        <f t="shared" si="765"/>
        <v>500</v>
      </c>
      <c r="O749" s="26">
        <f ca="1">IFERROR(__xludf.DUMMYFUNCTION("ROUND(GOOGLEFINANCE(""Currency:EURKZT"")*K749)"),1743129)</f>
        <v>1743129</v>
      </c>
      <c r="P749" s="26">
        <f ca="1">IFERROR(__xludf.DUMMYFUNCTION("ROUND(GOOGLEFINANCE(""Currency:EURKZT"")*M749)"),238785)</f>
        <v>238785</v>
      </c>
      <c r="Q749" s="26">
        <f ca="1">IFERROR(__xludf.DUMMYFUNCTION("ROUND(GOOGLEFINANCE(""Currency:EURKZT"")*N749)"),238785)</f>
        <v>238785</v>
      </c>
      <c r="R749" s="26">
        <f t="shared" ca="1" si="529"/>
        <v>209175</v>
      </c>
      <c r="S749" s="26">
        <f t="shared" ca="1" si="530"/>
        <v>2429874</v>
      </c>
      <c r="T749" s="26">
        <f ca="1">IFERROR(__xludf.DUMMYFUNCTION("ROUND(GOOGLEFINANCE(""Currency:EURKZT"")*L749+S749)"),2761069)</f>
        <v>2761069</v>
      </c>
      <c r="U749" s="26">
        <f ca="1">IFERROR(__xludf.DUMMYFUNCTION("D749*GOOGLEFINANCE(""RUBKZT"")*1000/F749"),3149657.89352424)</f>
        <v>3149657.8935242398</v>
      </c>
      <c r="V749" s="27">
        <f t="shared" ca="1" si="531"/>
        <v>0.14073856666538931</v>
      </c>
    </row>
    <row r="750" spans="1:22" ht="12.75" customHeight="1" x14ac:dyDescent="0.2">
      <c r="A750" s="6" t="s">
        <v>61</v>
      </c>
      <c r="B750" s="6" t="s">
        <v>32</v>
      </c>
      <c r="C750" s="7">
        <v>110574</v>
      </c>
      <c r="D750" s="8">
        <v>8718</v>
      </c>
      <c r="E750" s="9" t="s">
        <v>16</v>
      </c>
      <c r="F750" s="23">
        <v>20</v>
      </c>
      <c r="G750" s="25"/>
      <c r="H750" s="14">
        <f t="shared" si="525"/>
        <v>0.55000000000000004</v>
      </c>
      <c r="I750" s="25">
        <f ca="1">IFERROR(__xludf.DUMMYFUNCTION("ROUND(D750*GOOGLEFINANCE(""RUBKZT"")*H750)"),37417)</f>
        <v>37417</v>
      </c>
      <c r="J750" s="26">
        <f ca="1">IFERROR(__xludf.DUMMYFUNCTION("ROUND(I750*GOOGLEFINANCE(""KZTEUR""))"),78)</f>
        <v>78</v>
      </c>
      <c r="K750" s="26">
        <f t="shared" ca="1" si="526"/>
        <v>3900</v>
      </c>
      <c r="L750" s="26">
        <f t="shared" ca="1" si="527"/>
        <v>741</v>
      </c>
      <c r="M750" s="26">
        <f t="shared" ref="M750:N750" si="766">M$3</f>
        <v>500</v>
      </c>
      <c r="N750" s="26">
        <f t="shared" si="766"/>
        <v>500</v>
      </c>
      <c r="O750" s="26">
        <f ca="1">IFERROR(__xludf.DUMMYFUNCTION("ROUND(GOOGLEFINANCE(""Currency:EURKZT"")*K750)"),1862521)</f>
        <v>1862521</v>
      </c>
      <c r="P750" s="26">
        <f ca="1">IFERROR(__xludf.DUMMYFUNCTION("ROUND(GOOGLEFINANCE(""Currency:EURKZT"")*M750)"),238785)</f>
        <v>238785</v>
      </c>
      <c r="Q750" s="26">
        <f ca="1">IFERROR(__xludf.DUMMYFUNCTION("ROUND(GOOGLEFINANCE(""Currency:EURKZT"")*N750)"),238785)</f>
        <v>238785</v>
      </c>
      <c r="R750" s="26">
        <f t="shared" ca="1" si="529"/>
        <v>223503</v>
      </c>
      <c r="S750" s="26">
        <f t="shared" ca="1" si="530"/>
        <v>2563594</v>
      </c>
      <c r="T750" s="26">
        <f ca="1">IFERROR(__xludf.DUMMYFUNCTION("ROUND(GOOGLEFINANCE(""Currency:EURKZT"")*L750+S750)"),2917473)</f>
        <v>2917473</v>
      </c>
      <c r="U750" s="26">
        <f ca="1">IFERROR(__xludf.DUMMYFUNCTION("D750*GOOGLEFINANCE(""RUBKZT"")*1000/F750"),3401555.6111868)</f>
        <v>3401555.6111868001</v>
      </c>
      <c r="V750" s="27">
        <f t="shared" ca="1" si="531"/>
        <v>0.1659253097412727</v>
      </c>
    </row>
    <row r="751" spans="1:22" ht="12.75" customHeight="1" x14ac:dyDescent="0.2">
      <c r="A751" s="6" t="s">
        <v>62</v>
      </c>
      <c r="B751" s="6" t="s">
        <v>32</v>
      </c>
      <c r="C751" s="7">
        <v>110577</v>
      </c>
      <c r="D751" s="8">
        <v>8548.7999999999993</v>
      </c>
      <c r="E751" s="9" t="s">
        <v>16</v>
      </c>
      <c r="F751" s="23">
        <v>20</v>
      </c>
      <c r="G751" s="25"/>
      <c r="H751" s="14">
        <f t="shared" si="525"/>
        <v>0.55000000000000004</v>
      </c>
      <c r="I751" s="25">
        <f ca="1">IFERROR(__xludf.DUMMYFUNCTION("ROUND(D751*GOOGLEFINANCE(""RUBKZT"")*H751)"),36691)</f>
        <v>36691</v>
      </c>
      <c r="J751" s="26">
        <f ca="1">IFERROR(__xludf.DUMMYFUNCTION("ROUND(I751*GOOGLEFINANCE(""KZTEUR""))"),77)</f>
        <v>77</v>
      </c>
      <c r="K751" s="26">
        <f t="shared" ca="1" si="526"/>
        <v>3850</v>
      </c>
      <c r="L751" s="26">
        <f t="shared" ca="1" si="527"/>
        <v>731.5</v>
      </c>
      <c r="M751" s="26">
        <f t="shared" ref="M751:N751" si="767">M$3</f>
        <v>500</v>
      </c>
      <c r="N751" s="26">
        <f t="shared" si="767"/>
        <v>500</v>
      </c>
      <c r="O751" s="26">
        <f ca="1">IFERROR(__xludf.DUMMYFUNCTION("ROUND(GOOGLEFINANCE(""Currency:EURKZT"")*K751)"),1838643)</f>
        <v>1838643</v>
      </c>
      <c r="P751" s="26">
        <f ca="1">IFERROR(__xludf.DUMMYFUNCTION("ROUND(GOOGLEFINANCE(""Currency:EURKZT"")*M751)"),238785)</f>
        <v>238785</v>
      </c>
      <c r="Q751" s="26">
        <f ca="1">IFERROR(__xludf.DUMMYFUNCTION("ROUND(GOOGLEFINANCE(""Currency:EURKZT"")*N751)"),238785)</f>
        <v>238785</v>
      </c>
      <c r="R751" s="26">
        <f t="shared" ca="1" si="529"/>
        <v>220637</v>
      </c>
      <c r="S751" s="26">
        <f t="shared" ca="1" si="530"/>
        <v>2536850</v>
      </c>
      <c r="T751" s="26">
        <f ca="1">IFERROR(__xludf.DUMMYFUNCTION("ROUND(GOOGLEFINANCE(""Currency:EURKZT"")*L751+S751)"),2886192)</f>
        <v>2886192</v>
      </c>
      <c r="U751" s="26">
        <f ca="1">IFERROR(__xludf.DUMMYFUNCTION("D751*GOOGLEFINANCE(""RUBKZT"")*1000/F751"),3335537.80785888)</f>
        <v>3335537.8078588801</v>
      </c>
      <c r="V751" s="27">
        <f t="shared" ca="1" si="531"/>
        <v>0.15568812049194236</v>
      </c>
    </row>
    <row r="752" spans="1:22" ht="12.75" customHeight="1" x14ac:dyDescent="0.2">
      <c r="A752" s="6" t="s">
        <v>65</v>
      </c>
      <c r="B752" s="6" t="s">
        <v>32</v>
      </c>
      <c r="C752" s="7">
        <v>110630</v>
      </c>
      <c r="D752" s="8">
        <v>9434.4</v>
      </c>
      <c r="E752" s="9" t="s">
        <v>16</v>
      </c>
      <c r="F752" s="23">
        <v>20</v>
      </c>
      <c r="G752" s="25"/>
      <c r="H752" s="14">
        <f t="shared" si="525"/>
        <v>0.55000000000000004</v>
      </c>
      <c r="I752" s="25">
        <f ca="1">IFERROR(__xludf.DUMMYFUNCTION("ROUND(D752*GOOGLEFINANCE(""RUBKZT"")*H752)"),40492)</f>
        <v>40492</v>
      </c>
      <c r="J752" s="26">
        <f ca="1">IFERROR(__xludf.DUMMYFUNCTION("ROUND(I752*GOOGLEFINANCE(""KZTEUR""))"),85)</f>
        <v>85</v>
      </c>
      <c r="K752" s="26">
        <f t="shared" ca="1" si="526"/>
        <v>4250</v>
      </c>
      <c r="L752" s="26">
        <f t="shared" ca="1" si="527"/>
        <v>807.5</v>
      </c>
      <c r="M752" s="26">
        <f t="shared" ref="M752:N752" si="768">M$3</f>
        <v>500</v>
      </c>
      <c r="N752" s="26">
        <f t="shared" si="768"/>
        <v>500</v>
      </c>
      <c r="O752" s="26">
        <f ca="1">IFERROR(__xludf.DUMMYFUNCTION("ROUND(GOOGLEFINANCE(""Currency:EURKZT"")*K752)"),2029671)</f>
        <v>2029671</v>
      </c>
      <c r="P752" s="26">
        <f ca="1">IFERROR(__xludf.DUMMYFUNCTION("ROUND(GOOGLEFINANCE(""Currency:EURKZT"")*M752)"),238785)</f>
        <v>238785</v>
      </c>
      <c r="Q752" s="26">
        <f ca="1">IFERROR(__xludf.DUMMYFUNCTION("ROUND(GOOGLEFINANCE(""Currency:EURKZT"")*N752)"),238785)</f>
        <v>238785</v>
      </c>
      <c r="R752" s="26">
        <f t="shared" ca="1" si="529"/>
        <v>243561</v>
      </c>
      <c r="S752" s="26">
        <f t="shared" ca="1" si="530"/>
        <v>2750802</v>
      </c>
      <c r="T752" s="26">
        <f ca="1">IFERROR(__xludf.DUMMYFUNCTION("ROUND(GOOGLEFINANCE(""Currency:EURKZT"")*L752+S752)"),3136439)</f>
        <v>3136439</v>
      </c>
      <c r="U752" s="26">
        <f ca="1">IFERROR(__xludf.DUMMYFUNCTION("D752*GOOGLEFINANCE(""RUBKZT"")*1000/F752"),3681077.79974544)</f>
        <v>3681077.79974544</v>
      </c>
      <c r="V752" s="27">
        <f t="shared" ca="1" si="531"/>
        <v>0.17364877803950277</v>
      </c>
    </row>
    <row r="753" spans="1:22" ht="12.75" customHeight="1" x14ac:dyDescent="0.2">
      <c r="A753" s="6" t="s">
        <v>67</v>
      </c>
      <c r="B753" s="6" t="s">
        <v>32</v>
      </c>
      <c r="C753" s="7">
        <v>110659</v>
      </c>
      <c r="D753" s="8">
        <v>9686.4</v>
      </c>
      <c r="E753" s="9" t="s">
        <v>16</v>
      </c>
      <c r="F753" s="23">
        <v>20</v>
      </c>
      <c r="G753" s="25"/>
      <c r="H753" s="14">
        <f t="shared" si="525"/>
        <v>0.55000000000000004</v>
      </c>
      <c r="I753" s="25">
        <f ca="1">IFERROR(__xludf.DUMMYFUNCTION("ROUND(D753*GOOGLEFINANCE(""RUBKZT"")*H753)"),41573)</f>
        <v>41573</v>
      </c>
      <c r="J753" s="26">
        <f ca="1">IFERROR(__xludf.DUMMYFUNCTION("ROUND(I753*GOOGLEFINANCE(""KZTEUR""))"),87)</f>
        <v>87</v>
      </c>
      <c r="K753" s="26">
        <f t="shared" ca="1" si="526"/>
        <v>4350</v>
      </c>
      <c r="L753" s="26">
        <f t="shared" ca="1" si="527"/>
        <v>826.5</v>
      </c>
      <c r="M753" s="26">
        <f t="shared" ref="M753:N753" si="769">M$3</f>
        <v>500</v>
      </c>
      <c r="N753" s="26">
        <f t="shared" si="769"/>
        <v>500</v>
      </c>
      <c r="O753" s="26">
        <f ca="1">IFERROR(__xludf.DUMMYFUNCTION("ROUND(GOOGLEFINANCE(""Currency:EURKZT"")*K753)"),2077428)</f>
        <v>2077428</v>
      </c>
      <c r="P753" s="26">
        <f ca="1">IFERROR(__xludf.DUMMYFUNCTION("ROUND(GOOGLEFINANCE(""Currency:EURKZT"")*M753)"),238785)</f>
        <v>238785</v>
      </c>
      <c r="Q753" s="26">
        <f ca="1">IFERROR(__xludf.DUMMYFUNCTION("ROUND(GOOGLEFINANCE(""Currency:EURKZT"")*N753)"),238785)</f>
        <v>238785</v>
      </c>
      <c r="R753" s="26">
        <f t="shared" ca="1" si="529"/>
        <v>249291</v>
      </c>
      <c r="S753" s="26">
        <f t="shared" ca="1" si="530"/>
        <v>2804289</v>
      </c>
      <c r="T753" s="26">
        <f ca="1">IFERROR(__xludf.DUMMYFUNCTION("ROUND(GOOGLEFINANCE(""Currency:EURKZT"")*L753+S753)"),3199000)</f>
        <v>3199000</v>
      </c>
      <c r="U753" s="26">
        <f ca="1">IFERROR(__xludf.DUMMYFUNCTION("D753*GOOGLEFINANCE(""RUBKZT"")*1000/F753"),3779402.18768064)</f>
        <v>3779402.1876806398</v>
      </c>
      <c r="V753" s="27">
        <f t="shared" ca="1" si="531"/>
        <v>0.1814323812693466</v>
      </c>
    </row>
    <row r="754" spans="1:22" ht="12.75" customHeight="1" x14ac:dyDescent="0.2">
      <c r="A754" s="6" t="s">
        <v>72</v>
      </c>
      <c r="B754" s="6" t="s">
        <v>32</v>
      </c>
      <c r="C754" s="7">
        <v>110797</v>
      </c>
      <c r="D754" s="8">
        <v>8463.6</v>
      </c>
      <c r="E754" s="9" t="s">
        <v>16</v>
      </c>
      <c r="F754" s="23">
        <v>20</v>
      </c>
      <c r="G754" s="25"/>
      <c r="H754" s="14">
        <f t="shared" si="525"/>
        <v>0.55000000000000004</v>
      </c>
      <c r="I754" s="25">
        <f ca="1">IFERROR(__xludf.DUMMYFUNCTION("ROUND(D754*GOOGLEFINANCE(""RUBKZT"")*H754)"),36325)</f>
        <v>36325</v>
      </c>
      <c r="J754" s="26">
        <f ca="1">IFERROR(__xludf.DUMMYFUNCTION("ROUND(I754*GOOGLEFINANCE(""KZTEUR""))"),76)</f>
        <v>76</v>
      </c>
      <c r="K754" s="26">
        <f t="shared" ca="1" si="526"/>
        <v>3800</v>
      </c>
      <c r="L754" s="26">
        <f t="shared" ca="1" si="527"/>
        <v>722</v>
      </c>
      <c r="M754" s="26">
        <f t="shared" ref="M754:N754" si="770">M$3</f>
        <v>500</v>
      </c>
      <c r="N754" s="26">
        <f t="shared" si="770"/>
        <v>500</v>
      </c>
      <c r="O754" s="26">
        <f ca="1">IFERROR(__xludf.DUMMYFUNCTION("ROUND(GOOGLEFINANCE(""Currency:EURKZT"")*K754)"),1814765)</f>
        <v>1814765</v>
      </c>
      <c r="P754" s="26">
        <f ca="1">IFERROR(__xludf.DUMMYFUNCTION("ROUND(GOOGLEFINANCE(""Currency:EURKZT"")*M754)"),238785)</f>
        <v>238785</v>
      </c>
      <c r="Q754" s="26">
        <f ca="1">IFERROR(__xludf.DUMMYFUNCTION("ROUND(GOOGLEFINANCE(""Currency:EURKZT"")*N754)"),238785)</f>
        <v>238785</v>
      </c>
      <c r="R754" s="26">
        <f t="shared" ca="1" si="529"/>
        <v>217772</v>
      </c>
      <c r="S754" s="26">
        <f t="shared" ca="1" si="530"/>
        <v>2510107</v>
      </c>
      <c r="T754" s="26">
        <f ca="1">IFERROR(__xludf.DUMMYFUNCTION("ROUND(GOOGLEFINANCE(""Currency:EURKZT"")*L754+S754)"),2854912)</f>
        <v>2854912</v>
      </c>
      <c r="U754" s="26">
        <f ca="1">IFERROR(__xludf.DUMMYFUNCTION("D754*GOOGLEFINANCE(""RUBKZT"")*1000/F754"),3302294.80050936)</f>
        <v>3302294.8005093602</v>
      </c>
      <c r="V754" s="27">
        <f t="shared" ca="1" si="531"/>
        <v>0.15670633648580418</v>
      </c>
    </row>
    <row r="755" spans="1:22" ht="12.75" customHeight="1" x14ac:dyDescent="0.2">
      <c r="A755" s="6" t="s">
        <v>73</v>
      </c>
      <c r="B755" s="6" t="s">
        <v>32</v>
      </c>
      <c r="C755" s="7">
        <v>110801</v>
      </c>
      <c r="D755" s="8">
        <v>9981.6</v>
      </c>
      <c r="E755" s="9" t="s">
        <v>16</v>
      </c>
      <c r="F755" s="23">
        <v>20</v>
      </c>
      <c r="G755" s="24">
        <v>0.02</v>
      </c>
      <c r="H755" s="14">
        <f t="shared" si="525"/>
        <v>0.57000000000000006</v>
      </c>
      <c r="I755" s="25">
        <f ca="1">IFERROR(__xludf.DUMMYFUNCTION("ROUND(D755*GOOGLEFINANCE(""RUBKZT"")*H755)"),44398)</f>
        <v>44398</v>
      </c>
      <c r="J755" s="26">
        <f ca="1">IFERROR(__xludf.DUMMYFUNCTION("ROUND(I755*GOOGLEFINANCE(""KZTEUR""))"),93)</f>
        <v>93</v>
      </c>
      <c r="K755" s="26">
        <f t="shared" ca="1" si="526"/>
        <v>4650</v>
      </c>
      <c r="L755" s="26">
        <f t="shared" ca="1" si="527"/>
        <v>883.5</v>
      </c>
      <c r="M755" s="26">
        <f t="shared" ref="M755:N755" si="771">M$3</f>
        <v>500</v>
      </c>
      <c r="N755" s="26">
        <f t="shared" si="771"/>
        <v>500</v>
      </c>
      <c r="O755" s="26">
        <f ca="1">IFERROR(__xludf.DUMMYFUNCTION("ROUND(GOOGLEFINANCE(""Currency:EURKZT"")*K755)"),2220699)</f>
        <v>2220699</v>
      </c>
      <c r="P755" s="26">
        <f ca="1">IFERROR(__xludf.DUMMYFUNCTION("ROUND(GOOGLEFINANCE(""Currency:EURKZT"")*M755)"),238785)</f>
        <v>238785</v>
      </c>
      <c r="Q755" s="26">
        <f ca="1">IFERROR(__xludf.DUMMYFUNCTION("ROUND(GOOGLEFINANCE(""Currency:EURKZT"")*N755)"),238785)</f>
        <v>238785</v>
      </c>
      <c r="R755" s="26">
        <f t="shared" ca="1" si="529"/>
        <v>266484</v>
      </c>
      <c r="S755" s="26">
        <f t="shared" ca="1" si="530"/>
        <v>2964753</v>
      </c>
      <c r="T755" s="26">
        <f ca="1">IFERROR(__xludf.DUMMYFUNCTION("ROUND(GOOGLEFINANCE(""Currency:EURKZT"")*L755+S755)"),3386686)</f>
        <v>3386686</v>
      </c>
      <c r="U755" s="26">
        <f ca="1">IFERROR(__xludf.DUMMYFUNCTION("D755*GOOGLEFINANCE(""RUBKZT"")*1000/F755"),3894582.18497616)</f>
        <v>3894582.1849761601</v>
      </c>
      <c r="V755" s="27">
        <f t="shared" ca="1" si="531"/>
        <v>0.14996848983819583</v>
      </c>
    </row>
    <row r="756" spans="1:22" ht="12.75" customHeight="1" x14ac:dyDescent="0.2">
      <c r="A756" s="6" t="s">
        <v>80</v>
      </c>
      <c r="B756" s="6" t="s">
        <v>32</v>
      </c>
      <c r="C756" s="7">
        <v>112463</v>
      </c>
      <c r="D756" s="8">
        <v>10876.8</v>
      </c>
      <c r="E756" s="9" t="s">
        <v>16</v>
      </c>
      <c r="F756" s="23">
        <v>20</v>
      </c>
      <c r="G756" s="25"/>
      <c r="H756" s="14">
        <f t="shared" si="525"/>
        <v>0.55000000000000004</v>
      </c>
      <c r="I756" s="25">
        <f ca="1">IFERROR(__xludf.DUMMYFUNCTION("ROUND(D756*GOOGLEFINANCE(""RUBKZT"")*H756)"),46683)</f>
        <v>46683</v>
      </c>
      <c r="J756" s="26">
        <f ca="1">IFERROR(__xludf.DUMMYFUNCTION("ROUND(I756*GOOGLEFINANCE(""KZTEUR""))"),98)</f>
        <v>98</v>
      </c>
      <c r="K756" s="26">
        <f t="shared" ca="1" si="526"/>
        <v>4900</v>
      </c>
      <c r="L756" s="26">
        <f t="shared" ca="1" si="527"/>
        <v>931</v>
      </c>
      <c r="M756" s="26">
        <f t="shared" ref="M756:N756" si="772">M$3</f>
        <v>500</v>
      </c>
      <c r="N756" s="26">
        <f t="shared" si="772"/>
        <v>500</v>
      </c>
      <c r="O756" s="26">
        <f ca="1">IFERROR(__xludf.DUMMYFUNCTION("ROUND(GOOGLEFINANCE(""Currency:EURKZT"")*K756)"),2340091)</f>
        <v>2340091</v>
      </c>
      <c r="P756" s="26">
        <f ca="1">IFERROR(__xludf.DUMMYFUNCTION("ROUND(GOOGLEFINANCE(""Currency:EURKZT"")*M756)"),238785)</f>
        <v>238785</v>
      </c>
      <c r="Q756" s="26">
        <f ca="1">IFERROR(__xludf.DUMMYFUNCTION("ROUND(GOOGLEFINANCE(""Currency:EURKZT"")*N756)"),238785)</f>
        <v>238785</v>
      </c>
      <c r="R756" s="26">
        <f t="shared" ca="1" si="529"/>
        <v>280811</v>
      </c>
      <c r="S756" s="26">
        <f t="shared" ca="1" si="530"/>
        <v>3098472</v>
      </c>
      <c r="T756" s="26">
        <f ca="1">IFERROR(__xludf.DUMMYFUNCTION("ROUND(GOOGLEFINANCE(""Currency:EURKZT"")*L756+S756)"),3543089)</f>
        <v>3543089</v>
      </c>
      <c r="U756" s="26">
        <f ca="1">IFERROR(__xludf.DUMMYFUNCTION("D756*GOOGLEFINANCE(""RUBKZT"")*1000/F756"),4243867.86783168)</f>
        <v>4243867.86783168</v>
      </c>
      <c r="V756" s="27">
        <f t="shared" ca="1" si="531"/>
        <v>0.19778754296933551</v>
      </c>
    </row>
    <row r="757" spans="1:22" ht="12.75" customHeight="1" x14ac:dyDescent="0.2">
      <c r="A757" s="6" t="s">
        <v>34</v>
      </c>
      <c r="B757" s="6" t="s">
        <v>32</v>
      </c>
      <c r="C757" s="7">
        <v>112464</v>
      </c>
      <c r="D757" s="8">
        <v>9196.7999999999993</v>
      </c>
      <c r="E757" s="9" t="s">
        <v>16</v>
      </c>
      <c r="F757" s="23">
        <v>20</v>
      </c>
      <c r="G757" s="25"/>
      <c r="H757" s="14">
        <f t="shared" si="525"/>
        <v>0.55000000000000004</v>
      </c>
      <c r="I757" s="25">
        <f ca="1">IFERROR(__xludf.DUMMYFUNCTION("ROUND(D757*GOOGLEFINANCE(""RUBKZT"")*H757)"),39472)</f>
        <v>39472</v>
      </c>
      <c r="J757" s="26">
        <f ca="1">IFERROR(__xludf.DUMMYFUNCTION("ROUND(I757*GOOGLEFINANCE(""KZTEUR""))"),83)</f>
        <v>83</v>
      </c>
      <c r="K757" s="26">
        <f t="shared" ca="1" si="526"/>
        <v>4150</v>
      </c>
      <c r="L757" s="26">
        <f t="shared" ca="1" si="527"/>
        <v>788.5</v>
      </c>
      <c r="M757" s="26">
        <f t="shared" ref="M757:N757" si="773">M$3</f>
        <v>500</v>
      </c>
      <c r="N757" s="26">
        <f t="shared" si="773"/>
        <v>500</v>
      </c>
      <c r="O757" s="26">
        <f ca="1">IFERROR(__xludf.DUMMYFUNCTION("ROUND(GOOGLEFINANCE(""Currency:EURKZT"")*K757)"),1981914)</f>
        <v>1981914</v>
      </c>
      <c r="P757" s="26">
        <f ca="1">IFERROR(__xludf.DUMMYFUNCTION("ROUND(GOOGLEFINANCE(""Currency:EURKZT"")*M757)"),238785)</f>
        <v>238785</v>
      </c>
      <c r="Q757" s="26">
        <f ca="1">IFERROR(__xludf.DUMMYFUNCTION("ROUND(GOOGLEFINANCE(""Currency:EURKZT"")*N757)"),238785)</f>
        <v>238785</v>
      </c>
      <c r="R757" s="26">
        <f t="shared" ca="1" si="529"/>
        <v>237830</v>
      </c>
      <c r="S757" s="26">
        <f t="shared" ca="1" si="530"/>
        <v>2697314</v>
      </c>
      <c r="T757" s="26">
        <f ca="1">IFERROR(__xludf.DUMMYFUNCTION("ROUND(GOOGLEFINANCE(""Currency:EURKZT"")*L757+S757)"),3073878)</f>
        <v>3073878</v>
      </c>
      <c r="U757" s="26">
        <f ca="1">IFERROR(__xludf.DUMMYFUNCTION("D757*GOOGLEFINANCE(""RUBKZT"")*1000/F757"),3588371.94826368)</f>
        <v>3588371.9482636801</v>
      </c>
      <c r="V757" s="27">
        <f t="shared" ca="1" si="531"/>
        <v>0.16737617701928317</v>
      </c>
    </row>
    <row r="758" spans="1:22" ht="12.75" customHeight="1" x14ac:dyDescent="0.2">
      <c r="A758" s="6" t="s">
        <v>33</v>
      </c>
      <c r="B758" s="6" t="s">
        <v>32</v>
      </c>
      <c r="C758" s="7">
        <v>112469</v>
      </c>
      <c r="D758" s="8">
        <v>10098</v>
      </c>
      <c r="E758" s="9" t="s">
        <v>16</v>
      </c>
      <c r="F758" s="23">
        <v>20</v>
      </c>
      <c r="G758" s="25"/>
      <c r="H758" s="14">
        <f t="shared" si="525"/>
        <v>0.55000000000000004</v>
      </c>
      <c r="I758" s="25">
        <f ca="1">IFERROR(__xludf.DUMMYFUNCTION("ROUND(D758*GOOGLEFINANCE(""RUBKZT"")*H758)"),43340)</f>
        <v>43340</v>
      </c>
      <c r="J758" s="26">
        <f ca="1">IFERROR(__xludf.DUMMYFUNCTION("ROUND(I758*GOOGLEFINANCE(""KZTEUR""))"),91)</f>
        <v>91</v>
      </c>
      <c r="K758" s="26">
        <f t="shared" ca="1" si="526"/>
        <v>4550</v>
      </c>
      <c r="L758" s="26">
        <f t="shared" ca="1" si="527"/>
        <v>864.5</v>
      </c>
      <c r="M758" s="26">
        <f t="shared" ref="M758:N758" si="774">M$3</f>
        <v>500</v>
      </c>
      <c r="N758" s="26">
        <f t="shared" si="774"/>
        <v>500</v>
      </c>
      <c r="O758" s="26">
        <f ca="1">IFERROR(__xludf.DUMMYFUNCTION("ROUND(GOOGLEFINANCE(""Currency:EURKZT"")*K758)"),2172942)</f>
        <v>2172942</v>
      </c>
      <c r="P758" s="26">
        <f ca="1">IFERROR(__xludf.DUMMYFUNCTION("ROUND(GOOGLEFINANCE(""Currency:EURKZT"")*M758)"),238785)</f>
        <v>238785</v>
      </c>
      <c r="Q758" s="26">
        <f ca="1">IFERROR(__xludf.DUMMYFUNCTION("ROUND(GOOGLEFINANCE(""Currency:EURKZT"")*N758)"),238785)</f>
        <v>238785</v>
      </c>
      <c r="R758" s="26">
        <f t="shared" ca="1" si="529"/>
        <v>260753</v>
      </c>
      <c r="S758" s="26">
        <f t="shared" ca="1" si="530"/>
        <v>2911265</v>
      </c>
      <c r="T758" s="26">
        <f ca="1">IFERROR(__xludf.DUMMYFUNCTION("ROUND(GOOGLEFINANCE(""Currency:EURKZT"")*L758+S758)"),3324124)</f>
        <v>3324124</v>
      </c>
      <c r="U758" s="26">
        <f ca="1">IFERROR(__xludf.DUMMYFUNCTION("D758*GOOGLEFINANCE(""RUBKZT"")*1000/F758"),3939998.6879748)</f>
        <v>3939998.6879747999</v>
      </c>
      <c r="V758" s="27">
        <f t="shared" ca="1" si="531"/>
        <v>0.1852742821792448</v>
      </c>
    </row>
    <row r="759" spans="1:22" ht="12.75" customHeight="1" x14ac:dyDescent="0.2">
      <c r="A759" s="6" t="s">
        <v>94</v>
      </c>
      <c r="B759" s="6" t="s">
        <v>32</v>
      </c>
      <c r="C759" s="7">
        <v>112470</v>
      </c>
      <c r="D759" s="8">
        <v>14169.6</v>
      </c>
      <c r="E759" s="9" t="s">
        <v>16</v>
      </c>
      <c r="F759" s="23">
        <v>20</v>
      </c>
      <c r="G759" s="25"/>
      <c r="H759" s="14">
        <f t="shared" si="525"/>
        <v>0.55000000000000004</v>
      </c>
      <c r="I759" s="25">
        <f ca="1">IFERROR(__xludf.DUMMYFUNCTION("ROUND(D759*GOOGLEFINANCE(""RUBKZT"")*H759)"),60815)</f>
        <v>60815</v>
      </c>
      <c r="J759" s="26">
        <f ca="1">IFERROR(__xludf.DUMMYFUNCTION("ROUND(I759*GOOGLEFINANCE(""KZTEUR""))"),127)</f>
        <v>127</v>
      </c>
      <c r="K759" s="26">
        <f t="shared" ca="1" si="526"/>
        <v>6350</v>
      </c>
      <c r="L759" s="26">
        <f t="shared" ca="1" si="527"/>
        <v>1206.5</v>
      </c>
      <c r="M759" s="26">
        <f t="shared" ref="M759:N759" si="775">M$3</f>
        <v>500</v>
      </c>
      <c r="N759" s="26">
        <f t="shared" si="775"/>
        <v>500</v>
      </c>
      <c r="O759" s="26">
        <f ca="1">IFERROR(__xludf.DUMMYFUNCTION("ROUND(GOOGLEFINANCE(""Currency:EURKZT"")*K759)"),3032567)</f>
        <v>3032567</v>
      </c>
      <c r="P759" s="26">
        <f ca="1">IFERROR(__xludf.DUMMYFUNCTION("ROUND(GOOGLEFINANCE(""Currency:EURKZT"")*M759)"),238785)</f>
        <v>238785</v>
      </c>
      <c r="Q759" s="26">
        <f ca="1">IFERROR(__xludf.DUMMYFUNCTION("ROUND(GOOGLEFINANCE(""Currency:EURKZT"")*N759)"),238785)</f>
        <v>238785</v>
      </c>
      <c r="R759" s="26">
        <f t="shared" ca="1" si="529"/>
        <v>363908</v>
      </c>
      <c r="S759" s="26">
        <f t="shared" ca="1" si="530"/>
        <v>3874045</v>
      </c>
      <c r="T759" s="26">
        <f ca="1">IFERROR(__xludf.DUMMYFUNCTION("ROUND(GOOGLEFINANCE(""Currency:EURKZT"")*L759+S759)"),4450233)</f>
        <v>4450233</v>
      </c>
      <c r="U759" s="26">
        <f ca="1">IFERROR(__xludf.DUMMYFUNCTION("D759*GOOGLEFINANCE(""RUBKZT"")*1000/F759"),5528639.87018496)</f>
        <v>5528639.8701849598</v>
      </c>
      <c r="V759" s="27">
        <f t="shared" ca="1" si="531"/>
        <v>0.24232593443645756</v>
      </c>
    </row>
    <row r="760" spans="1:22" ht="12.75" customHeight="1" x14ac:dyDescent="0.2">
      <c r="A760" s="6" t="s">
        <v>95</v>
      </c>
      <c r="B760" s="6" t="s">
        <v>32</v>
      </c>
      <c r="C760" s="7">
        <v>112471</v>
      </c>
      <c r="D760" s="8">
        <v>11946</v>
      </c>
      <c r="E760" s="9" t="s">
        <v>16</v>
      </c>
      <c r="F760" s="23">
        <v>20</v>
      </c>
      <c r="G760" s="25"/>
      <c r="H760" s="14">
        <f t="shared" si="525"/>
        <v>0.55000000000000004</v>
      </c>
      <c r="I760" s="25">
        <f ca="1">IFERROR(__xludf.DUMMYFUNCTION("ROUND(D760*GOOGLEFINANCE(""RUBKZT"")*H760)"),51271)</f>
        <v>51271</v>
      </c>
      <c r="J760" s="26">
        <f ca="1">IFERROR(__xludf.DUMMYFUNCTION("ROUND(I760*GOOGLEFINANCE(""KZTEUR""))"),107)</f>
        <v>107</v>
      </c>
      <c r="K760" s="26">
        <f t="shared" ca="1" si="526"/>
        <v>5350</v>
      </c>
      <c r="L760" s="26">
        <f t="shared" ca="1" si="527"/>
        <v>1016.5</v>
      </c>
      <c r="M760" s="26">
        <f t="shared" ref="M760:N760" si="776">M$3</f>
        <v>500</v>
      </c>
      <c r="N760" s="26">
        <f t="shared" si="776"/>
        <v>500</v>
      </c>
      <c r="O760" s="26">
        <f ca="1">IFERROR(__xludf.DUMMYFUNCTION("ROUND(GOOGLEFINANCE(""Currency:EURKZT"")*K760)"),2554997)</f>
        <v>2554997</v>
      </c>
      <c r="P760" s="26">
        <f ca="1">IFERROR(__xludf.DUMMYFUNCTION("ROUND(GOOGLEFINANCE(""Currency:EURKZT"")*M760)"),238785)</f>
        <v>238785</v>
      </c>
      <c r="Q760" s="26">
        <f ca="1">IFERROR(__xludf.DUMMYFUNCTION("ROUND(GOOGLEFINANCE(""Currency:EURKZT"")*N760)"),238785)</f>
        <v>238785</v>
      </c>
      <c r="R760" s="26">
        <f t="shared" ca="1" si="529"/>
        <v>306600</v>
      </c>
      <c r="S760" s="26">
        <f t="shared" ca="1" si="530"/>
        <v>3339167</v>
      </c>
      <c r="T760" s="26">
        <f ca="1">IFERROR(__xludf.DUMMYFUNCTION("ROUND(GOOGLEFINANCE(""Currency:EURKZT"")*L760+S760)"),3824617)</f>
        <v>3824617</v>
      </c>
      <c r="U760" s="26">
        <f ca="1">IFERROR(__xludf.DUMMYFUNCTION("D760*GOOGLEFINANCE(""RUBKZT"")*1000/F760"),4661044.1994996)</f>
        <v>4661044.1994995996</v>
      </c>
      <c r="V760" s="27">
        <f t="shared" ca="1" si="531"/>
        <v>0.21869567580220442</v>
      </c>
    </row>
    <row r="761" spans="1:22" ht="12.75" customHeight="1" x14ac:dyDescent="0.2">
      <c r="A761" s="6" t="s">
        <v>96</v>
      </c>
      <c r="B761" s="6" t="s">
        <v>32</v>
      </c>
      <c r="C761" s="7">
        <v>112472</v>
      </c>
      <c r="D761" s="8">
        <v>10587.6</v>
      </c>
      <c r="E761" s="9" t="s">
        <v>16</v>
      </c>
      <c r="F761" s="23">
        <v>20</v>
      </c>
      <c r="G761" s="25"/>
      <c r="H761" s="14">
        <f t="shared" si="525"/>
        <v>0.55000000000000004</v>
      </c>
      <c r="I761" s="25">
        <f ca="1">IFERROR(__xludf.DUMMYFUNCTION("ROUND(D761*GOOGLEFINANCE(""RUBKZT"")*H761)"),45441)</f>
        <v>45441</v>
      </c>
      <c r="J761" s="26">
        <f ca="1">IFERROR(__xludf.DUMMYFUNCTION("ROUND(I761*GOOGLEFINANCE(""KZTEUR""))"),95)</f>
        <v>95</v>
      </c>
      <c r="K761" s="26">
        <f t="shared" ca="1" si="526"/>
        <v>4750</v>
      </c>
      <c r="L761" s="26">
        <f t="shared" ca="1" si="527"/>
        <v>902.5</v>
      </c>
      <c r="M761" s="26">
        <f t="shared" ref="M761:N761" si="777">M$3</f>
        <v>500</v>
      </c>
      <c r="N761" s="26">
        <f t="shared" si="777"/>
        <v>500</v>
      </c>
      <c r="O761" s="26">
        <f ca="1">IFERROR(__xludf.DUMMYFUNCTION("ROUND(GOOGLEFINANCE(""Currency:EURKZT"")*K761)"),2268456)</f>
        <v>2268456</v>
      </c>
      <c r="P761" s="26">
        <f ca="1">IFERROR(__xludf.DUMMYFUNCTION("ROUND(GOOGLEFINANCE(""Currency:EURKZT"")*M761)"),238785)</f>
        <v>238785</v>
      </c>
      <c r="Q761" s="26">
        <f ca="1">IFERROR(__xludf.DUMMYFUNCTION("ROUND(GOOGLEFINANCE(""Currency:EURKZT"")*N761)"),238785)</f>
        <v>238785</v>
      </c>
      <c r="R761" s="26">
        <f t="shared" ca="1" si="529"/>
        <v>272215</v>
      </c>
      <c r="S761" s="26">
        <f t="shared" ca="1" si="530"/>
        <v>3018241</v>
      </c>
      <c r="T761" s="26">
        <f ca="1">IFERROR(__xludf.DUMMYFUNCTION("ROUND(GOOGLEFINANCE(""Currency:EURKZT"")*L761+S761)"),3449248)</f>
        <v>3449248</v>
      </c>
      <c r="U761" s="26">
        <f ca="1">IFERROR(__xludf.DUMMYFUNCTION("D761*GOOGLEFINANCE(""RUBKZT"")*1000/F761"),4131028.92739176)</f>
        <v>4131028.9273917601</v>
      </c>
      <c r="V761" s="27">
        <f t="shared" ca="1" si="531"/>
        <v>0.19766074442654169</v>
      </c>
    </row>
    <row r="762" spans="1:22" ht="12.75" customHeight="1" x14ac:dyDescent="0.2">
      <c r="A762" s="6" t="s">
        <v>103</v>
      </c>
      <c r="B762" s="6" t="s">
        <v>32</v>
      </c>
      <c r="C762" s="7">
        <v>112473</v>
      </c>
      <c r="D762" s="8">
        <v>25992</v>
      </c>
      <c r="E762" s="9" t="s">
        <v>16</v>
      </c>
      <c r="F762" s="23">
        <v>20</v>
      </c>
      <c r="G762" s="25"/>
      <c r="H762" s="14">
        <f t="shared" si="525"/>
        <v>0.55000000000000004</v>
      </c>
      <c r="I762" s="25">
        <f ca="1">IFERROR(__xludf.DUMMYFUNCTION("ROUND(D762*GOOGLEFINANCE(""RUBKZT"")*H762)"),111556)</f>
        <v>111556</v>
      </c>
      <c r="J762" s="26">
        <f ca="1">IFERROR(__xludf.DUMMYFUNCTION("ROUND(I762*GOOGLEFINANCE(""KZTEUR""))"),234)</f>
        <v>234</v>
      </c>
      <c r="K762" s="26">
        <f t="shared" ca="1" si="526"/>
        <v>11700</v>
      </c>
      <c r="L762" s="26">
        <f t="shared" ca="1" si="527"/>
        <v>2223</v>
      </c>
      <c r="M762" s="26">
        <f t="shared" ref="M762:N762" si="778">M$3</f>
        <v>500</v>
      </c>
      <c r="N762" s="26">
        <f t="shared" si="778"/>
        <v>500</v>
      </c>
      <c r="O762" s="26">
        <f ca="1">IFERROR(__xludf.DUMMYFUNCTION("ROUND(GOOGLEFINANCE(""Currency:EURKZT"")*K762)"),5587564)</f>
        <v>5587564</v>
      </c>
      <c r="P762" s="26">
        <f ca="1">IFERROR(__xludf.DUMMYFUNCTION("ROUND(GOOGLEFINANCE(""Currency:EURKZT"")*M762)"),238785)</f>
        <v>238785</v>
      </c>
      <c r="Q762" s="26">
        <f ca="1">IFERROR(__xludf.DUMMYFUNCTION("ROUND(GOOGLEFINANCE(""Currency:EURKZT"")*N762)"),238785)</f>
        <v>238785</v>
      </c>
      <c r="R762" s="26">
        <f t="shared" ca="1" si="529"/>
        <v>670508</v>
      </c>
      <c r="S762" s="26">
        <f t="shared" ca="1" si="530"/>
        <v>6735642</v>
      </c>
      <c r="T762" s="26">
        <f ca="1">IFERROR(__xludf.DUMMYFUNCTION("ROUND(GOOGLEFINANCE(""Currency:EURKZT"")*L762+S762)"),7797279)</f>
        <v>7797279</v>
      </c>
      <c r="U762" s="26">
        <f ca="1">IFERROR(__xludf.DUMMYFUNCTION("D762*GOOGLEFINANCE(""RUBKZT"")*1000/F762"),10141458.2984592)</f>
        <v>10141458.2984592</v>
      </c>
      <c r="V762" s="27">
        <f t="shared" ca="1" si="531"/>
        <v>0.30064068484136586</v>
      </c>
    </row>
    <row r="763" spans="1:22" ht="12.75" customHeight="1" x14ac:dyDescent="0.2">
      <c r="A763" s="6" t="s">
        <v>97</v>
      </c>
      <c r="B763" s="6" t="s">
        <v>32</v>
      </c>
      <c r="C763" s="7">
        <v>112474</v>
      </c>
      <c r="D763" s="8">
        <v>29305.200000000001</v>
      </c>
      <c r="E763" s="9" t="s">
        <v>16</v>
      </c>
      <c r="F763" s="23">
        <v>20</v>
      </c>
      <c r="G763" s="25"/>
      <c r="H763" s="14">
        <f t="shared" si="525"/>
        <v>0.55000000000000004</v>
      </c>
      <c r="I763" s="25">
        <f ca="1">IFERROR(__xludf.DUMMYFUNCTION("ROUND(D763*GOOGLEFINANCE(""RUBKZT"")*H763)"),125776)</f>
        <v>125776</v>
      </c>
      <c r="J763" s="26">
        <f ca="1">IFERROR(__xludf.DUMMYFUNCTION("ROUND(I763*GOOGLEFINANCE(""KZTEUR""))"),263)</f>
        <v>263</v>
      </c>
      <c r="K763" s="26">
        <f t="shared" ca="1" si="526"/>
        <v>13150</v>
      </c>
      <c r="L763" s="26">
        <f t="shared" ca="1" si="527"/>
        <v>2498.5</v>
      </c>
      <c r="M763" s="26">
        <f t="shared" ref="M763:N763" si="779">M$3</f>
        <v>500</v>
      </c>
      <c r="N763" s="26">
        <f t="shared" si="779"/>
        <v>500</v>
      </c>
      <c r="O763" s="26">
        <f ca="1">IFERROR(__xludf.DUMMYFUNCTION("ROUND(GOOGLEFINANCE(""Currency:EURKZT"")*K763)"),6280040)</f>
        <v>6280040</v>
      </c>
      <c r="P763" s="26">
        <f ca="1">IFERROR(__xludf.DUMMYFUNCTION("ROUND(GOOGLEFINANCE(""Currency:EURKZT"")*M763)"),238785)</f>
        <v>238785</v>
      </c>
      <c r="Q763" s="26">
        <f ca="1">IFERROR(__xludf.DUMMYFUNCTION("ROUND(GOOGLEFINANCE(""Currency:EURKZT"")*N763)"),238785)</f>
        <v>238785</v>
      </c>
      <c r="R763" s="26">
        <f t="shared" ca="1" si="529"/>
        <v>753605</v>
      </c>
      <c r="S763" s="26">
        <f t="shared" ca="1" si="530"/>
        <v>7511215</v>
      </c>
      <c r="T763" s="26">
        <f ca="1">IFERROR(__xludf.DUMMYFUNCTION("ROUND(GOOGLEFINANCE(""Currency:EURKZT"")*L763+S763)"),8704423)</f>
        <v>8704423</v>
      </c>
      <c r="U763" s="26">
        <f ca="1">IFERROR(__xludf.DUMMYFUNCTION("D763*GOOGLEFINANCE(""RUBKZT"")*1000/F763"),11434189.8941215)</f>
        <v>11434189.8941215</v>
      </c>
      <c r="V763" s="27">
        <f t="shared" ca="1" si="531"/>
        <v>0.31360687481772193</v>
      </c>
    </row>
    <row r="764" spans="1:22" ht="12.75" customHeight="1" x14ac:dyDescent="0.2">
      <c r="A764" s="6" t="s">
        <v>98</v>
      </c>
      <c r="B764" s="6" t="s">
        <v>32</v>
      </c>
      <c r="C764" s="7">
        <v>112476</v>
      </c>
      <c r="D764" s="8">
        <v>18448.8</v>
      </c>
      <c r="E764" s="9" t="s">
        <v>16</v>
      </c>
      <c r="F764" s="23">
        <v>20</v>
      </c>
      <c r="G764" s="25"/>
      <c r="H764" s="14">
        <f t="shared" si="525"/>
        <v>0.55000000000000004</v>
      </c>
      <c r="I764" s="25">
        <f ca="1">IFERROR(__xludf.DUMMYFUNCTION("ROUND(D764*GOOGLEFINANCE(""RUBKZT"")*H764)"),79181)</f>
        <v>79181</v>
      </c>
      <c r="J764" s="26">
        <f ca="1">IFERROR(__xludf.DUMMYFUNCTION("ROUND(I764*GOOGLEFINANCE(""KZTEUR""))"),166)</f>
        <v>166</v>
      </c>
      <c r="K764" s="26">
        <f t="shared" ca="1" si="526"/>
        <v>8300</v>
      </c>
      <c r="L764" s="26">
        <f t="shared" ca="1" si="527"/>
        <v>1577</v>
      </c>
      <c r="M764" s="26">
        <f t="shared" ref="M764:N764" si="780">M$3</f>
        <v>500</v>
      </c>
      <c r="N764" s="26">
        <f t="shared" si="780"/>
        <v>500</v>
      </c>
      <c r="O764" s="26">
        <f ca="1">IFERROR(__xludf.DUMMYFUNCTION("ROUND(GOOGLEFINANCE(""Currency:EURKZT"")*K764)"),3963828)</f>
        <v>3963828</v>
      </c>
      <c r="P764" s="26">
        <f ca="1">IFERROR(__xludf.DUMMYFUNCTION("ROUND(GOOGLEFINANCE(""Currency:EURKZT"")*M764)"),238785)</f>
        <v>238785</v>
      </c>
      <c r="Q764" s="26">
        <f ca="1">IFERROR(__xludf.DUMMYFUNCTION("ROUND(GOOGLEFINANCE(""Currency:EURKZT"")*N764)"),238785)</f>
        <v>238785</v>
      </c>
      <c r="R764" s="26">
        <f t="shared" ca="1" si="529"/>
        <v>475659</v>
      </c>
      <c r="S764" s="26">
        <f t="shared" ca="1" si="530"/>
        <v>4917057</v>
      </c>
      <c r="T764" s="26">
        <f ca="1">IFERROR(__xludf.DUMMYFUNCTION("ROUND(GOOGLEFINANCE(""Currency:EURKZT"")*L764+S764)"),5670184)</f>
        <v>5670184</v>
      </c>
      <c r="U764" s="26">
        <f ca="1">IFERROR(__xludf.DUMMYFUNCTION("D764*GOOGLEFINANCE(""RUBKZT"")*1000/F764"),7198281.61959887)</f>
        <v>7198281.6195988702</v>
      </c>
      <c r="V764" s="27">
        <f t="shared" ca="1" si="531"/>
        <v>0.26949700743377464</v>
      </c>
    </row>
    <row r="765" spans="1:22" ht="12.75" customHeight="1" x14ac:dyDescent="0.2">
      <c r="A765" s="6" t="s">
        <v>104</v>
      </c>
      <c r="B765" s="6" t="s">
        <v>32</v>
      </c>
      <c r="C765" s="7">
        <v>112478</v>
      </c>
      <c r="D765" s="8">
        <v>11397.6</v>
      </c>
      <c r="E765" s="9" t="s">
        <v>16</v>
      </c>
      <c r="F765" s="23">
        <v>20</v>
      </c>
      <c r="G765" s="25"/>
      <c r="H765" s="14">
        <f t="shared" si="525"/>
        <v>0.55000000000000004</v>
      </c>
      <c r="I765" s="25">
        <f ca="1">IFERROR(__xludf.DUMMYFUNCTION("ROUND(D765*GOOGLEFINANCE(""RUBKZT"")*H765)"),48918)</f>
        <v>48918</v>
      </c>
      <c r="J765" s="26">
        <f ca="1">IFERROR(__xludf.DUMMYFUNCTION("ROUND(I765*GOOGLEFINANCE(""KZTEUR""))"),102)</f>
        <v>102</v>
      </c>
      <c r="K765" s="26">
        <f t="shared" ca="1" si="526"/>
        <v>5100</v>
      </c>
      <c r="L765" s="26">
        <f t="shared" ca="1" si="527"/>
        <v>969</v>
      </c>
      <c r="M765" s="26">
        <f t="shared" ref="M765:N765" si="781">M$3</f>
        <v>500</v>
      </c>
      <c r="N765" s="26">
        <f t="shared" si="781"/>
        <v>500</v>
      </c>
      <c r="O765" s="26">
        <f ca="1">IFERROR(__xludf.DUMMYFUNCTION("ROUND(GOOGLEFINANCE(""Currency:EURKZT"")*K765)"),2435605)</f>
        <v>2435605</v>
      </c>
      <c r="P765" s="26">
        <f ca="1">IFERROR(__xludf.DUMMYFUNCTION("ROUND(GOOGLEFINANCE(""Currency:EURKZT"")*M765)"),238785)</f>
        <v>238785</v>
      </c>
      <c r="Q765" s="26">
        <f ca="1">IFERROR(__xludf.DUMMYFUNCTION("ROUND(GOOGLEFINANCE(""Currency:EURKZT"")*N765)"),238785)</f>
        <v>238785</v>
      </c>
      <c r="R765" s="26">
        <f t="shared" ca="1" si="529"/>
        <v>292273</v>
      </c>
      <c r="S765" s="26">
        <f t="shared" ca="1" si="530"/>
        <v>3205448</v>
      </c>
      <c r="T765" s="26">
        <f ca="1">IFERROR(__xludf.DUMMYFUNCTION("ROUND(GOOGLEFINANCE(""Currency:EURKZT"")*L765+S765)"),3668213)</f>
        <v>3668213</v>
      </c>
      <c r="U765" s="26">
        <f ca="1">IFERROR(__xludf.DUMMYFUNCTION("D765*GOOGLEFINANCE(""RUBKZT"")*1000/F765"),4447071.60289776)</f>
        <v>4447071.6028977605</v>
      </c>
      <c r="V765" s="27">
        <f t="shared" ca="1" si="531"/>
        <v>0.2123264387585346</v>
      </c>
    </row>
    <row r="766" spans="1:22" ht="12.75" customHeight="1" x14ac:dyDescent="0.2">
      <c r="A766" s="6" t="s">
        <v>81</v>
      </c>
      <c r="B766" s="6" t="s">
        <v>32</v>
      </c>
      <c r="C766" s="7">
        <v>112485</v>
      </c>
      <c r="D766" s="8">
        <v>8491.1999999999989</v>
      </c>
      <c r="E766" s="9" t="s">
        <v>16</v>
      </c>
      <c r="F766" s="23">
        <v>20</v>
      </c>
      <c r="G766" s="25"/>
      <c r="H766" s="14">
        <f t="shared" si="525"/>
        <v>0.55000000000000004</v>
      </c>
      <c r="I766" s="25">
        <f ca="1">IFERROR(__xludf.DUMMYFUNCTION("ROUND(D766*GOOGLEFINANCE(""RUBKZT"")*H766)"),36444)</f>
        <v>36444</v>
      </c>
      <c r="J766" s="26">
        <f ca="1">IFERROR(__xludf.DUMMYFUNCTION("ROUND(I766*GOOGLEFINANCE(""KZTEUR""))"),76)</f>
        <v>76</v>
      </c>
      <c r="K766" s="26">
        <f t="shared" ca="1" si="526"/>
        <v>3800</v>
      </c>
      <c r="L766" s="26">
        <f t="shared" ca="1" si="527"/>
        <v>722</v>
      </c>
      <c r="M766" s="26">
        <f t="shared" ref="M766:N766" si="782">M$3</f>
        <v>500</v>
      </c>
      <c r="N766" s="26">
        <f t="shared" si="782"/>
        <v>500</v>
      </c>
      <c r="O766" s="26">
        <f ca="1">IFERROR(__xludf.DUMMYFUNCTION("ROUND(GOOGLEFINANCE(""Currency:EURKZT"")*K766)"),1814765)</f>
        <v>1814765</v>
      </c>
      <c r="P766" s="26">
        <f ca="1">IFERROR(__xludf.DUMMYFUNCTION("ROUND(GOOGLEFINANCE(""Currency:EURKZT"")*M766)"),238785)</f>
        <v>238785</v>
      </c>
      <c r="Q766" s="26">
        <f ca="1">IFERROR(__xludf.DUMMYFUNCTION("ROUND(GOOGLEFINANCE(""Currency:EURKZT"")*N766)"),238785)</f>
        <v>238785</v>
      </c>
      <c r="R766" s="26">
        <f t="shared" ca="1" si="529"/>
        <v>217772</v>
      </c>
      <c r="S766" s="26">
        <f t="shared" ca="1" si="530"/>
        <v>2510107</v>
      </c>
      <c r="T766" s="26">
        <f ca="1">IFERROR(__xludf.DUMMYFUNCTION("ROUND(GOOGLEFINANCE(""Currency:EURKZT"")*L766+S766)"),2854912)</f>
        <v>2854912</v>
      </c>
      <c r="U766" s="26">
        <f ca="1">IFERROR(__xludf.DUMMYFUNCTION("D766*GOOGLEFINANCE(""RUBKZT"")*1000/F766"),3313063.66204511)</f>
        <v>3313063.66204511</v>
      </c>
      <c r="V766" s="27">
        <f t="shared" ca="1" si="531"/>
        <v>0.16047838323742028</v>
      </c>
    </row>
    <row r="767" spans="1:22" ht="12.75" customHeight="1" x14ac:dyDescent="0.2">
      <c r="A767" s="6" t="s">
        <v>87</v>
      </c>
      <c r="B767" s="6" t="s">
        <v>32</v>
      </c>
      <c r="C767" s="7">
        <v>112490</v>
      </c>
      <c r="D767" s="8">
        <v>11397.6</v>
      </c>
      <c r="E767" s="9" t="s">
        <v>16</v>
      </c>
      <c r="F767" s="23">
        <v>20</v>
      </c>
      <c r="G767" s="25"/>
      <c r="H767" s="14">
        <f t="shared" si="525"/>
        <v>0.55000000000000004</v>
      </c>
      <c r="I767" s="25">
        <f ca="1">IFERROR(__xludf.DUMMYFUNCTION("ROUND(D767*GOOGLEFINANCE(""RUBKZT"")*H767)"),48918)</f>
        <v>48918</v>
      </c>
      <c r="J767" s="26">
        <f ca="1">IFERROR(__xludf.DUMMYFUNCTION("ROUND(I767*GOOGLEFINANCE(""KZTEUR""))"),102)</f>
        <v>102</v>
      </c>
      <c r="K767" s="26">
        <f t="shared" ca="1" si="526"/>
        <v>5100</v>
      </c>
      <c r="L767" s="26">
        <f t="shared" ca="1" si="527"/>
        <v>969</v>
      </c>
      <c r="M767" s="26">
        <f t="shared" ref="M767:N767" si="783">M$3</f>
        <v>500</v>
      </c>
      <c r="N767" s="26">
        <f t="shared" si="783"/>
        <v>500</v>
      </c>
      <c r="O767" s="26">
        <f ca="1">IFERROR(__xludf.DUMMYFUNCTION("ROUND(GOOGLEFINANCE(""Currency:EURKZT"")*K767)"),2435605)</f>
        <v>2435605</v>
      </c>
      <c r="P767" s="26">
        <f ca="1">IFERROR(__xludf.DUMMYFUNCTION("ROUND(GOOGLEFINANCE(""Currency:EURKZT"")*M767)"),238785)</f>
        <v>238785</v>
      </c>
      <c r="Q767" s="26">
        <f ca="1">IFERROR(__xludf.DUMMYFUNCTION("ROUND(GOOGLEFINANCE(""Currency:EURKZT"")*N767)"),238785)</f>
        <v>238785</v>
      </c>
      <c r="R767" s="26">
        <f t="shared" ca="1" si="529"/>
        <v>292273</v>
      </c>
      <c r="S767" s="26">
        <f t="shared" ca="1" si="530"/>
        <v>3205448</v>
      </c>
      <c r="T767" s="26">
        <f ca="1">IFERROR(__xludf.DUMMYFUNCTION("ROUND(GOOGLEFINANCE(""Currency:EURKZT"")*L767+S767)"),3668213)</f>
        <v>3668213</v>
      </c>
      <c r="U767" s="26">
        <f ca="1">IFERROR(__xludf.DUMMYFUNCTION("D767*GOOGLEFINANCE(""RUBKZT"")*1000/F767"),4447071.60289776)</f>
        <v>4447071.6028977605</v>
      </c>
      <c r="V767" s="27">
        <f t="shared" ca="1" si="531"/>
        <v>0.2123264387585346</v>
      </c>
    </row>
    <row r="768" spans="1:22" ht="12.75" customHeight="1" x14ac:dyDescent="0.2">
      <c r="A768" s="6" t="s">
        <v>105</v>
      </c>
      <c r="B768" s="6" t="s">
        <v>32</v>
      </c>
      <c r="C768" s="7">
        <v>112495</v>
      </c>
      <c r="D768" s="8">
        <v>10515.6</v>
      </c>
      <c r="E768" s="9" t="s">
        <v>16</v>
      </c>
      <c r="F768" s="23">
        <v>20</v>
      </c>
      <c r="G768" s="25"/>
      <c r="H768" s="14">
        <f t="shared" si="525"/>
        <v>0.55000000000000004</v>
      </c>
      <c r="I768" s="25">
        <f ca="1">IFERROR(__xludf.DUMMYFUNCTION("ROUND(D768*GOOGLEFINANCE(""RUBKZT"")*H768)"),45132)</f>
        <v>45132</v>
      </c>
      <c r="J768" s="26">
        <f ca="1">IFERROR(__xludf.DUMMYFUNCTION("ROUND(I768*GOOGLEFINANCE(""KZTEUR""))"),95)</f>
        <v>95</v>
      </c>
      <c r="K768" s="26">
        <f t="shared" ca="1" si="526"/>
        <v>4750</v>
      </c>
      <c r="L768" s="26">
        <f t="shared" ca="1" si="527"/>
        <v>902.5</v>
      </c>
      <c r="M768" s="26">
        <f t="shared" ref="M768:N768" si="784">M$3</f>
        <v>500</v>
      </c>
      <c r="N768" s="26">
        <f t="shared" si="784"/>
        <v>500</v>
      </c>
      <c r="O768" s="26">
        <f ca="1">IFERROR(__xludf.DUMMYFUNCTION("ROUND(GOOGLEFINANCE(""Currency:EURKZT"")*K768)"),2268456)</f>
        <v>2268456</v>
      </c>
      <c r="P768" s="26">
        <f ca="1">IFERROR(__xludf.DUMMYFUNCTION("ROUND(GOOGLEFINANCE(""Currency:EURKZT"")*M768)"),238785)</f>
        <v>238785</v>
      </c>
      <c r="Q768" s="26">
        <f ca="1">IFERROR(__xludf.DUMMYFUNCTION("ROUND(GOOGLEFINANCE(""Currency:EURKZT"")*N768)"),238785)</f>
        <v>238785</v>
      </c>
      <c r="R768" s="26">
        <f t="shared" ca="1" si="529"/>
        <v>272215</v>
      </c>
      <c r="S768" s="26">
        <f t="shared" ca="1" si="530"/>
        <v>3018241</v>
      </c>
      <c r="T768" s="26">
        <f ca="1">IFERROR(__xludf.DUMMYFUNCTION("ROUND(GOOGLEFINANCE(""Currency:EURKZT"")*L768+S768)"),3449248)</f>
        <v>3449248</v>
      </c>
      <c r="U768" s="26">
        <f ca="1">IFERROR(__xludf.DUMMYFUNCTION("D768*GOOGLEFINANCE(""RUBKZT"")*1000/F768"),4102936.24512456)</f>
        <v>4102936.2451245598</v>
      </c>
      <c r="V768" s="27">
        <f t="shared" ca="1" si="531"/>
        <v>0.18951616268953692</v>
      </c>
    </row>
    <row r="769" spans="1:22" ht="12.75" customHeight="1" x14ac:dyDescent="0.2">
      <c r="A769" s="6" t="s">
        <v>106</v>
      </c>
      <c r="B769" s="6" t="s">
        <v>32</v>
      </c>
      <c r="C769" s="7">
        <v>112496</v>
      </c>
      <c r="D769" s="8">
        <v>10653.6</v>
      </c>
      <c r="E769" s="9" t="s">
        <v>16</v>
      </c>
      <c r="F769" s="23">
        <v>20</v>
      </c>
      <c r="G769" s="25"/>
      <c r="H769" s="14">
        <f t="shared" si="525"/>
        <v>0.55000000000000004</v>
      </c>
      <c r="I769" s="25">
        <f ca="1">IFERROR(__xludf.DUMMYFUNCTION("ROUND(D769*GOOGLEFINANCE(""RUBKZT"")*H769)"),45725)</f>
        <v>45725</v>
      </c>
      <c r="J769" s="26">
        <f ca="1">IFERROR(__xludf.DUMMYFUNCTION("ROUND(I769*GOOGLEFINANCE(""KZTEUR""))"),96)</f>
        <v>96</v>
      </c>
      <c r="K769" s="26">
        <f t="shared" ca="1" si="526"/>
        <v>4800</v>
      </c>
      <c r="L769" s="26">
        <f t="shared" ca="1" si="527"/>
        <v>912</v>
      </c>
      <c r="M769" s="26">
        <f t="shared" ref="M769:N769" si="785">M$3</f>
        <v>500</v>
      </c>
      <c r="N769" s="26">
        <f t="shared" si="785"/>
        <v>500</v>
      </c>
      <c r="O769" s="26">
        <f ca="1">IFERROR(__xludf.DUMMYFUNCTION("ROUND(GOOGLEFINANCE(""Currency:EURKZT"")*K769)"),2292334)</f>
        <v>2292334</v>
      </c>
      <c r="P769" s="26">
        <f ca="1">IFERROR(__xludf.DUMMYFUNCTION("ROUND(GOOGLEFINANCE(""Currency:EURKZT"")*M769)"),238785)</f>
        <v>238785</v>
      </c>
      <c r="Q769" s="26">
        <f ca="1">IFERROR(__xludf.DUMMYFUNCTION("ROUND(GOOGLEFINANCE(""Currency:EURKZT"")*N769)"),238785)</f>
        <v>238785</v>
      </c>
      <c r="R769" s="26">
        <f t="shared" ca="1" si="529"/>
        <v>275080</v>
      </c>
      <c r="S769" s="26">
        <f t="shared" ca="1" si="530"/>
        <v>3044984</v>
      </c>
      <c r="T769" s="26">
        <f ca="1">IFERROR(__xludf.DUMMYFUNCTION("ROUND(GOOGLEFINANCE(""Currency:EURKZT"")*L769+S769)"),3480527)</f>
        <v>3480527</v>
      </c>
      <c r="U769" s="26">
        <f ca="1">IFERROR(__xludf.DUMMYFUNCTION("D769*GOOGLEFINANCE(""RUBKZT"")*1000/F769"),4156780.55280336)</f>
        <v>4156780.5528033599</v>
      </c>
      <c r="V769" s="27">
        <f t="shared" ca="1" si="531"/>
        <v>0.19429630995632555</v>
      </c>
    </row>
    <row r="770" spans="1:22" ht="12.75" customHeight="1" x14ac:dyDescent="0.2">
      <c r="A770" s="6" t="s">
        <v>99</v>
      </c>
      <c r="B770" s="6" t="s">
        <v>32</v>
      </c>
      <c r="C770" s="7">
        <v>112501</v>
      </c>
      <c r="D770" s="8">
        <v>14035.199999999999</v>
      </c>
      <c r="E770" s="9" t="s">
        <v>16</v>
      </c>
      <c r="F770" s="23">
        <v>20</v>
      </c>
      <c r="G770" s="25"/>
      <c r="H770" s="14">
        <f t="shared" ref="H770:H1024" si="786">H$3+G770</f>
        <v>0.55000000000000004</v>
      </c>
      <c r="I770" s="25">
        <f ca="1">IFERROR(__xludf.DUMMYFUNCTION("ROUND(D770*GOOGLEFINANCE(""RUBKZT"")*H770)"),60238)</f>
        <v>60238</v>
      </c>
      <c r="J770" s="26">
        <f ca="1">IFERROR(__xludf.DUMMYFUNCTION("ROUND(I770*GOOGLEFINANCE(""KZTEUR""))"),126)</f>
        <v>126</v>
      </c>
      <c r="K770" s="26">
        <f t="shared" ref="K770:K1024" ca="1" si="787">ROUND(J770/F770*1000,0)</f>
        <v>6300</v>
      </c>
      <c r="L770" s="26">
        <f t="shared" ref="L770:L1024" ca="1" si="788">K770*L$3</f>
        <v>1197</v>
      </c>
      <c r="M770" s="26">
        <f t="shared" ref="M770:N770" si="789">M$3</f>
        <v>500</v>
      </c>
      <c r="N770" s="26">
        <f t="shared" si="789"/>
        <v>500</v>
      </c>
      <c r="O770" s="26">
        <f ca="1">IFERROR(__xludf.DUMMYFUNCTION("ROUND(GOOGLEFINANCE(""Currency:EURKZT"")*K770)"),3008689)</f>
        <v>3008689</v>
      </c>
      <c r="P770" s="26">
        <f ca="1">IFERROR(__xludf.DUMMYFUNCTION("ROUND(GOOGLEFINANCE(""Currency:EURKZT"")*M770)"),238785)</f>
        <v>238785</v>
      </c>
      <c r="Q770" s="26">
        <f ca="1">IFERROR(__xludf.DUMMYFUNCTION("ROUND(GOOGLEFINANCE(""Currency:EURKZT"")*N770)"),238785)</f>
        <v>238785</v>
      </c>
      <c r="R770" s="26">
        <f t="shared" ref="R770:R1024" ca="1" si="790">ROUND(O770*R$3,0)</f>
        <v>361043</v>
      </c>
      <c r="S770" s="26">
        <f t="shared" ref="S770:S1024" ca="1" si="791">SUM(O770:R770)</f>
        <v>3847302</v>
      </c>
      <c r="T770" s="26">
        <f ca="1">IFERROR(__xludf.DUMMYFUNCTION("ROUND(GOOGLEFINANCE(""Currency:EURKZT"")*L770+S770)"),4418953)</f>
        <v>4418953</v>
      </c>
      <c r="U770" s="26">
        <f ca="1">IFERROR(__xludf.DUMMYFUNCTION("D770*GOOGLEFINANCE(""RUBKZT"")*1000/F770"),5476200.19661952)</f>
        <v>5476200.19661952</v>
      </c>
      <c r="V770" s="27">
        <f t="shared" ref="V770:V1024" ca="1" si="792">(U770-T770)/T770</f>
        <v>0.23925287203089057</v>
      </c>
    </row>
    <row r="771" spans="1:22" ht="12.75" customHeight="1" x14ac:dyDescent="0.2">
      <c r="A771" s="6" t="s">
        <v>43</v>
      </c>
      <c r="B771" s="6" t="s">
        <v>32</v>
      </c>
      <c r="C771" s="7">
        <v>112508</v>
      </c>
      <c r="D771" s="8">
        <v>10503.6</v>
      </c>
      <c r="E771" s="9" t="s">
        <v>16</v>
      </c>
      <c r="F771" s="23">
        <v>20</v>
      </c>
      <c r="G771" s="25"/>
      <c r="H771" s="14">
        <f t="shared" si="786"/>
        <v>0.55000000000000004</v>
      </c>
      <c r="I771" s="25">
        <f ca="1">IFERROR(__xludf.DUMMYFUNCTION("ROUND(D771*GOOGLEFINANCE(""RUBKZT"")*H771)"),45081)</f>
        <v>45081</v>
      </c>
      <c r="J771" s="26">
        <f ca="1">IFERROR(__xludf.DUMMYFUNCTION("ROUND(I771*GOOGLEFINANCE(""KZTEUR""))"),94)</f>
        <v>94</v>
      </c>
      <c r="K771" s="26">
        <f t="shared" ca="1" si="787"/>
        <v>4700</v>
      </c>
      <c r="L771" s="26">
        <f t="shared" ca="1" si="788"/>
        <v>893</v>
      </c>
      <c r="M771" s="26">
        <f t="shared" ref="M771:N771" si="793">M$3</f>
        <v>500</v>
      </c>
      <c r="N771" s="26">
        <f t="shared" si="793"/>
        <v>500</v>
      </c>
      <c r="O771" s="26">
        <f ca="1">IFERROR(__xludf.DUMMYFUNCTION("ROUND(GOOGLEFINANCE(""Currency:EURKZT"")*K771)"),2244577)</f>
        <v>2244577</v>
      </c>
      <c r="P771" s="26">
        <f ca="1">IFERROR(__xludf.DUMMYFUNCTION("ROUND(GOOGLEFINANCE(""Currency:EURKZT"")*M771)"),238785)</f>
        <v>238785</v>
      </c>
      <c r="Q771" s="26">
        <f ca="1">IFERROR(__xludf.DUMMYFUNCTION("ROUND(GOOGLEFINANCE(""Currency:EURKZT"")*N771)"),238785)</f>
        <v>238785</v>
      </c>
      <c r="R771" s="26">
        <f t="shared" ca="1" si="790"/>
        <v>269349</v>
      </c>
      <c r="S771" s="26">
        <f t="shared" ca="1" si="791"/>
        <v>2991496</v>
      </c>
      <c r="T771" s="26">
        <f ca="1">IFERROR(__xludf.DUMMYFUNCTION("ROUND(GOOGLEFINANCE(""Currency:EURKZT"")*L771+S771)"),3417966)</f>
        <v>3417966</v>
      </c>
      <c r="U771" s="26">
        <f ca="1">IFERROR(__xludf.DUMMYFUNCTION("D771*GOOGLEFINANCE(""RUBKZT"")*1000/F771"),4098254.13141336)</f>
        <v>4098254.1314133601</v>
      </c>
      <c r="V771" s="27">
        <f t="shared" ca="1" si="792"/>
        <v>0.19903303058408425</v>
      </c>
    </row>
    <row r="772" spans="1:22" ht="12.75" customHeight="1" x14ac:dyDescent="0.2">
      <c r="A772" s="6" t="s">
        <v>107</v>
      </c>
      <c r="B772" s="6" t="s">
        <v>32</v>
      </c>
      <c r="C772" s="7">
        <v>112515</v>
      </c>
      <c r="D772" s="8">
        <v>11166</v>
      </c>
      <c r="E772" s="9" t="s">
        <v>16</v>
      </c>
      <c r="F772" s="23">
        <v>20</v>
      </c>
      <c r="G772" s="25"/>
      <c r="H772" s="14">
        <f t="shared" si="786"/>
        <v>0.55000000000000004</v>
      </c>
      <c r="I772" s="25">
        <f ca="1">IFERROR(__xludf.DUMMYFUNCTION("ROUND(D772*GOOGLEFINANCE(""RUBKZT"")*H772)"),47924)</f>
        <v>47924</v>
      </c>
      <c r="J772" s="26">
        <f ca="1">IFERROR(__xludf.DUMMYFUNCTION("ROUND(I772*GOOGLEFINANCE(""KZTEUR""))"),100)</f>
        <v>100</v>
      </c>
      <c r="K772" s="26">
        <f t="shared" ca="1" si="787"/>
        <v>5000</v>
      </c>
      <c r="L772" s="26">
        <f t="shared" ca="1" si="788"/>
        <v>950</v>
      </c>
      <c r="M772" s="26">
        <f t="shared" ref="M772:N772" si="794">M$3</f>
        <v>500</v>
      </c>
      <c r="N772" s="26">
        <f t="shared" si="794"/>
        <v>500</v>
      </c>
      <c r="O772" s="26">
        <f ca="1">IFERROR(__xludf.DUMMYFUNCTION("ROUND(GOOGLEFINANCE(""Currency:EURKZT"")*K772)"),2387848)</f>
        <v>2387848</v>
      </c>
      <c r="P772" s="26">
        <f ca="1">IFERROR(__xludf.DUMMYFUNCTION("ROUND(GOOGLEFINANCE(""Currency:EURKZT"")*M772)"),238785)</f>
        <v>238785</v>
      </c>
      <c r="Q772" s="26">
        <f ca="1">IFERROR(__xludf.DUMMYFUNCTION("ROUND(GOOGLEFINANCE(""Currency:EURKZT"")*N772)"),238785)</f>
        <v>238785</v>
      </c>
      <c r="R772" s="26">
        <f t="shared" ca="1" si="790"/>
        <v>286542</v>
      </c>
      <c r="S772" s="26">
        <f t="shared" ca="1" si="791"/>
        <v>3151960</v>
      </c>
      <c r="T772" s="26">
        <f ca="1">IFERROR(__xludf.DUMMYFUNCTION("ROUND(GOOGLEFINANCE(""Currency:EURKZT"")*L772+S772)"),3605651)</f>
        <v>3605651</v>
      </c>
      <c r="U772" s="26">
        <f ca="1">IFERROR(__xludf.DUMMYFUNCTION("D772*GOOGLEFINANCE(""RUBKZT"")*1000/F772"),4356706.8082716)</f>
        <v>4356706.8082715999</v>
      </c>
      <c r="V772" s="27">
        <f t="shared" ca="1" si="792"/>
        <v>0.20829964083368022</v>
      </c>
    </row>
    <row r="773" spans="1:22" ht="12.75" customHeight="1" x14ac:dyDescent="0.2">
      <c r="A773" s="6" t="s">
        <v>108</v>
      </c>
      <c r="B773" s="6" t="s">
        <v>32</v>
      </c>
      <c r="C773" s="7">
        <v>112517</v>
      </c>
      <c r="D773" s="8">
        <v>10453.199999999999</v>
      </c>
      <c r="E773" s="9" t="s">
        <v>16</v>
      </c>
      <c r="F773" s="23">
        <v>20</v>
      </c>
      <c r="G773" s="25"/>
      <c r="H773" s="14">
        <f t="shared" si="786"/>
        <v>0.55000000000000004</v>
      </c>
      <c r="I773" s="25">
        <f ca="1">IFERROR(__xludf.DUMMYFUNCTION("ROUND(D773*GOOGLEFINANCE(""RUBKZT"")*H773)"),44864)</f>
        <v>44864</v>
      </c>
      <c r="J773" s="26">
        <f ca="1">IFERROR(__xludf.DUMMYFUNCTION("ROUND(I773*GOOGLEFINANCE(""KZTEUR""))"),94)</f>
        <v>94</v>
      </c>
      <c r="K773" s="26">
        <f t="shared" ca="1" si="787"/>
        <v>4700</v>
      </c>
      <c r="L773" s="26">
        <f t="shared" ca="1" si="788"/>
        <v>893</v>
      </c>
      <c r="M773" s="26">
        <f t="shared" ref="M773:N773" si="795">M$3</f>
        <v>500</v>
      </c>
      <c r="N773" s="26">
        <f t="shared" si="795"/>
        <v>500</v>
      </c>
      <c r="O773" s="26">
        <f ca="1">IFERROR(__xludf.DUMMYFUNCTION("ROUND(GOOGLEFINANCE(""Currency:EURKZT"")*K773)"),2244577)</f>
        <v>2244577</v>
      </c>
      <c r="P773" s="26">
        <f ca="1">IFERROR(__xludf.DUMMYFUNCTION("ROUND(GOOGLEFINANCE(""Currency:EURKZT"")*M773)"),238785)</f>
        <v>238785</v>
      </c>
      <c r="Q773" s="26">
        <f ca="1">IFERROR(__xludf.DUMMYFUNCTION("ROUND(GOOGLEFINANCE(""Currency:EURKZT"")*N773)"),238785)</f>
        <v>238785</v>
      </c>
      <c r="R773" s="26">
        <f t="shared" ca="1" si="790"/>
        <v>269349</v>
      </c>
      <c r="S773" s="26">
        <f t="shared" ca="1" si="791"/>
        <v>2991496</v>
      </c>
      <c r="T773" s="26">
        <f ca="1">IFERROR(__xludf.DUMMYFUNCTION("ROUND(GOOGLEFINANCE(""Currency:EURKZT"")*L773+S773)"),3417966)</f>
        <v>3417966</v>
      </c>
      <c r="U773" s="26">
        <f ca="1">IFERROR(__xludf.DUMMYFUNCTION("D773*GOOGLEFINANCE(""RUBKZT"")*1000/F773"),4078589.25382632)</f>
        <v>4078589.2538263202</v>
      </c>
      <c r="V773" s="27">
        <f t="shared" ca="1" si="792"/>
        <v>0.19327964462675176</v>
      </c>
    </row>
    <row r="774" spans="1:22" ht="12.75" customHeight="1" x14ac:dyDescent="0.2">
      <c r="A774" s="6" t="s">
        <v>109</v>
      </c>
      <c r="B774" s="6" t="s">
        <v>32</v>
      </c>
      <c r="C774" s="7">
        <v>112519</v>
      </c>
      <c r="D774" s="8">
        <v>10646.4</v>
      </c>
      <c r="E774" s="9" t="s">
        <v>16</v>
      </c>
      <c r="F774" s="23">
        <v>20</v>
      </c>
      <c r="G774" s="25"/>
      <c r="H774" s="14">
        <f t="shared" si="786"/>
        <v>0.55000000000000004</v>
      </c>
      <c r="I774" s="25">
        <f ca="1">IFERROR(__xludf.DUMMYFUNCTION("ROUND(D774*GOOGLEFINANCE(""RUBKZT"")*H774)"),45694)</f>
        <v>45694</v>
      </c>
      <c r="J774" s="26">
        <f ca="1">IFERROR(__xludf.DUMMYFUNCTION("ROUND(I774*GOOGLEFINANCE(""KZTEUR""))"),96)</f>
        <v>96</v>
      </c>
      <c r="K774" s="26">
        <f t="shared" ca="1" si="787"/>
        <v>4800</v>
      </c>
      <c r="L774" s="26">
        <f t="shared" ca="1" si="788"/>
        <v>912</v>
      </c>
      <c r="M774" s="26">
        <f t="shared" ref="M774:N774" si="796">M$3</f>
        <v>500</v>
      </c>
      <c r="N774" s="26">
        <f t="shared" si="796"/>
        <v>500</v>
      </c>
      <c r="O774" s="26">
        <f ca="1">IFERROR(__xludf.DUMMYFUNCTION("ROUND(GOOGLEFINANCE(""Currency:EURKZT"")*K774)"),2292334)</f>
        <v>2292334</v>
      </c>
      <c r="P774" s="26">
        <f ca="1">IFERROR(__xludf.DUMMYFUNCTION("ROUND(GOOGLEFINANCE(""Currency:EURKZT"")*M774)"),238785)</f>
        <v>238785</v>
      </c>
      <c r="Q774" s="26">
        <f ca="1">IFERROR(__xludf.DUMMYFUNCTION("ROUND(GOOGLEFINANCE(""Currency:EURKZT"")*N774)"),238785)</f>
        <v>238785</v>
      </c>
      <c r="R774" s="26">
        <f t="shared" ca="1" si="790"/>
        <v>275080</v>
      </c>
      <c r="S774" s="26">
        <f t="shared" ca="1" si="791"/>
        <v>3044984</v>
      </c>
      <c r="T774" s="26">
        <f ca="1">IFERROR(__xludf.DUMMYFUNCTION("ROUND(GOOGLEFINANCE(""Currency:EURKZT"")*L774+S774)"),3480527)</f>
        <v>3480527</v>
      </c>
      <c r="U774" s="26">
        <f ca="1">IFERROR(__xludf.DUMMYFUNCTION("D774*GOOGLEFINANCE(""RUBKZT"")*1000/F774"),4153971.28457664)</f>
        <v>4153971.28457664</v>
      </c>
      <c r="V774" s="27">
        <f t="shared" ca="1" si="792"/>
        <v>0.19348917120213116</v>
      </c>
    </row>
    <row r="775" spans="1:22" ht="12.75" customHeight="1" x14ac:dyDescent="0.2">
      <c r="A775" s="6" t="s">
        <v>110</v>
      </c>
      <c r="B775" s="6" t="s">
        <v>32</v>
      </c>
      <c r="C775" s="7">
        <v>112521</v>
      </c>
      <c r="D775" s="8">
        <v>10802.4</v>
      </c>
      <c r="E775" s="9" t="s">
        <v>16</v>
      </c>
      <c r="F775" s="23">
        <v>20</v>
      </c>
      <c r="G775" s="25"/>
      <c r="H775" s="14">
        <f t="shared" si="786"/>
        <v>0.55000000000000004</v>
      </c>
      <c r="I775" s="25">
        <f ca="1">IFERROR(__xludf.DUMMYFUNCTION("ROUND(D775*GOOGLEFINANCE(""RUBKZT"")*H775)"),46363)</f>
        <v>46363</v>
      </c>
      <c r="J775" s="26">
        <f ca="1">IFERROR(__xludf.DUMMYFUNCTION("ROUND(I775*GOOGLEFINANCE(""KZTEUR""))"),97)</f>
        <v>97</v>
      </c>
      <c r="K775" s="26">
        <f t="shared" ca="1" si="787"/>
        <v>4850</v>
      </c>
      <c r="L775" s="26">
        <f t="shared" ca="1" si="788"/>
        <v>921.5</v>
      </c>
      <c r="M775" s="26">
        <f t="shared" ref="M775:N775" si="797">M$3</f>
        <v>500</v>
      </c>
      <c r="N775" s="26">
        <f t="shared" si="797"/>
        <v>500</v>
      </c>
      <c r="O775" s="26">
        <f ca="1">IFERROR(__xludf.DUMMYFUNCTION("ROUND(GOOGLEFINANCE(""Currency:EURKZT"")*K775)"),2316213)</f>
        <v>2316213</v>
      </c>
      <c r="P775" s="26">
        <f ca="1">IFERROR(__xludf.DUMMYFUNCTION("ROUND(GOOGLEFINANCE(""Currency:EURKZT"")*M775)"),238785)</f>
        <v>238785</v>
      </c>
      <c r="Q775" s="26">
        <f ca="1">IFERROR(__xludf.DUMMYFUNCTION("ROUND(GOOGLEFINANCE(""Currency:EURKZT"")*N775)"),238785)</f>
        <v>238785</v>
      </c>
      <c r="R775" s="26">
        <f t="shared" ca="1" si="790"/>
        <v>277946</v>
      </c>
      <c r="S775" s="26">
        <f t="shared" ca="1" si="791"/>
        <v>3071729</v>
      </c>
      <c r="T775" s="26">
        <f ca="1">IFERROR(__xludf.DUMMYFUNCTION("ROUND(GOOGLEFINANCE(""Currency:EURKZT"")*L775+S775)"),3511809)</f>
        <v>3511809</v>
      </c>
      <c r="U775" s="26">
        <f ca="1">IFERROR(__xludf.DUMMYFUNCTION("D775*GOOGLEFINANCE(""RUBKZT"")*1000/F775"),4214838.76282224)</f>
        <v>4214838.7628222397</v>
      </c>
      <c r="V775" s="27">
        <f t="shared" ca="1" si="792"/>
        <v>0.20019020476974678</v>
      </c>
    </row>
    <row r="776" spans="1:22" ht="12.75" customHeight="1" x14ac:dyDescent="0.2">
      <c r="A776" s="6" t="s">
        <v>111</v>
      </c>
      <c r="B776" s="6" t="s">
        <v>32</v>
      </c>
      <c r="C776" s="7">
        <v>112523</v>
      </c>
      <c r="D776" s="8">
        <v>11251.199999999999</v>
      </c>
      <c r="E776" s="9" t="s">
        <v>16</v>
      </c>
      <c r="F776" s="23">
        <v>20</v>
      </c>
      <c r="G776" s="25"/>
      <c r="H776" s="14">
        <f t="shared" si="786"/>
        <v>0.55000000000000004</v>
      </c>
      <c r="I776" s="25">
        <f ca="1">IFERROR(__xludf.DUMMYFUNCTION("ROUND(D776*GOOGLEFINANCE(""RUBKZT"")*H776)"),48289)</f>
        <v>48289</v>
      </c>
      <c r="J776" s="26">
        <f ca="1">IFERROR(__xludf.DUMMYFUNCTION("ROUND(I776*GOOGLEFINANCE(""KZTEUR""))"),101)</f>
        <v>101</v>
      </c>
      <c r="K776" s="26">
        <f t="shared" ca="1" si="787"/>
        <v>5050</v>
      </c>
      <c r="L776" s="26">
        <f t="shared" ca="1" si="788"/>
        <v>959.5</v>
      </c>
      <c r="M776" s="26">
        <f t="shared" ref="M776:N776" si="798">M$3</f>
        <v>500</v>
      </c>
      <c r="N776" s="26">
        <f t="shared" si="798"/>
        <v>500</v>
      </c>
      <c r="O776" s="26">
        <f ca="1">IFERROR(__xludf.DUMMYFUNCTION("ROUND(GOOGLEFINANCE(""Currency:EURKZT"")*K776)"),2411727)</f>
        <v>2411727</v>
      </c>
      <c r="P776" s="26">
        <f ca="1">IFERROR(__xludf.DUMMYFUNCTION("ROUND(GOOGLEFINANCE(""Currency:EURKZT"")*M776)"),238785)</f>
        <v>238785</v>
      </c>
      <c r="Q776" s="26">
        <f ca="1">IFERROR(__xludf.DUMMYFUNCTION("ROUND(GOOGLEFINANCE(""Currency:EURKZT"")*N776)"),238785)</f>
        <v>238785</v>
      </c>
      <c r="R776" s="26">
        <f t="shared" ca="1" si="790"/>
        <v>289407</v>
      </c>
      <c r="S776" s="26">
        <f t="shared" ca="1" si="791"/>
        <v>3178704</v>
      </c>
      <c r="T776" s="26">
        <f ca="1">IFERROR(__xludf.DUMMYFUNCTION("ROUND(GOOGLEFINANCE(""Currency:EURKZT"")*L776+S776)"),3636932)</f>
        <v>3636932</v>
      </c>
      <c r="U776" s="26">
        <f ca="1">IFERROR(__xludf.DUMMYFUNCTION("D776*GOOGLEFINANCE(""RUBKZT"")*1000/F776"),4389949.81562112)</f>
        <v>4389949.8156211199</v>
      </c>
      <c r="V776" s="27">
        <f t="shared" ca="1" si="792"/>
        <v>0.20704753776565521</v>
      </c>
    </row>
    <row r="777" spans="1:22" ht="12.75" customHeight="1" x14ac:dyDescent="0.2">
      <c r="A777" s="6" t="s">
        <v>112</v>
      </c>
      <c r="B777" s="6" t="s">
        <v>32</v>
      </c>
      <c r="C777" s="7">
        <v>112525</v>
      </c>
      <c r="D777" s="8">
        <v>11809.199999999999</v>
      </c>
      <c r="E777" s="9" t="s">
        <v>16</v>
      </c>
      <c r="F777" s="23">
        <v>20</v>
      </c>
      <c r="G777" s="25"/>
      <c r="H777" s="14">
        <f t="shared" si="786"/>
        <v>0.55000000000000004</v>
      </c>
      <c r="I777" s="25">
        <f ca="1">IFERROR(__xludf.DUMMYFUNCTION("ROUND(D777*GOOGLEFINANCE(""RUBKZT"")*H777)"),50684)</f>
        <v>50684</v>
      </c>
      <c r="J777" s="26">
        <f ca="1">IFERROR(__xludf.DUMMYFUNCTION("ROUND(I777*GOOGLEFINANCE(""KZTEUR""))"),106)</f>
        <v>106</v>
      </c>
      <c r="K777" s="26">
        <f t="shared" ca="1" si="787"/>
        <v>5300</v>
      </c>
      <c r="L777" s="26">
        <f t="shared" ca="1" si="788"/>
        <v>1007</v>
      </c>
      <c r="M777" s="26">
        <f t="shared" ref="M777:N777" si="799">M$3</f>
        <v>500</v>
      </c>
      <c r="N777" s="26">
        <f t="shared" si="799"/>
        <v>500</v>
      </c>
      <c r="O777" s="26">
        <f ca="1">IFERROR(__xludf.DUMMYFUNCTION("ROUND(GOOGLEFINANCE(""Currency:EURKZT"")*K777)"),2531119)</f>
        <v>2531119</v>
      </c>
      <c r="P777" s="26">
        <f ca="1">IFERROR(__xludf.DUMMYFUNCTION("ROUND(GOOGLEFINANCE(""Currency:EURKZT"")*M777)"),238785)</f>
        <v>238785</v>
      </c>
      <c r="Q777" s="26">
        <f ca="1">IFERROR(__xludf.DUMMYFUNCTION("ROUND(GOOGLEFINANCE(""Currency:EURKZT"")*N777)"),238785)</f>
        <v>238785</v>
      </c>
      <c r="R777" s="26">
        <f t="shared" ca="1" si="790"/>
        <v>303734</v>
      </c>
      <c r="S777" s="26">
        <f t="shared" ca="1" si="791"/>
        <v>3312423</v>
      </c>
      <c r="T777" s="26">
        <f ca="1">IFERROR(__xludf.DUMMYFUNCTION("ROUND(GOOGLEFINANCE(""Currency:EURKZT"")*L777+S777)"),3793336)</f>
        <v>3793336</v>
      </c>
      <c r="U777" s="26">
        <f ca="1">IFERROR(__xludf.DUMMYFUNCTION("D777*GOOGLEFINANCE(""RUBKZT"")*1000/F777"),4607668.10319192)</f>
        <v>4607668.1031919196</v>
      </c>
      <c r="V777" s="27">
        <f t="shared" ca="1" si="792"/>
        <v>0.21467439298599428</v>
      </c>
    </row>
    <row r="778" spans="1:22" ht="12.75" customHeight="1" x14ac:dyDescent="0.2">
      <c r="A778" s="6" t="s">
        <v>113</v>
      </c>
      <c r="B778" s="6" t="s">
        <v>32</v>
      </c>
      <c r="C778" s="7">
        <v>112527</v>
      </c>
      <c r="D778" s="8">
        <v>11702.4</v>
      </c>
      <c r="E778" s="9" t="s">
        <v>16</v>
      </c>
      <c r="F778" s="23">
        <v>20</v>
      </c>
      <c r="G778" s="25"/>
      <c r="H778" s="14">
        <f t="shared" si="786"/>
        <v>0.55000000000000004</v>
      </c>
      <c r="I778" s="25">
        <f ca="1">IFERROR(__xludf.DUMMYFUNCTION("ROUND(D778*GOOGLEFINANCE(""RUBKZT"")*H778)"),50226)</f>
        <v>50226</v>
      </c>
      <c r="J778" s="26">
        <f ca="1">IFERROR(__xludf.DUMMYFUNCTION("ROUND(I778*GOOGLEFINANCE(""KZTEUR""))"),105)</f>
        <v>105</v>
      </c>
      <c r="K778" s="26">
        <f t="shared" ca="1" si="787"/>
        <v>5250</v>
      </c>
      <c r="L778" s="26">
        <f t="shared" ca="1" si="788"/>
        <v>997.5</v>
      </c>
      <c r="M778" s="26">
        <f t="shared" ref="M778:N778" si="800">M$3</f>
        <v>500</v>
      </c>
      <c r="N778" s="26">
        <f t="shared" si="800"/>
        <v>500</v>
      </c>
      <c r="O778" s="26">
        <f ca="1">IFERROR(__xludf.DUMMYFUNCTION("ROUND(GOOGLEFINANCE(""Currency:EURKZT"")*K778)"),2507240)</f>
        <v>2507240</v>
      </c>
      <c r="P778" s="26">
        <f ca="1">IFERROR(__xludf.DUMMYFUNCTION("ROUND(GOOGLEFINANCE(""Currency:EURKZT"")*M778)"),238785)</f>
        <v>238785</v>
      </c>
      <c r="Q778" s="26">
        <f ca="1">IFERROR(__xludf.DUMMYFUNCTION("ROUND(GOOGLEFINANCE(""Currency:EURKZT"")*N778)"),238785)</f>
        <v>238785</v>
      </c>
      <c r="R778" s="26">
        <f t="shared" ca="1" si="790"/>
        <v>300869</v>
      </c>
      <c r="S778" s="26">
        <f t="shared" ca="1" si="791"/>
        <v>3285679</v>
      </c>
      <c r="T778" s="26">
        <f ca="1">IFERROR(__xludf.DUMMYFUNCTION("ROUND(GOOGLEFINANCE(""Currency:EURKZT"")*L778+S778)"),3762055)</f>
        <v>3762055</v>
      </c>
      <c r="U778" s="26">
        <f ca="1">IFERROR(__xludf.DUMMYFUNCTION("D778*GOOGLEFINANCE(""RUBKZT"")*1000/F778"),4565997.29116224)</f>
        <v>4565997.2911622403</v>
      </c>
      <c r="V778" s="27">
        <f t="shared" ca="1" si="792"/>
        <v>0.21369764428277638</v>
      </c>
    </row>
    <row r="779" spans="1:22" ht="12.75" customHeight="1" x14ac:dyDescent="0.2">
      <c r="A779" s="6" t="s">
        <v>41</v>
      </c>
      <c r="B779" s="6" t="s">
        <v>32</v>
      </c>
      <c r="C779" s="7">
        <v>112532</v>
      </c>
      <c r="D779" s="8">
        <v>11284.8</v>
      </c>
      <c r="E779" s="9" t="s">
        <v>16</v>
      </c>
      <c r="F779" s="23">
        <v>20</v>
      </c>
      <c r="G779" s="25"/>
      <c r="H779" s="14">
        <f t="shared" si="786"/>
        <v>0.55000000000000004</v>
      </c>
      <c r="I779" s="25">
        <f ca="1">IFERROR(__xludf.DUMMYFUNCTION("ROUND(D779*GOOGLEFINANCE(""RUBKZT"")*H779)"),48434)</f>
        <v>48434</v>
      </c>
      <c r="J779" s="26">
        <f ca="1">IFERROR(__xludf.DUMMYFUNCTION("ROUND(I779*GOOGLEFINANCE(""KZTEUR""))"),101)</f>
        <v>101</v>
      </c>
      <c r="K779" s="26">
        <f t="shared" ca="1" si="787"/>
        <v>5050</v>
      </c>
      <c r="L779" s="26">
        <f t="shared" ca="1" si="788"/>
        <v>959.5</v>
      </c>
      <c r="M779" s="26">
        <f t="shared" ref="M779:N779" si="801">M$3</f>
        <v>500</v>
      </c>
      <c r="N779" s="26">
        <f t="shared" si="801"/>
        <v>500</v>
      </c>
      <c r="O779" s="26">
        <f ca="1">IFERROR(__xludf.DUMMYFUNCTION("ROUND(GOOGLEFINANCE(""Currency:EURKZT"")*K779)"),2411727)</f>
        <v>2411727</v>
      </c>
      <c r="P779" s="26">
        <f ca="1">IFERROR(__xludf.DUMMYFUNCTION("ROUND(GOOGLEFINANCE(""Currency:EURKZT"")*M779)"),238785)</f>
        <v>238785</v>
      </c>
      <c r="Q779" s="26">
        <f ca="1">IFERROR(__xludf.DUMMYFUNCTION("ROUND(GOOGLEFINANCE(""Currency:EURKZT"")*N779)"),238785)</f>
        <v>238785</v>
      </c>
      <c r="R779" s="26">
        <f t="shared" ca="1" si="790"/>
        <v>289407</v>
      </c>
      <c r="S779" s="26">
        <f t="shared" ca="1" si="791"/>
        <v>3178704</v>
      </c>
      <c r="T779" s="26">
        <f ca="1">IFERROR(__xludf.DUMMYFUNCTION("ROUND(GOOGLEFINANCE(""Currency:EURKZT"")*L779+S779)"),3636932)</f>
        <v>3636932</v>
      </c>
      <c r="U779" s="26">
        <f ca="1">IFERROR(__xludf.DUMMYFUNCTION("D779*GOOGLEFINANCE(""RUBKZT"")*1000/F779"),4403059.73401248)</f>
        <v>4403059.7340124799</v>
      </c>
      <c r="V779" s="27">
        <f t="shared" ca="1" si="792"/>
        <v>0.21065220191427278</v>
      </c>
    </row>
    <row r="780" spans="1:22" ht="12.75" customHeight="1" x14ac:dyDescent="0.2">
      <c r="A780" s="6" t="s">
        <v>44</v>
      </c>
      <c r="B780" s="6" t="s">
        <v>32</v>
      </c>
      <c r="C780" s="7">
        <v>112534</v>
      </c>
      <c r="D780" s="8">
        <v>12745.199999999999</v>
      </c>
      <c r="E780" s="9" t="s">
        <v>16</v>
      </c>
      <c r="F780" s="23">
        <v>20</v>
      </c>
      <c r="G780" s="25"/>
      <c r="H780" s="14">
        <f t="shared" si="786"/>
        <v>0.55000000000000004</v>
      </c>
      <c r="I780" s="25">
        <f ca="1">IFERROR(__xludf.DUMMYFUNCTION("ROUND(D780*GOOGLEFINANCE(""RUBKZT"")*H780)"),54702)</f>
        <v>54702</v>
      </c>
      <c r="J780" s="26">
        <f ca="1">IFERROR(__xludf.DUMMYFUNCTION("ROUND(I780*GOOGLEFINANCE(""KZTEUR""))"),115)</f>
        <v>115</v>
      </c>
      <c r="K780" s="26">
        <f t="shared" ca="1" si="787"/>
        <v>5750</v>
      </c>
      <c r="L780" s="26">
        <f t="shared" ca="1" si="788"/>
        <v>1092.5</v>
      </c>
      <c r="M780" s="26">
        <f t="shared" ref="M780:N780" si="802">M$3</f>
        <v>500</v>
      </c>
      <c r="N780" s="26">
        <f t="shared" si="802"/>
        <v>500</v>
      </c>
      <c r="O780" s="26">
        <f ca="1">IFERROR(__xludf.DUMMYFUNCTION("ROUND(GOOGLEFINANCE(""Currency:EURKZT"")*K780)"),2746025)</f>
        <v>2746025</v>
      </c>
      <c r="P780" s="26">
        <f ca="1">IFERROR(__xludf.DUMMYFUNCTION("ROUND(GOOGLEFINANCE(""Currency:EURKZT"")*M780)"),238785)</f>
        <v>238785</v>
      </c>
      <c r="Q780" s="26">
        <f ca="1">IFERROR(__xludf.DUMMYFUNCTION("ROUND(GOOGLEFINANCE(""Currency:EURKZT"")*N780)"),238785)</f>
        <v>238785</v>
      </c>
      <c r="R780" s="26">
        <f t="shared" ca="1" si="790"/>
        <v>329523</v>
      </c>
      <c r="S780" s="26">
        <f t="shared" ca="1" si="791"/>
        <v>3553118</v>
      </c>
      <c r="T780" s="26">
        <f ca="1">IFERROR(__xludf.DUMMYFUNCTION("ROUND(GOOGLEFINANCE(""Currency:EURKZT"")*L780+S780)"),4074863)</f>
        <v>4074863</v>
      </c>
      <c r="U780" s="26">
        <f ca="1">IFERROR(__xludf.DUMMYFUNCTION("D780*GOOGLEFINANCE(""RUBKZT"")*1000/F780"),4972872.97266552)</f>
        <v>4972872.9726655204</v>
      </c>
      <c r="V780" s="27">
        <f t="shared" ca="1" si="792"/>
        <v>0.22037795446509989</v>
      </c>
    </row>
    <row r="781" spans="1:22" ht="12.75" customHeight="1" x14ac:dyDescent="0.2">
      <c r="A781" s="6" t="s">
        <v>84</v>
      </c>
      <c r="B781" s="6" t="s">
        <v>32</v>
      </c>
      <c r="C781" s="7">
        <v>112535</v>
      </c>
      <c r="D781" s="8">
        <v>13940.4</v>
      </c>
      <c r="E781" s="9" t="s">
        <v>16</v>
      </c>
      <c r="F781" s="23">
        <v>20</v>
      </c>
      <c r="G781" s="25"/>
      <c r="H781" s="14">
        <f t="shared" si="786"/>
        <v>0.55000000000000004</v>
      </c>
      <c r="I781" s="25">
        <f ca="1">IFERROR(__xludf.DUMMYFUNCTION("ROUND(D781*GOOGLEFINANCE(""RUBKZT"")*H781)"),59831)</f>
        <v>59831</v>
      </c>
      <c r="J781" s="26">
        <f ca="1">IFERROR(__xludf.DUMMYFUNCTION("ROUND(I781*GOOGLEFINANCE(""KZTEUR""))"),125)</f>
        <v>125</v>
      </c>
      <c r="K781" s="26">
        <f t="shared" ca="1" si="787"/>
        <v>6250</v>
      </c>
      <c r="L781" s="26">
        <f t="shared" ca="1" si="788"/>
        <v>1187.5</v>
      </c>
      <c r="M781" s="26">
        <f t="shared" ref="M781:N781" si="803">M$3</f>
        <v>500</v>
      </c>
      <c r="N781" s="26">
        <f t="shared" si="803"/>
        <v>500</v>
      </c>
      <c r="O781" s="26">
        <f ca="1">IFERROR(__xludf.DUMMYFUNCTION("ROUND(GOOGLEFINANCE(""Currency:EURKZT"")*K781)"),2984810)</f>
        <v>2984810</v>
      </c>
      <c r="P781" s="26">
        <f ca="1">IFERROR(__xludf.DUMMYFUNCTION("ROUND(GOOGLEFINANCE(""Currency:EURKZT"")*M781)"),238785)</f>
        <v>238785</v>
      </c>
      <c r="Q781" s="26">
        <f ca="1">IFERROR(__xludf.DUMMYFUNCTION("ROUND(GOOGLEFINANCE(""Currency:EURKZT"")*N781)"),238785)</f>
        <v>238785</v>
      </c>
      <c r="R781" s="26">
        <f t="shared" ca="1" si="790"/>
        <v>358177</v>
      </c>
      <c r="S781" s="26">
        <f t="shared" ca="1" si="791"/>
        <v>3820557</v>
      </c>
      <c r="T781" s="26">
        <f ca="1">IFERROR(__xludf.DUMMYFUNCTION("ROUND(GOOGLEFINANCE(""Currency:EURKZT"")*L781+S781)"),4387671)</f>
        <v>4387671</v>
      </c>
      <c r="U781" s="26">
        <f ca="1">IFERROR(__xludf.DUMMYFUNCTION("D781*GOOGLEFINANCE(""RUBKZT"")*1000/F781"),5439211.49830104)</f>
        <v>5439211.4983010404</v>
      </c>
      <c r="V781" s="27">
        <f t="shared" ca="1" si="792"/>
        <v>0.23965800952282895</v>
      </c>
    </row>
    <row r="782" spans="1:22" ht="12.75" customHeight="1" x14ac:dyDescent="0.2">
      <c r="A782" s="6" t="s">
        <v>101</v>
      </c>
      <c r="B782" s="6" t="s">
        <v>32</v>
      </c>
      <c r="C782" s="7">
        <v>112537</v>
      </c>
      <c r="D782" s="8">
        <v>26331.599999999999</v>
      </c>
      <c r="E782" s="9" t="s">
        <v>16</v>
      </c>
      <c r="F782" s="23">
        <v>20</v>
      </c>
      <c r="G782" s="25"/>
      <c r="H782" s="14">
        <f t="shared" si="786"/>
        <v>0.55000000000000004</v>
      </c>
      <c r="I782" s="25">
        <f ca="1">IFERROR(__xludf.DUMMYFUNCTION("ROUND(D782*GOOGLEFINANCE(""RUBKZT"")*H782)"),113014)</f>
        <v>113014</v>
      </c>
      <c r="J782" s="26">
        <f ca="1">IFERROR(__xludf.DUMMYFUNCTION("ROUND(I782*GOOGLEFINANCE(""KZTEUR""))"),237)</f>
        <v>237</v>
      </c>
      <c r="K782" s="26">
        <f t="shared" ca="1" si="787"/>
        <v>11850</v>
      </c>
      <c r="L782" s="26">
        <f t="shared" ca="1" si="788"/>
        <v>2251.5</v>
      </c>
      <c r="M782" s="26">
        <f t="shared" ref="M782:N782" si="804">M$3</f>
        <v>500</v>
      </c>
      <c r="N782" s="26">
        <f t="shared" si="804"/>
        <v>500</v>
      </c>
      <c r="O782" s="26">
        <f ca="1">IFERROR(__xludf.DUMMYFUNCTION("ROUND(GOOGLEFINANCE(""Currency:EURKZT"")*K782)"),5659200)</f>
        <v>5659200</v>
      </c>
      <c r="P782" s="26">
        <f ca="1">IFERROR(__xludf.DUMMYFUNCTION("ROUND(GOOGLEFINANCE(""Currency:EURKZT"")*M782)"),238785)</f>
        <v>238785</v>
      </c>
      <c r="Q782" s="26">
        <f ca="1">IFERROR(__xludf.DUMMYFUNCTION("ROUND(GOOGLEFINANCE(""Currency:EURKZT"")*N782)"),238785)</f>
        <v>238785</v>
      </c>
      <c r="R782" s="26">
        <f t="shared" ca="1" si="790"/>
        <v>679104</v>
      </c>
      <c r="S782" s="26">
        <f t="shared" ca="1" si="791"/>
        <v>6815874</v>
      </c>
      <c r="T782" s="26">
        <f ca="1">IFERROR(__xludf.DUMMYFUNCTION("ROUND(GOOGLEFINANCE(""Currency:EURKZT"")*L782+S782)"),7891122)</f>
        <v>7891122</v>
      </c>
      <c r="U782" s="26">
        <f ca="1">IFERROR(__xludf.DUMMYFUNCTION("D782*GOOGLEFINANCE(""RUBKZT"")*1000/F782"),10273962.1164861)</f>
        <v>10273962.1164861</v>
      </c>
      <c r="V782" s="27">
        <f t="shared" ca="1" si="792"/>
        <v>0.30196467834182522</v>
      </c>
    </row>
    <row r="783" spans="1:22" ht="12.75" customHeight="1" x14ac:dyDescent="0.2">
      <c r="A783" s="6" t="s">
        <v>116</v>
      </c>
      <c r="B783" s="6" t="s">
        <v>32</v>
      </c>
      <c r="C783" s="7">
        <v>112539</v>
      </c>
      <c r="D783" s="8">
        <v>26670</v>
      </c>
      <c r="E783" s="9" t="s">
        <v>16</v>
      </c>
      <c r="F783" s="23">
        <v>20</v>
      </c>
      <c r="G783" s="25"/>
      <c r="H783" s="14">
        <f t="shared" si="786"/>
        <v>0.55000000000000004</v>
      </c>
      <c r="I783" s="25">
        <f ca="1">IFERROR(__xludf.DUMMYFUNCTION("ROUND(D783*GOOGLEFINANCE(""RUBKZT"")*H783)"),114466)</f>
        <v>114466</v>
      </c>
      <c r="J783" s="26">
        <f ca="1">IFERROR(__xludf.DUMMYFUNCTION("ROUND(I783*GOOGLEFINANCE(""KZTEUR""))"),240)</f>
        <v>240</v>
      </c>
      <c r="K783" s="26">
        <f t="shared" ca="1" si="787"/>
        <v>12000</v>
      </c>
      <c r="L783" s="26">
        <f t="shared" ca="1" si="788"/>
        <v>2280</v>
      </c>
      <c r="M783" s="26">
        <f t="shared" ref="M783:N783" si="805">M$3</f>
        <v>500</v>
      </c>
      <c r="N783" s="26">
        <f t="shared" si="805"/>
        <v>500</v>
      </c>
      <c r="O783" s="26">
        <f ca="1">IFERROR(__xludf.DUMMYFUNCTION("ROUND(GOOGLEFINANCE(""Currency:EURKZT"")*K783)"),5730835)</f>
        <v>5730835</v>
      </c>
      <c r="P783" s="26">
        <f ca="1">IFERROR(__xludf.DUMMYFUNCTION("ROUND(GOOGLEFINANCE(""Currency:EURKZT"")*M783)"),238785)</f>
        <v>238785</v>
      </c>
      <c r="Q783" s="26">
        <f ca="1">IFERROR(__xludf.DUMMYFUNCTION("ROUND(GOOGLEFINANCE(""Currency:EURKZT"")*N783)"),238785)</f>
        <v>238785</v>
      </c>
      <c r="R783" s="26">
        <f t="shared" ca="1" si="790"/>
        <v>687700</v>
      </c>
      <c r="S783" s="26">
        <f t="shared" ca="1" si="791"/>
        <v>6896105</v>
      </c>
      <c r="T783" s="26">
        <f ca="1">IFERROR(__xludf.DUMMYFUNCTION("ROUND(GOOGLEFINANCE(""Currency:EURKZT"")*L783+S783)"),7984964)</f>
        <v>7984964</v>
      </c>
      <c r="U783" s="26">
        <f ca="1">IFERROR(__xludf.DUMMYFUNCTION("D783*GOOGLEFINANCE(""RUBKZT"")*1000/F783"),10405997.723142)</f>
        <v>10405997.723142</v>
      </c>
      <c r="V783" s="27">
        <f t="shared" ca="1" si="792"/>
        <v>0.30319907805996371</v>
      </c>
    </row>
    <row r="784" spans="1:22" ht="12.75" customHeight="1" x14ac:dyDescent="0.2">
      <c r="A784" s="6" t="s">
        <v>118</v>
      </c>
      <c r="B784" s="6" t="s">
        <v>32</v>
      </c>
      <c r="C784" s="7">
        <v>112550</v>
      </c>
      <c r="D784" s="8">
        <v>28077.599999999999</v>
      </c>
      <c r="E784" s="9" t="s">
        <v>16</v>
      </c>
      <c r="F784" s="23">
        <v>20</v>
      </c>
      <c r="G784" s="25"/>
      <c r="H784" s="14">
        <f t="shared" si="786"/>
        <v>0.55000000000000004</v>
      </c>
      <c r="I784" s="25">
        <f ca="1">IFERROR(__xludf.DUMMYFUNCTION("ROUND(D784*GOOGLEFINANCE(""RUBKZT"")*H784)"),120507)</f>
        <v>120507</v>
      </c>
      <c r="J784" s="26">
        <f ca="1">IFERROR(__xludf.DUMMYFUNCTION("ROUND(I784*GOOGLEFINANCE(""KZTEUR""))"),252)</f>
        <v>252</v>
      </c>
      <c r="K784" s="26">
        <f t="shared" ca="1" si="787"/>
        <v>12600</v>
      </c>
      <c r="L784" s="26">
        <f t="shared" ca="1" si="788"/>
        <v>2394</v>
      </c>
      <c r="M784" s="26">
        <f t="shared" ref="M784:N784" si="806">M$3</f>
        <v>500</v>
      </c>
      <c r="N784" s="26">
        <f t="shared" si="806"/>
        <v>500</v>
      </c>
      <c r="O784" s="26">
        <f ca="1">IFERROR(__xludf.DUMMYFUNCTION("ROUND(GOOGLEFINANCE(""Currency:EURKZT"")*K784)"),6017377)</f>
        <v>6017377</v>
      </c>
      <c r="P784" s="26">
        <f ca="1">IFERROR(__xludf.DUMMYFUNCTION("ROUND(GOOGLEFINANCE(""Currency:EURKZT"")*M784)"),238785)</f>
        <v>238785</v>
      </c>
      <c r="Q784" s="26">
        <f ca="1">IFERROR(__xludf.DUMMYFUNCTION("ROUND(GOOGLEFINANCE(""Currency:EURKZT"")*N784)"),238785)</f>
        <v>238785</v>
      </c>
      <c r="R784" s="26">
        <f t="shared" ca="1" si="790"/>
        <v>722085</v>
      </c>
      <c r="S784" s="26">
        <f t="shared" ca="1" si="791"/>
        <v>7217032</v>
      </c>
      <c r="T784" s="26">
        <f ca="1">IFERROR(__xludf.DUMMYFUNCTION("ROUND(GOOGLEFINANCE(""Currency:EURKZT"")*L784+S784)"),8360334)</f>
        <v>8360334</v>
      </c>
      <c r="U784" s="26">
        <f ca="1">IFERROR(__xludf.DUMMYFUNCTION("D784*GOOGLEFINANCE(""RUBKZT"")*1000/F784"),10955209.6614657)</f>
        <v>10955209.661465701</v>
      </c>
      <c r="V784" s="27">
        <f t="shared" ca="1" si="792"/>
        <v>0.31037942520785661</v>
      </c>
    </row>
    <row r="785" spans="1:22" ht="12.75" customHeight="1" x14ac:dyDescent="0.2">
      <c r="A785" s="6" t="s">
        <v>119</v>
      </c>
      <c r="B785" s="6" t="s">
        <v>32</v>
      </c>
      <c r="C785" s="7">
        <v>112551</v>
      </c>
      <c r="D785" s="8">
        <v>35247.599999999999</v>
      </c>
      <c r="E785" s="9" t="s">
        <v>16</v>
      </c>
      <c r="F785" s="23">
        <v>20</v>
      </c>
      <c r="G785" s="25"/>
      <c r="H785" s="14">
        <f t="shared" si="786"/>
        <v>0.55000000000000004</v>
      </c>
      <c r="I785" s="25">
        <f ca="1">IFERROR(__xludf.DUMMYFUNCTION("ROUND(D785*GOOGLEFINANCE(""RUBKZT"")*H785)"),151280)</f>
        <v>151280</v>
      </c>
      <c r="J785" s="26">
        <f ca="1">IFERROR(__xludf.DUMMYFUNCTION("ROUND(I785*GOOGLEFINANCE(""KZTEUR""))"),317)</f>
        <v>317</v>
      </c>
      <c r="K785" s="26">
        <f t="shared" ca="1" si="787"/>
        <v>15850</v>
      </c>
      <c r="L785" s="26">
        <f t="shared" ca="1" si="788"/>
        <v>3011.5</v>
      </c>
      <c r="M785" s="26">
        <f t="shared" ref="M785:N785" si="807">M$3</f>
        <v>500</v>
      </c>
      <c r="N785" s="26">
        <f t="shared" si="807"/>
        <v>500</v>
      </c>
      <c r="O785" s="26">
        <f ca="1">IFERROR(__xludf.DUMMYFUNCTION("ROUND(GOOGLEFINANCE(""Currency:EURKZT"")*K785)"),7569478)</f>
        <v>7569478</v>
      </c>
      <c r="P785" s="26">
        <f ca="1">IFERROR(__xludf.DUMMYFUNCTION("ROUND(GOOGLEFINANCE(""Currency:EURKZT"")*M785)"),238785)</f>
        <v>238785</v>
      </c>
      <c r="Q785" s="26">
        <f ca="1">IFERROR(__xludf.DUMMYFUNCTION("ROUND(GOOGLEFINANCE(""Currency:EURKZT"")*N785)"),238785)</f>
        <v>238785</v>
      </c>
      <c r="R785" s="26">
        <f t="shared" ca="1" si="790"/>
        <v>908337</v>
      </c>
      <c r="S785" s="26">
        <f t="shared" ca="1" si="791"/>
        <v>8955385</v>
      </c>
      <c r="T785" s="26">
        <f ca="1">IFERROR(__xludf.DUMMYFUNCTION("ROUND(GOOGLEFINANCE(""Currency:EURKZT"")*L785+S785)"),10393586)</f>
        <v>10393586</v>
      </c>
      <c r="U785" s="26">
        <f ca="1">IFERROR(__xludf.DUMMYFUNCTION("D785*GOOGLEFINANCE(""RUBKZT"")*1000/F785"),13752772.6039077)</f>
        <v>13752772.603907701</v>
      </c>
      <c r="V785" s="27">
        <f t="shared" ca="1" si="792"/>
        <v>0.3231980380888464</v>
      </c>
    </row>
    <row r="786" spans="1:22" ht="12.75" customHeight="1" x14ac:dyDescent="0.2">
      <c r="A786" s="6" t="s">
        <v>120</v>
      </c>
      <c r="B786" s="6" t="s">
        <v>32</v>
      </c>
      <c r="C786" s="7">
        <v>112552</v>
      </c>
      <c r="D786" s="8">
        <v>33840</v>
      </c>
      <c r="E786" s="9" t="s">
        <v>16</v>
      </c>
      <c r="F786" s="23">
        <v>20</v>
      </c>
      <c r="G786" s="25"/>
      <c r="H786" s="14">
        <f t="shared" si="786"/>
        <v>0.55000000000000004</v>
      </c>
      <c r="I786" s="25">
        <f ca="1">IFERROR(__xludf.DUMMYFUNCTION("ROUND(D786*GOOGLEFINANCE(""RUBKZT"")*H786)"),145239)</f>
        <v>145239</v>
      </c>
      <c r="J786" s="26">
        <f ca="1">IFERROR(__xludf.DUMMYFUNCTION("ROUND(I786*GOOGLEFINANCE(""KZTEUR""))"),304)</f>
        <v>304</v>
      </c>
      <c r="K786" s="26">
        <f t="shared" ca="1" si="787"/>
        <v>15200</v>
      </c>
      <c r="L786" s="26">
        <f t="shared" ca="1" si="788"/>
        <v>2888</v>
      </c>
      <c r="M786" s="26">
        <f t="shared" ref="M786:N786" si="808">M$3</f>
        <v>500</v>
      </c>
      <c r="N786" s="26">
        <f t="shared" si="808"/>
        <v>500</v>
      </c>
      <c r="O786" s="26">
        <f ca="1">IFERROR(__xludf.DUMMYFUNCTION("ROUND(GOOGLEFINANCE(""Currency:EURKZT"")*K786)"),7259058)</f>
        <v>7259058</v>
      </c>
      <c r="P786" s="26">
        <f ca="1">IFERROR(__xludf.DUMMYFUNCTION("ROUND(GOOGLEFINANCE(""Currency:EURKZT"")*M786)"),238785)</f>
        <v>238785</v>
      </c>
      <c r="Q786" s="26">
        <f ca="1">IFERROR(__xludf.DUMMYFUNCTION("ROUND(GOOGLEFINANCE(""Currency:EURKZT"")*N786)"),238785)</f>
        <v>238785</v>
      </c>
      <c r="R786" s="26">
        <f t="shared" ca="1" si="790"/>
        <v>871087</v>
      </c>
      <c r="S786" s="26">
        <f t="shared" ca="1" si="791"/>
        <v>8607715</v>
      </c>
      <c r="T786" s="26">
        <f ca="1">IFERROR(__xludf.DUMMYFUNCTION("ROUND(GOOGLEFINANCE(""Currency:EURKZT"")*L786+S786)"),9986936)</f>
        <v>9986936</v>
      </c>
      <c r="U786" s="26">
        <f ca="1">IFERROR(__xludf.DUMMYFUNCTION("D786*GOOGLEFINANCE(""RUBKZT"")*1000/F786"),13203560.665584)</f>
        <v>13203560.665584</v>
      </c>
      <c r="V786" s="27">
        <f t="shared" ca="1" si="792"/>
        <v>0.32208323609803846</v>
      </c>
    </row>
    <row r="787" spans="1:22" ht="12.75" customHeight="1" x14ac:dyDescent="0.2">
      <c r="A787" s="6" t="s">
        <v>83</v>
      </c>
      <c r="B787" s="6" t="s">
        <v>32</v>
      </c>
      <c r="C787" s="7">
        <v>112567</v>
      </c>
      <c r="D787" s="8">
        <v>14388</v>
      </c>
      <c r="E787" s="9" t="s">
        <v>16</v>
      </c>
      <c r="F787" s="23">
        <v>20</v>
      </c>
      <c r="G787" s="25"/>
      <c r="H787" s="14">
        <f t="shared" si="786"/>
        <v>0.55000000000000004</v>
      </c>
      <c r="I787" s="25">
        <f ca="1">IFERROR(__xludf.DUMMYFUNCTION("ROUND(D787*GOOGLEFINANCE(""RUBKZT"")*H787)"),61752)</f>
        <v>61752</v>
      </c>
      <c r="J787" s="26">
        <f ca="1">IFERROR(__xludf.DUMMYFUNCTION("ROUND(I787*GOOGLEFINANCE(""KZTEUR""))"),129)</f>
        <v>129</v>
      </c>
      <c r="K787" s="26">
        <f t="shared" ca="1" si="787"/>
        <v>6450</v>
      </c>
      <c r="L787" s="26">
        <f t="shared" ca="1" si="788"/>
        <v>1225.5</v>
      </c>
      <c r="M787" s="26">
        <f t="shared" ref="M787:N787" si="809">M$3</f>
        <v>500</v>
      </c>
      <c r="N787" s="26">
        <f t="shared" si="809"/>
        <v>500</v>
      </c>
      <c r="O787" s="26">
        <f ca="1">IFERROR(__xludf.DUMMYFUNCTION("ROUND(GOOGLEFINANCE(""Currency:EURKZT"")*K787)"),3080324)</f>
        <v>3080324</v>
      </c>
      <c r="P787" s="26">
        <f ca="1">IFERROR(__xludf.DUMMYFUNCTION("ROUND(GOOGLEFINANCE(""Currency:EURKZT"")*M787)"),238785)</f>
        <v>238785</v>
      </c>
      <c r="Q787" s="26">
        <f ca="1">IFERROR(__xludf.DUMMYFUNCTION("ROUND(GOOGLEFINANCE(""Currency:EURKZT"")*N787)"),238785)</f>
        <v>238785</v>
      </c>
      <c r="R787" s="26">
        <f t="shared" ca="1" si="790"/>
        <v>369639</v>
      </c>
      <c r="S787" s="26">
        <f t="shared" ca="1" si="791"/>
        <v>3927533</v>
      </c>
      <c r="T787" s="26">
        <f ca="1">IFERROR(__xludf.DUMMYFUNCTION("ROUND(GOOGLEFINANCE(""Currency:EURKZT"")*L787+S787)"),4512795)</f>
        <v>4512795</v>
      </c>
      <c r="U787" s="26">
        <f ca="1">IFERROR(__xludf.DUMMYFUNCTION("D787*GOOGLEFINANCE(""RUBKZT"")*1000/F787"),5613854.3397288)</f>
        <v>5613854.3397287996</v>
      </c>
      <c r="V787" s="27">
        <f t="shared" ca="1" si="792"/>
        <v>0.24398611940688633</v>
      </c>
    </row>
    <row r="788" spans="1:22" ht="12.75" customHeight="1" x14ac:dyDescent="0.2">
      <c r="A788" s="6" t="s">
        <v>52</v>
      </c>
      <c r="B788" s="6" t="s">
        <v>32</v>
      </c>
      <c r="C788" s="7">
        <v>112580</v>
      </c>
      <c r="D788" s="8">
        <v>11148</v>
      </c>
      <c r="E788" s="9" t="s">
        <v>16</v>
      </c>
      <c r="F788" s="23">
        <v>20</v>
      </c>
      <c r="G788" s="25"/>
      <c r="H788" s="14">
        <f t="shared" si="786"/>
        <v>0.55000000000000004</v>
      </c>
      <c r="I788" s="25">
        <f ca="1">IFERROR(__xludf.DUMMYFUNCTION("ROUND(D788*GOOGLEFINANCE(""RUBKZT"")*H788)"),47847)</f>
        <v>47847</v>
      </c>
      <c r="J788" s="26">
        <f ca="1">IFERROR(__xludf.DUMMYFUNCTION("ROUND(I788*GOOGLEFINANCE(""KZTEUR""))"),100)</f>
        <v>100</v>
      </c>
      <c r="K788" s="26">
        <f t="shared" ca="1" si="787"/>
        <v>5000</v>
      </c>
      <c r="L788" s="26">
        <f t="shared" ca="1" si="788"/>
        <v>950</v>
      </c>
      <c r="M788" s="26">
        <f t="shared" ref="M788:N788" si="810">M$3</f>
        <v>500</v>
      </c>
      <c r="N788" s="26">
        <f t="shared" si="810"/>
        <v>500</v>
      </c>
      <c r="O788" s="26">
        <f ca="1">IFERROR(__xludf.DUMMYFUNCTION("ROUND(GOOGLEFINANCE(""Currency:EURKZT"")*K788)"),2387848)</f>
        <v>2387848</v>
      </c>
      <c r="P788" s="26">
        <f ca="1">IFERROR(__xludf.DUMMYFUNCTION("ROUND(GOOGLEFINANCE(""Currency:EURKZT"")*M788)"),238785)</f>
        <v>238785</v>
      </c>
      <c r="Q788" s="26">
        <f ca="1">IFERROR(__xludf.DUMMYFUNCTION("ROUND(GOOGLEFINANCE(""Currency:EURKZT"")*N788)"),238785)</f>
        <v>238785</v>
      </c>
      <c r="R788" s="26">
        <f t="shared" ca="1" si="790"/>
        <v>286542</v>
      </c>
      <c r="S788" s="26">
        <f t="shared" ca="1" si="791"/>
        <v>3151960</v>
      </c>
      <c r="T788" s="26">
        <f ca="1">IFERROR(__xludf.DUMMYFUNCTION("ROUND(GOOGLEFINANCE(""Currency:EURKZT"")*L788+S788)"),3605651)</f>
        <v>3605651</v>
      </c>
      <c r="U788" s="26">
        <f ca="1">IFERROR(__xludf.DUMMYFUNCTION("D788*GOOGLEFINANCE(""RUBKZT"")*1000/F788"),4349683.6377048)</f>
        <v>4349683.6377047999</v>
      </c>
      <c r="V788" s="27">
        <f t="shared" ca="1" si="792"/>
        <v>0.20635181766199776</v>
      </c>
    </row>
    <row r="789" spans="1:22" ht="12.75" customHeight="1" x14ac:dyDescent="0.2">
      <c r="A789" s="6" t="s">
        <v>77</v>
      </c>
      <c r="B789" s="6" t="s">
        <v>32</v>
      </c>
      <c r="C789" s="7">
        <v>112581</v>
      </c>
      <c r="D789" s="8">
        <v>14640</v>
      </c>
      <c r="E789" s="9" t="s">
        <v>16</v>
      </c>
      <c r="F789" s="23">
        <v>20</v>
      </c>
      <c r="G789" s="25"/>
      <c r="H789" s="14">
        <f t="shared" si="786"/>
        <v>0.55000000000000004</v>
      </c>
      <c r="I789" s="25">
        <f ca="1">IFERROR(__xludf.DUMMYFUNCTION("ROUND(D789*GOOGLEFINANCE(""RUBKZT"")*H789)"),62834)</f>
        <v>62834</v>
      </c>
      <c r="J789" s="26">
        <f ca="1">IFERROR(__xludf.DUMMYFUNCTION("ROUND(I789*GOOGLEFINANCE(""KZTEUR""))"),132)</f>
        <v>132</v>
      </c>
      <c r="K789" s="26">
        <f t="shared" ca="1" si="787"/>
        <v>6600</v>
      </c>
      <c r="L789" s="26">
        <f t="shared" ca="1" si="788"/>
        <v>1254</v>
      </c>
      <c r="M789" s="26">
        <f t="shared" ref="M789:N789" si="811">M$3</f>
        <v>500</v>
      </c>
      <c r="N789" s="26">
        <f t="shared" si="811"/>
        <v>500</v>
      </c>
      <c r="O789" s="26">
        <f ca="1">IFERROR(__xludf.DUMMYFUNCTION("ROUND(GOOGLEFINANCE(""Currency:EURKZT"")*K789)"),3151959)</f>
        <v>3151959</v>
      </c>
      <c r="P789" s="26">
        <f ca="1">IFERROR(__xludf.DUMMYFUNCTION("ROUND(GOOGLEFINANCE(""Currency:EURKZT"")*M789)"),238785)</f>
        <v>238785</v>
      </c>
      <c r="Q789" s="26">
        <f ca="1">IFERROR(__xludf.DUMMYFUNCTION("ROUND(GOOGLEFINANCE(""Currency:EURKZT"")*N789)"),238785)</f>
        <v>238785</v>
      </c>
      <c r="R789" s="26">
        <f t="shared" ca="1" si="790"/>
        <v>378235</v>
      </c>
      <c r="S789" s="26">
        <f t="shared" ca="1" si="791"/>
        <v>4007764</v>
      </c>
      <c r="T789" s="26">
        <f ca="1">IFERROR(__xludf.DUMMYFUNCTION("ROUND(GOOGLEFINANCE(""Currency:EURKZT"")*L789+S789)"),4606636)</f>
        <v>4606636</v>
      </c>
      <c r="U789" s="26">
        <f ca="1">IFERROR(__xludf.DUMMYFUNCTION("D789*GOOGLEFINANCE(""RUBKZT"")*1000/F789"),5712178.727664)</f>
        <v>5712178.7276640004</v>
      </c>
      <c r="V789" s="27">
        <f t="shared" ca="1" si="792"/>
        <v>0.23998916512266225</v>
      </c>
    </row>
    <row r="790" spans="1:22" ht="12.75" customHeight="1" x14ac:dyDescent="0.2">
      <c r="A790" s="6" t="s">
        <v>56</v>
      </c>
      <c r="B790" s="6" t="s">
        <v>32</v>
      </c>
      <c r="C790" s="7">
        <v>112582</v>
      </c>
      <c r="D790" s="8">
        <v>11637.6</v>
      </c>
      <c r="E790" s="9" t="s">
        <v>16</v>
      </c>
      <c r="F790" s="23">
        <v>20</v>
      </c>
      <c r="G790" s="25"/>
      <c r="H790" s="14">
        <f t="shared" si="786"/>
        <v>0.55000000000000004</v>
      </c>
      <c r="I790" s="25">
        <f ca="1">IFERROR(__xludf.DUMMYFUNCTION("ROUND(D790*GOOGLEFINANCE(""RUBKZT"")*H790)"),49948)</f>
        <v>49948</v>
      </c>
      <c r="J790" s="26">
        <f ca="1">IFERROR(__xludf.DUMMYFUNCTION("ROUND(I790*GOOGLEFINANCE(""KZTEUR""))"),105)</f>
        <v>105</v>
      </c>
      <c r="K790" s="26">
        <f t="shared" ca="1" si="787"/>
        <v>5250</v>
      </c>
      <c r="L790" s="26">
        <f t="shared" ca="1" si="788"/>
        <v>997.5</v>
      </c>
      <c r="M790" s="26">
        <f t="shared" ref="M790:N790" si="812">M$3</f>
        <v>500</v>
      </c>
      <c r="N790" s="26">
        <f t="shared" si="812"/>
        <v>500</v>
      </c>
      <c r="O790" s="26">
        <f ca="1">IFERROR(__xludf.DUMMYFUNCTION("ROUND(GOOGLEFINANCE(""Currency:EURKZT"")*K790)"),2507240)</f>
        <v>2507240</v>
      </c>
      <c r="P790" s="26">
        <f ca="1">IFERROR(__xludf.DUMMYFUNCTION("ROUND(GOOGLEFINANCE(""Currency:EURKZT"")*M790)"),238785)</f>
        <v>238785</v>
      </c>
      <c r="Q790" s="26">
        <f ca="1">IFERROR(__xludf.DUMMYFUNCTION("ROUND(GOOGLEFINANCE(""Currency:EURKZT"")*N790)"),238785)</f>
        <v>238785</v>
      </c>
      <c r="R790" s="26">
        <f t="shared" ca="1" si="790"/>
        <v>300869</v>
      </c>
      <c r="S790" s="26">
        <f t="shared" ca="1" si="791"/>
        <v>3285679</v>
      </c>
      <c r="T790" s="26">
        <f ca="1">IFERROR(__xludf.DUMMYFUNCTION("ROUND(GOOGLEFINANCE(""Currency:EURKZT"")*L790+S790)"),3762055)</f>
        <v>3762055</v>
      </c>
      <c r="U790" s="26">
        <f ca="1">IFERROR(__xludf.DUMMYFUNCTION("D790*GOOGLEFINANCE(""RUBKZT"")*1000/F790"),4540713.87712176)</f>
        <v>4540713.8771217596</v>
      </c>
      <c r="V790" s="27">
        <f t="shared" ca="1" si="792"/>
        <v>0.20697700515323661</v>
      </c>
    </row>
    <row r="791" spans="1:22" ht="12.75" customHeight="1" x14ac:dyDescent="0.2">
      <c r="A791" s="6" t="s">
        <v>57</v>
      </c>
      <c r="B791" s="6" t="s">
        <v>32</v>
      </c>
      <c r="C791" s="7">
        <v>112583</v>
      </c>
      <c r="D791" s="8">
        <v>12445.199999999999</v>
      </c>
      <c r="E791" s="9" t="s">
        <v>16</v>
      </c>
      <c r="F791" s="23">
        <v>20</v>
      </c>
      <c r="G791" s="25"/>
      <c r="H791" s="14">
        <f t="shared" si="786"/>
        <v>0.55000000000000004</v>
      </c>
      <c r="I791" s="25">
        <f ca="1">IFERROR(__xludf.DUMMYFUNCTION("ROUND(D791*GOOGLEFINANCE(""RUBKZT"")*H791)"),53414)</f>
        <v>53414</v>
      </c>
      <c r="J791" s="26">
        <f ca="1">IFERROR(__xludf.DUMMYFUNCTION("ROUND(I791*GOOGLEFINANCE(""KZTEUR""))"),112)</f>
        <v>112</v>
      </c>
      <c r="K791" s="26">
        <f t="shared" ca="1" si="787"/>
        <v>5600</v>
      </c>
      <c r="L791" s="26">
        <f t="shared" ca="1" si="788"/>
        <v>1064</v>
      </c>
      <c r="M791" s="26">
        <f t="shared" ref="M791:N791" si="813">M$3</f>
        <v>500</v>
      </c>
      <c r="N791" s="26">
        <f t="shared" si="813"/>
        <v>500</v>
      </c>
      <c r="O791" s="26">
        <f ca="1">IFERROR(__xludf.DUMMYFUNCTION("ROUND(GOOGLEFINANCE(""Currency:EURKZT"")*K791)"),2674390)</f>
        <v>2674390</v>
      </c>
      <c r="P791" s="26">
        <f ca="1">IFERROR(__xludf.DUMMYFUNCTION("ROUND(GOOGLEFINANCE(""Currency:EURKZT"")*M791)"),238785)</f>
        <v>238785</v>
      </c>
      <c r="Q791" s="26">
        <f ca="1">IFERROR(__xludf.DUMMYFUNCTION("ROUND(GOOGLEFINANCE(""Currency:EURKZT"")*N791)"),238785)</f>
        <v>238785</v>
      </c>
      <c r="R791" s="26">
        <f t="shared" ca="1" si="790"/>
        <v>320927</v>
      </c>
      <c r="S791" s="26">
        <f t="shared" ca="1" si="791"/>
        <v>3472887</v>
      </c>
      <c r="T791" s="26">
        <f ca="1">IFERROR(__xludf.DUMMYFUNCTION("ROUND(GOOGLEFINANCE(""Currency:EURKZT"")*L791+S791)"),3981021)</f>
        <v>3981021</v>
      </c>
      <c r="U791" s="26">
        <f ca="1">IFERROR(__xludf.DUMMYFUNCTION("D791*GOOGLEFINANCE(""RUBKZT"")*1000/F791"),4855820.12988552)</f>
        <v>4855820.1298855199</v>
      </c>
      <c r="V791" s="27">
        <f t="shared" ca="1" si="792"/>
        <v>0.21974240524868366</v>
      </c>
    </row>
    <row r="792" spans="1:22" ht="12.75" customHeight="1" x14ac:dyDescent="0.2">
      <c r="A792" s="6" t="s">
        <v>53</v>
      </c>
      <c r="B792" s="6" t="s">
        <v>32</v>
      </c>
      <c r="C792" s="7">
        <v>112585</v>
      </c>
      <c r="D792" s="8">
        <v>12436.8</v>
      </c>
      <c r="E792" s="9" t="s">
        <v>16</v>
      </c>
      <c r="F792" s="23">
        <v>20</v>
      </c>
      <c r="G792" s="25"/>
      <c r="H792" s="14">
        <f t="shared" si="786"/>
        <v>0.55000000000000004</v>
      </c>
      <c r="I792" s="25">
        <f ca="1">IFERROR(__xludf.DUMMYFUNCTION("ROUND(D792*GOOGLEFINANCE(""RUBKZT"")*H792)"),53378)</f>
        <v>53378</v>
      </c>
      <c r="J792" s="26">
        <f ca="1">IFERROR(__xludf.DUMMYFUNCTION("ROUND(I792*GOOGLEFINANCE(""KZTEUR""))"),112)</f>
        <v>112</v>
      </c>
      <c r="K792" s="26">
        <f t="shared" ca="1" si="787"/>
        <v>5600</v>
      </c>
      <c r="L792" s="26">
        <f t="shared" ca="1" si="788"/>
        <v>1064</v>
      </c>
      <c r="M792" s="26">
        <f t="shared" ref="M792:N792" si="814">M$3</f>
        <v>500</v>
      </c>
      <c r="N792" s="26">
        <f t="shared" si="814"/>
        <v>500</v>
      </c>
      <c r="O792" s="26">
        <f ca="1">IFERROR(__xludf.DUMMYFUNCTION("ROUND(GOOGLEFINANCE(""Currency:EURKZT"")*K792)"),2674390)</f>
        <v>2674390</v>
      </c>
      <c r="P792" s="26">
        <f ca="1">IFERROR(__xludf.DUMMYFUNCTION("ROUND(GOOGLEFINANCE(""Currency:EURKZT"")*M792)"),238785)</f>
        <v>238785</v>
      </c>
      <c r="Q792" s="26">
        <f ca="1">IFERROR(__xludf.DUMMYFUNCTION("ROUND(GOOGLEFINANCE(""Currency:EURKZT"")*N792)"),238785)</f>
        <v>238785</v>
      </c>
      <c r="R792" s="26">
        <f t="shared" ca="1" si="790"/>
        <v>320927</v>
      </c>
      <c r="S792" s="26">
        <f t="shared" ca="1" si="791"/>
        <v>3472887</v>
      </c>
      <c r="T792" s="26">
        <f ca="1">IFERROR(__xludf.DUMMYFUNCTION("ROUND(GOOGLEFINANCE(""Currency:EURKZT"")*L792+S792)"),3981021)</f>
        <v>3981021</v>
      </c>
      <c r="U792" s="26">
        <f ca="1">IFERROR(__xludf.DUMMYFUNCTION("D792*GOOGLEFINANCE(""RUBKZT"")*1000/F792"),4852542.65028767)</f>
        <v>4852542.6502876701</v>
      </c>
      <c r="V792" s="27">
        <f t="shared" ca="1" si="792"/>
        <v>0.21891912910976105</v>
      </c>
    </row>
    <row r="793" spans="1:22" ht="12.75" customHeight="1" x14ac:dyDescent="0.2">
      <c r="A793" s="6" t="s">
        <v>54</v>
      </c>
      <c r="B793" s="6" t="s">
        <v>32</v>
      </c>
      <c r="C793" s="7">
        <v>112586</v>
      </c>
      <c r="D793" s="8">
        <v>12684</v>
      </c>
      <c r="E793" s="9" t="s">
        <v>16</v>
      </c>
      <c r="F793" s="23">
        <v>20</v>
      </c>
      <c r="G793" s="25"/>
      <c r="H793" s="14">
        <f t="shared" si="786"/>
        <v>0.55000000000000004</v>
      </c>
      <c r="I793" s="25">
        <f ca="1">IFERROR(__xludf.DUMMYFUNCTION("ROUND(D793*GOOGLEFINANCE(""RUBKZT"")*H793)"),54439)</f>
        <v>54439</v>
      </c>
      <c r="J793" s="26">
        <f ca="1">IFERROR(__xludf.DUMMYFUNCTION("ROUND(I793*GOOGLEFINANCE(""KZTEUR""))"),114)</f>
        <v>114</v>
      </c>
      <c r="K793" s="26">
        <f t="shared" ca="1" si="787"/>
        <v>5700</v>
      </c>
      <c r="L793" s="26">
        <f t="shared" ca="1" si="788"/>
        <v>1083</v>
      </c>
      <c r="M793" s="26">
        <f t="shared" ref="M793:N793" si="815">M$3</f>
        <v>500</v>
      </c>
      <c r="N793" s="26">
        <f t="shared" si="815"/>
        <v>500</v>
      </c>
      <c r="O793" s="26">
        <f ca="1">IFERROR(__xludf.DUMMYFUNCTION("ROUND(GOOGLEFINANCE(""Currency:EURKZT"")*K793)"),2722147)</f>
        <v>2722147</v>
      </c>
      <c r="P793" s="26">
        <f ca="1">IFERROR(__xludf.DUMMYFUNCTION("ROUND(GOOGLEFINANCE(""Currency:EURKZT"")*M793)"),238785)</f>
        <v>238785</v>
      </c>
      <c r="Q793" s="26">
        <f ca="1">IFERROR(__xludf.DUMMYFUNCTION("ROUND(GOOGLEFINANCE(""Currency:EURKZT"")*N793)"),238785)</f>
        <v>238785</v>
      </c>
      <c r="R793" s="26">
        <f t="shared" ca="1" si="790"/>
        <v>326658</v>
      </c>
      <c r="S793" s="26">
        <f t="shared" ca="1" si="791"/>
        <v>3526375</v>
      </c>
      <c r="T793" s="26">
        <f ca="1">IFERROR(__xludf.DUMMYFUNCTION("ROUND(GOOGLEFINANCE(""Currency:EURKZT"")*L793+S793)"),4043583)</f>
        <v>4043583</v>
      </c>
      <c r="U793" s="26">
        <f ca="1">IFERROR(__xludf.DUMMYFUNCTION("D793*GOOGLEFINANCE(""RUBKZT"")*1000/F793"),4948994.1927384)</f>
        <v>4948994.1927383998</v>
      </c>
      <c r="V793" s="27">
        <f t="shared" ca="1" si="792"/>
        <v>0.22391309705733747</v>
      </c>
    </row>
    <row r="794" spans="1:22" ht="12.75" customHeight="1" x14ac:dyDescent="0.2">
      <c r="A794" s="6" t="s">
        <v>55</v>
      </c>
      <c r="B794" s="6" t="s">
        <v>32</v>
      </c>
      <c r="C794" s="7">
        <v>112587</v>
      </c>
      <c r="D794" s="8">
        <v>13587.6</v>
      </c>
      <c r="E794" s="9" t="s">
        <v>16</v>
      </c>
      <c r="F794" s="23">
        <v>20</v>
      </c>
      <c r="G794" s="25"/>
      <c r="H794" s="14">
        <f t="shared" si="786"/>
        <v>0.55000000000000004</v>
      </c>
      <c r="I794" s="25">
        <f ca="1">IFERROR(__xludf.DUMMYFUNCTION("ROUND(D794*GOOGLEFINANCE(""RUBKZT"")*H794)"),58317)</f>
        <v>58317</v>
      </c>
      <c r="J794" s="26">
        <f ca="1">IFERROR(__xludf.DUMMYFUNCTION("ROUND(I794*GOOGLEFINANCE(""KZTEUR""))"),122)</f>
        <v>122</v>
      </c>
      <c r="K794" s="26">
        <f t="shared" ca="1" si="787"/>
        <v>6100</v>
      </c>
      <c r="L794" s="26">
        <f t="shared" ca="1" si="788"/>
        <v>1159</v>
      </c>
      <c r="M794" s="26">
        <f t="shared" ref="M794:N794" si="816">M$3</f>
        <v>500</v>
      </c>
      <c r="N794" s="26">
        <f t="shared" si="816"/>
        <v>500</v>
      </c>
      <c r="O794" s="26">
        <f ca="1">IFERROR(__xludf.DUMMYFUNCTION("ROUND(GOOGLEFINANCE(""Currency:EURKZT"")*K794)"),2913175)</f>
        <v>2913175</v>
      </c>
      <c r="P794" s="26">
        <f ca="1">IFERROR(__xludf.DUMMYFUNCTION("ROUND(GOOGLEFINANCE(""Currency:EURKZT"")*M794)"),238785)</f>
        <v>238785</v>
      </c>
      <c r="Q794" s="26">
        <f ca="1">IFERROR(__xludf.DUMMYFUNCTION("ROUND(GOOGLEFINANCE(""Currency:EURKZT"")*N794)"),238785)</f>
        <v>238785</v>
      </c>
      <c r="R794" s="26">
        <f t="shared" ca="1" si="790"/>
        <v>349581</v>
      </c>
      <c r="S794" s="26">
        <f t="shared" ca="1" si="791"/>
        <v>3740326</v>
      </c>
      <c r="T794" s="26">
        <f ca="1">IFERROR(__xludf.DUMMYFUNCTION("ROUND(GOOGLEFINANCE(""Currency:EURKZT"")*L794+S794)"),4293829)</f>
        <v>4293829</v>
      </c>
      <c r="U794" s="26">
        <f ca="1">IFERROR(__xludf.DUMMYFUNCTION("D794*GOOGLEFINANCE(""RUBKZT"")*1000/F794"),5301557.35519176)</f>
        <v>5301557.3551917598</v>
      </c>
      <c r="V794" s="27">
        <f t="shared" ca="1" si="792"/>
        <v>0.23469224209714915</v>
      </c>
    </row>
    <row r="795" spans="1:22" ht="12.75" customHeight="1" x14ac:dyDescent="0.2">
      <c r="A795" s="6" t="s">
        <v>123</v>
      </c>
      <c r="B795" s="6" t="s">
        <v>32</v>
      </c>
      <c r="C795" s="7">
        <v>112591</v>
      </c>
      <c r="D795" s="8">
        <v>19332</v>
      </c>
      <c r="E795" s="9" t="s">
        <v>16</v>
      </c>
      <c r="F795" s="23">
        <v>20</v>
      </c>
      <c r="G795" s="25"/>
      <c r="H795" s="14">
        <f t="shared" si="786"/>
        <v>0.55000000000000004</v>
      </c>
      <c r="I795" s="25">
        <f ca="1">IFERROR(__xludf.DUMMYFUNCTION("ROUND(D795*GOOGLEFINANCE(""RUBKZT"")*H795)"),82972)</f>
        <v>82972</v>
      </c>
      <c r="J795" s="26">
        <f ca="1">IFERROR(__xludf.DUMMYFUNCTION("ROUND(I795*GOOGLEFINANCE(""KZTEUR""))"),174)</f>
        <v>174</v>
      </c>
      <c r="K795" s="26">
        <f t="shared" ca="1" si="787"/>
        <v>8700</v>
      </c>
      <c r="L795" s="26">
        <f t="shared" ca="1" si="788"/>
        <v>1653</v>
      </c>
      <c r="M795" s="26">
        <f t="shared" ref="M795:N795" si="817">M$3</f>
        <v>500</v>
      </c>
      <c r="N795" s="26">
        <f t="shared" si="817"/>
        <v>500</v>
      </c>
      <c r="O795" s="26">
        <f ca="1">IFERROR(__xludf.DUMMYFUNCTION("ROUND(GOOGLEFINANCE(""Currency:EURKZT"")*K795)"),4154856)</f>
        <v>4154856</v>
      </c>
      <c r="P795" s="26">
        <f ca="1">IFERROR(__xludf.DUMMYFUNCTION("ROUND(GOOGLEFINANCE(""Currency:EURKZT"")*M795)"),238785)</f>
        <v>238785</v>
      </c>
      <c r="Q795" s="26">
        <f ca="1">IFERROR(__xludf.DUMMYFUNCTION("ROUND(GOOGLEFINANCE(""Currency:EURKZT"")*N795)"),238785)</f>
        <v>238785</v>
      </c>
      <c r="R795" s="26">
        <f t="shared" ca="1" si="790"/>
        <v>498583</v>
      </c>
      <c r="S795" s="26">
        <f t="shared" ca="1" si="791"/>
        <v>5131009</v>
      </c>
      <c r="T795" s="26">
        <f ca="1">IFERROR(__xludf.DUMMYFUNCTION("ROUND(GOOGLEFINANCE(""Currency:EURKZT"")*L795+S795)"),5920432)</f>
        <v>5920432</v>
      </c>
      <c r="U795" s="26">
        <f ca="1">IFERROR(__xludf.DUMMYFUNCTION("D795*GOOGLEFINANCE(""RUBKZT"")*1000/F795"),7542885.18874319)</f>
        <v>7542885.1887431899</v>
      </c>
      <c r="V795" s="27">
        <f t="shared" ca="1" si="792"/>
        <v>0.27404304090363507</v>
      </c>
    </row>
    <row r="796" spans="1:22" ht="12.75" customHeight="1" x14ac:dyDescent="0.2">
      <c r="A796" s="6" t="s">
        <v>124</v>
      </c>
      <c r="B796" s="6" t="s">
        <v>32</v>
      </c>
      <c r="C796" s="7">
        <v>112592</v>
      </c>
      <c r="D796" s="8">
        <v>19792.8</v>
      </c>
      <c r="E796" s="9" t="s">
        <v>16</v>
      </c>
      <c r="F796" s="23">
        <v>20</v>
      </c>
      <c r="G796" s="25"/>
      <c r="H796" s="14">
        <f t="shared" si="786"/>
        <v>0.55000000000000004</v>
      </c>
      <c r="I796" s="25">
        <f ca="1">IFERROR(__xludf.DUMMYFUNCTION("ROUND(D796*GOOGLEFINANCE(""RUBKZT"")*H796)"),84949)</f>
        <v>84949</v>
      </c>
      <c r="J796" s="26">
        <f ca="1">IFERROR(__xludf.DUMMYFUNCTION("ROUND(I796*GOOGLEFINANCE(""KZTEUR""))"),178)</f>
        <v>178</v>
      </c>
      <c r="K796" s="26">
        <f t="shared" ca="1" si="787"/>
        <v>8900</v>
      </c>
      <c r="L796" s="26">
        <f t="shared" ca="1" si="788"/>
        <v>1691</v>
      </c>
      <c r="M796" s="26">
        <f t="shared" ref="M796:N796" si="818">M$3</f>
        <v>500</v>
      </c>
      <c r="N796" s="26">
        <f t="shared" si="818"/>
        <v>500</v>
      </c>
      <c r="O796" s="26">
        <f ca="1">IFERROR(__xludf.DUMMYFUNCTION("ROUND(GOOGLEFINANCE(""Currency:EURKZT"")*K796)"),4250370)</f>
        <v>4250370</v>
      </c>
      <c r="P796" s="26">
        <f ca="1">IFERROR(__xludf.DUMMYFUNCTION("ROUND(GOOGLEFINANCE(""Currency:EURKZT"")*M796)"),238785)</f>
        <v>238785</v>
      </c>
      <c r="Q796" s="26">
        <f ca="1">IFERROR(__xludf.DUMMYFUNCTION("ROUND(GOOGLEFINANCE(""Currency:EURKZT"")*N796)"),238785)</f>
        <v>238785</v>
      </c>
      <c r="R796" s="26">
        <f t="shared" ca="1" si="790"/>
        <v>510044</v>
      </c>
      <c r="S796" s="26">
        <f t="shared" ca="1" si="791"/>
        <v>5237984</v>
      </c>
      <c r="T796" s="26">
        <f ca="1">IFERROR(__xludf.DUMMYFUNCTION("ROUND(GOOGLEFINANCE(""Currency:EURKZT"")*L796+S796)"),6045554)</f>
        <v>6045554</v>
      </c>
      <c r="U796" s="26">
        <f ca="1">IFERROR(__xludf.DUMMYFUNCTION("D796*GOOGLEFINANCE(""RUBKZT"")*1000/F796"),7722678.35525327)</f>
        <v>7722678.3552532699</v>
      </c>
      <c r="V796" s="27">
        <f t="shared" ca="1" si="792"/>
        <v>0.27741450250105615</v>
      </c>
    </row>
    <row r="797" spans="1:22" ht="12.75" customHeight="1" x14ac:dyDescent="0.2">
      <c r="A797" s="6" t="s">
        <v>125</v>
      </c>
      <c r="B797" s="6" t="s">
        <v>32</v>
      </c>
      <c r="C797" s="7">
        <v>112593</v>
      </c>
      <c r="D797" s="8">
        <v>22782</v>
      </c>
      <c r="E797" s="9" t="s">
        <v>16</v>
      </c>
      <c r="F797" s="23">
        <v>20</v>
      </c>
      <c r="G797" s="25"/>
      <c r="H797" s="14">
        <f t="shared" si="786"/>
        <v>0.55000000000000004</v>
      </c>
      <c r="I797" s="25">
        <f ca="1">IFERROR(__xludf.DUMMYFUNCTION("ROUND(D797*GOOGLEFINANCE(""RUBKZT"")*H797)"),97779)</f>
        <v>97779</v>
      </c>
      <c r="J797" s="26">
        <f ca="1">IFERROR(__xludf.DUMMYFUNCTION("ROUND(I797*GOOGLEFINANCE(""KZTEUR""))"),205)</f>
        <v>205</v>
      </c>
      <c r="K797" s="26">
        <f t="shared" ca="1" si="787"/>
        <v>10250</v>
      </c>
      <c r="L797" s="26">
        <f t="shared" ca="1" si="788"/>
        <v>1947.5</v>
      </c>
      <c r="M797" s="26">
        <f t="shared" ref="M797:N797" si="819">M$3</f>
        <v>500</v>
      </c>
      <c r="N797" s="26">
        <f t="shared" si="819"/>
        <v>500</v>
      </c>
      <c r="O797" s="26">
        <f ca="1">IFERROR(__xludf.DUMMYFUNCTION("ROUND(GOOGLEFINANCE(""Currency:EURKZT"")*K797)"),4895089)</f>
        <v>4895089</v>
      </c>
      <c r="P797" s="26">
        <f ca="1">IFERROR(__xludf.DUMMYFUNCTION("ROUND(GOOGLEFINANCE(""Currency:EURKZT"")*M797)"),238785)</f>
        <v>238785</v>
      </c>
      <c r="Q797" s="26">
        <f ca="1">IFERROR(__xludf.DUMMYFUNCTION("ROUND(GOOGLEFINANCE(""Currency:EURKZT"")*N797)"),238785)</f>
        <v>238785</v>
      </c>
      <c r="R797" s="26">
        <f t="shared" ca="1" si="790"/>
        <v>587411</v>
      </c>
      <c r="S797" s="26">
        <f t="shared" ca="1" si="791"/>
        <v>5960070</v>
      </c>
      <c r="T797" s="26">
        <f ca="1">IFERROR(__xludf.DUMMYFUNCTION("ROUND(GOOGLEFINANCE(""Currency:EURKZT"")*L797+S797)"),6890137)</f>
        <v>6890137</v>
      </c>
      <c r="U797" s="26">
        <f ca="1">IFERROR(__xludf.DUMMYFUNCTION("D797*GOOGLEFINANCE(""RUBKZT"")*1000/F797"),8888992.8807132)</f>
        <v>8888992.8807132002</v>
      </c>
      <c r="V797" s="27">
        <f t="shared" ca="1" si="792"/>
        <v>0.29010393853027888</v>
      </c>
    </row>
    <row r="798" spans="1:22" ht="12.75" customHeight="1" x14ac:dyDescent="0.2">
      <c r="A798" s="6" t="s">
        <v>126</v>
      </c>
      <c r="B798" s="6" t="s">
        <v>32</v>
      </c>
      <c r="C798" s="7">
        <v>112594</v>
      </c>
      <c r="D798" s="8">
        <v>19792.8</v>
      </c>
      <c r="E798" s="9" t="s">
        <v>16</v>
      </c>
      <c r="F798" s="23">
        <v>20</v>
      </c>
      <c r="G798" s="25"/>
      <c r="H798" s="14">
        <f t="shared" si="786"/>
        <v>0.55000000000000004</v>
      </c>
      <c r="I798" s="25">
        <f ca="1">IFERROR(__xludf.DUMMYFUNCTION("ROUND(D798*GOOGLEFINANCE(""RUBKZT"")*H798)"),84949)</f>
        <v>84949</v>
      </c>
      <c r="J798" s="26">
        <f ca="1">IFERROR(__xludf.DUMMYFUNCTION("ROUND(I798*GOOGLEFINANCE(""KZTEUR""))"),178)</f>
        <v>178</v>
      </c>
      <c r="K798" s="26">
        <f t="shared" ca="1" si="787"/>
        <v>8900</v>
      </c>
      <c r="L798" s="26">
        <f t="shared" ca="1" si="788"/>
        <v>1691</v>
      </c>
      <c r="M798" s="26">
        <f t="shared" ref="M798:N798" si="820">M$3</f>
        <v>500</v>
      </c>
      <c r="N798" s="26">
        <f t="shared" si="820"/>
        <v>500</v>
      </c>
      <c r="O798" s="26">
        <f ca="1">IFERROR(__xludf.DUMMYFUNCTION("ROUND(GOOGLEFINANCE(""Currency:EURKZT"")*K798)"),4250370)</f>
        <v>4250370</v>
      </c>
      <c r="P798" s="26">
        <f ca="1">IFERROR(__xludf.DUMMYFUNCTION("ROUND(GOOGLEFINANCE(""Currency:EURKZT"")*M798)"),238785)</f>
        <v>238785</v>
      </c>
      <c r="Q798" s="26">
        <f ca="1">IFERROR(__xludf.DUMMYFUNCTION("ROUND(GOOGLEFINANCE(""Currency:EURKZT"")*N798)"),238785)</f>
        <v>238785</v>
      </c>
      <c r="R798" s="26">
        <f t="shared" ca="1" si="790"/>
        <v>510044</v>
      </c>
      <c r="S798" s="26">
        <f t="shared" ca="1" si="791"/>
        <v>5237984</v>
      </c>
      <c r="T798" s="26">
        <f ca="1">IFERROR(__xludf.DUMMYFUNCTION("ROUND(GOOGLEFINANCE(""Currency:EURKZT"")*L798+S798)"),6045554)</f>
        <v>6045554</v>
      </c>
      <c r="U798" s="26">
        <f ca="1">IFERROR(__xludf.DUMMYFUNCTION("D798*GOOGLEFINANCE(""RUBKZT"")*1000/F798"),7722678.35525327)</f>
        <v>7722678.3552532699</v>
      </c>
      <c r="V798" s="27">
        <f t="shared" ca="1" si="792"/>
        <v>0.27741450250105615</v>
      </c>
    </row>
    <row r="799" spans="1:22" ht="12.75" customHeight="1" x14ac:dyDescent="0.2">
      <c r="A799" s="6" t="s">
        <v>121</v>
      </c>
      <c r="B799" s="6" t="s">
        <v>32</v>
      </c>
      <c r="C799" s="7">
        <v>112601</v>
      </c>
      <c r="D799" s="8">
        <v>14245.199999999999</v>
      </c>
      <c r="E799" s="9" t="s">
        <v>16</v>
      </c>
      <c r="F799" s="23">
        <v>20</v>
      </c>
      <c r="G799" s="25"/>
      <c r="H799" s="14">
        <f t="shared" si="786"/>
        <v>0.55000000000000004</v>
      </c>
      <c r="I799" s="25">
        <f ca="1">IFERROR(__xludf.DUMMYFUNCTION("ROUND(D799*GOOGLEFINANCE(""RUBKZT"")*H799)"),61140)</f>
        <v>61140</v>
      </c>
      <c r="J799" s="26">
        <f ca="1">IFERROR(__xludf.DUMMYFUNCTION("ROUND(I799*GOOGLEFINANCE(""KZTEUR""))"),128)</f>
        <v>128</v>
      </c>
      <c r="K799" s="26">
        <f t="shared" ca="1" si="787"/>
        <v>6400</v>
      </c>
      <c r="L799" s="26">
        <f t="shared" ca="1" si="788"/>
        <v>1216</v>
      </c>
      <c r="M799" s="26">
        <f t="shared" ref="M799:N799" si="821">M$3</f>
        <v>500</v>
      </c>
      <c r="N799" s="26">
        <f t="shared" si="821"/>
        <v>500</v>
      </c>
      <c r="O799" s="26">
        <f ca="1">IFERROR(__xludf.DUMMYFUNCTION("ROUND(GOOGLEFINANCE(""Currency:EURKZT"")*K799)"),3056446)</f>
        <v>3056446</v>
      </c>
      <c r="P799" s="26">
        <f ca="1">IFERROR(__xludf.DUMMYFUNCTION("ROUND(GOOGLEFINANCE(""Currency:EURKZT"")*M799)"),238785)</f>
        <v>238785</v>
      </c>
      <c r="Q799" s="26">
        <f ca="1">IFERROR(__xludf.DUMMYFUNCTION("ROUND(GOOGLEFINANCE(""Currency:EURKZT"")*N799)"),238785)</f>
        <v>238785</v>
      </c>
      <c r="R799" s="26">
        <f t="shared" ca="1" si="790"/>
        <v>366774</v>
      </c>
      <c r="S799" s="26">
        <f t="shared" ca="1" si="791"/>
        <v>3900790</v>
      </c>
      <c r="T799" s="26">
        <f ca="1">IFERROR(__xludf.DUMMYFUNCTION("ROUND(GOOGLEFINANCE(""Currency:EURKZT"")*L799+S799)"),4481515)</f>
        <v>4481515</v>
      </c>
      <c r="U799" s="26">
        <f ca="1">IFERROR(__xludf.DUMMYFUNCTION("D799*GOOGLEFINANCE(""RUBKZT"")*1000/F799"),5558137.18656552)</f>
        <v>5558137.1865655202</v>
      </c>
      <c r="V799" s="27">
        <f t="shared" ca="1" si="792"/>
        <v>0.24023621176444132</v>
      </c>
    </row>
    <row r="800" spans="1:22" ht="12.75" customHeight="1" x14ac:dyDescent="0.2">
      <c r="A800" s="6" t="s">
        <v>122</v>
      </c>
      <c r="B800" s="6" t="s">
        <v>32</v>
      </c>
      <c r="C800" s="7">
        <v>112602</v>
      </c>
      <c r="D800" s="8">
        <v>12429.6</v>
      </c>
      <c r="E800" s="9" t="s">
        <v>16</v>
      </c>
      <c r="F800" s="23">
        <v>20</v>
      </c>
      <c r="G800" s="25"/>
      <c r="H800" s="14">
        <f t="shared" si="786"/>
        <v>0.55000000000000004</v>
      </c>
      <c r="I800" s="25">
        <f ca="1">IFERROR(__xludf.DUMMYFUNCTION("ROUND(D800*GOOGLEFINANCE(""RUBKZT"")*H800)"),53347)</f>
        <v>53347</v>
      </c>
      <c r="J800" s="26">
        <f ca="1">IFERROR(__xludf.DUMMYFUNCTION("ROUND(I800*GOOGLEFINANCE(""KZTEUR""))"),112)</f>
        <v>112</v>
      </c>
      <c r="K800" s="26">
        <f t="shared" ca="1" si="787"/>
        <v>5600</v>
      </c>
      <c r="L800" s="26">
        <f t="shared" ca="1" si="788"/>
        <v>1064</v>
      </c>
      <c r="M800" s="26">
        <f t="shared" ref="M800:N800" si="822">M$3</f>
        <v>500</v>
      </c>
      <c r="N800" s="26">
        <f t="shared" si="822"/>
        <v>500</v>
      </c>
      <c r="O800" s="26">
        <f ca="1">IFERROR(__xludf.DUMMYFUNCTION("ROUND(GOOGLEFINANCE(""Currency:EURKZT"")*K800)"),2674390)</f>
        <v>2674390</v>
      </c>
      <c r="P800" s="26">
        <f ca="1">IFERROR(__xludf.DUMMYFUNCTION("ROUND(GOOGLEFINANCE(""Currency:EURKZT"")*M800)"),238785)</f>
        <v>238785</v>
      </c>
      <c r="Q800" s="26">
        <f ca="1">IFERROR(__xludf.DUMMYFUNCTION("ROUND(GOOGLEFINANCE(""Currency:EURKZT"")*N800)"),238785)</f>
        <v>238785</v>
      </c>
      <c r="R800" s="26">
        <f t="shared" ca="1" si="790"/>
        <v>320927</v>
      </c>
      <c r="S800" s="26">
        <f t="shared" ca="1" si="791"/>
        <v>3472887</v>
      </c>
      <c r="T800" s="26">
        <f ca="1">IFERROR(__xludf.DUMMYFUNCTION("ROUND(GOOGLEFINANCE(""Currency:EURKZT"")*L800+S800)"),3981021)</f>
        <v>3981021</v>
      </c>
      <c r="U800" s="26">
        <f ca="1">IFERROR(__xludf.DUMMYFUNCTION("D800*GOOGLEFINANCE(""RUBKZT"")*1000/F800"),4849733.38206096)</f>
        <v>4849733.3820609599</v>
      </c>
      <c r="V800" s="27">
        <f t="shared" ca="1" si="792"/>
        <v>0.218213463847832</v>
      </c>
    </row>
    <row r="801" spans="1:22" ht="12.75" customHeight="1" x14ac:dyDescent="0.2">
      <c r="A801" s="6" t="s">
        <v>128</v>
      </c>
      <c r="B801" s="6" t="s">
        <v>32</v>
      </c>
      <c r="C801" s="7">
        <v>112609</v>
      </c>
      <c r="D801" s="8">
        <v>31027.199999999997</v>
      </c>
      <c r="E801" s="9" t="s">
        <v>16</v>
      </c>
      <c r="F801" s="23">
        <v>20</v>
      </c>
      <c r="G801" s="25"/>
      <c r="H801" s="14">
        <f t="shared" si="786"/>
        <v>0.55000000000000004</v>
      </c>
      <c r="I801" s="25">
        <f ca="1">IFERROR(__xludf.DUMMYFUNCTION("ROUND(D801*GOOGLEFINANCE(""RUBKZT"")*H801)"),133167)</f>
        <v>133167</v>
      </c>
      <c r="J801" s="26">
        <f ca="1">IFERROR(__xludf.DUMMYFUNCTION("ROUND(I801*GOOGLEFINANCE(""KZTEUR""))"),279)</f>
        <v>279</v>
      </c>
      <c r="K801" s="26">
        <f t="shared" ca="1" si="787"/>
        <v>13950</v>
      </c>
      <c r="L801" s="26">
        <f t="shared" ca="1" si="788"/>
        <v>2650.5</v>
      </c>
      <c r="M801" s="26">
        <f t="shared" ref="M801:N801" si="823">M$3</f>
        <v>500</v>
      </c>
      <c r="N801" s="26">
        <f t="shared" si="823"/>
        <v>500</v>
      </c>
      <c r="O801" s="26">
        <f ca="1">IFERROR(__xludf.DUMMYFUNCTION("ROUND(GOOGLEFINANCE(""Currency:EURKZT"")*K801)"),6662096)</f>
        <v>6662096</v>
      </c>
      <c r="P801" s="26">
        <f ca="1">IFERROR(__xludf.DUMMYFUNCTION("ROUND(GOOGLEFINANCE(""Currency:EURKZT"")*M801)"),238785)</f>
        <v>238785</v>
      </c>
      <c r="Q801" s="26">
        <f ca="1">IFERROR(__xludf.DUMMYFUNCTION("ROUND(GOOGLEFINANCE(""Currency:EURKZT"")*N801)"),238785)</f>
        <v>238785</v>
      </c>
      <c r="R801" s="26">
        <f t="shared" ca="1" si="790"/>
        <v>799452</v>
      </c>
      <c r="S801" s="26">
        <f t="shared" ca="1" si="791"/>
        <v>7939118</v>
      </c>
      <c r="T801" s="26">
        <f ca="1">IFERROR(__xludf.DUMMYFUNCTION("ROUND(GOOGLEFINANCE(""Currency:EURKZT"")*L801+S801)"),9204916)</f>
        <v>9204916</v>
      </c>
      <c r="U801" s="26">
        <f ca="1">IFERROR(__xludf.DUMMYFUNCTION("D801*GOOGLEFINANCE(""RUBKZT"")*1000/F801"),12106073.2116787)</f>
        <v>12106073.211678701</v>
      </c>
      <c r="V801" s="27">
        <f t="shared" ca="1" si="792"/>
        <v>0.31517476223343055</v>
      </c>
    </row>
    <row r="802" spans="1:22" ht="12.75" customHeight="1" x14ac:dyDescent="0.2">
      <c r="A802" s="6" t="s">
        <v>127</v>
      </c>
      <c r="B802" s="6" t="s">
        <v>32</v>
      </c>
      <c r="C802" s="7">
        <v>112622</v>
      </c>
      <c r="D802" s="8">
        <v>25701.599999999999</v>
      </c>
      <c r="E802" s="9" t="s">
        <v>16</v>
      </c>
      <c r="F802" s="23">
        <v>20</v>
      </c>
      <c r="G802" s="25"/>
      <c r="H802" s="14">
        <f t="shared" si="786"/>
        <v>0.55000000000000004</v>
      </c>
      <c r="I802" s="25">
        <f ca="1">IFERROR(__xludf.DUMMYFUNCTION("ROUND(D802*GOOGLEFINANCE(""RUBKZT"")*H802)"),110310)</f>
        <v>110310</v>
      </c>
      <c r="J802" s="26">
        <f ca="1">IFERROR(__xludf.DUMMYFUNCTION("ROUND(I802*GOOGLEFINANCE(""KZTEUR""))"),231)</f>
        <v>231</v>
      </c>
      <c r="K802" s="26">
        <f t="shared" ca="1" si="787"/>
        <v>11550</v>
      </c>
      <c r="L802" s="26">
        <f t="shared" ca="1" si="788"/>
        <v>2194.5</v>
      </c>
      <c r="M802" s="26">
        <f t="shared" ref="M802:N802" si="824">M$3</f>
        <v>500</v>
      </c>
      <c r="N802" s="26">
        <f t="shared" si="824"/>
        <v>500</v>
      </c>
      <c r="O802" s="26">
        <f ca="1">IFERROR(__xludf.DUMMYFUNCTION("ROUND(GOOGLEFINANCE(""Currency:EURKZT"")*K802)"),5515929)</f>
        <v>5515929</v>
      </c>
      <c r="P802" s="26">
        <f ca="1">IFERROR(__xludf.DUMMYFUNCTION("ROUND(GOOGLEFINANCE(""Currency:EURKZT"")*M802)"),238785)</f>
        <v>238785</v>
      </c>
      <c r="Q802" s="26">
        <f ca="1">IFERROR(__xludf.DUMMYFUNCTION("ROUND(GOOGLEFINANCE(""Currency:EURKZT"")*N802)"),238785)</f>
        <v>238785</v>
      </c>
      <c r="R802" s="26">
        <f t="shared" ca="1" si="790"/>
        <v>661911</v>
      </c>
      <c r="S802" s="26">
        <f t="shared" ca="1" si="791"/>
        <v>6655410</v>
      </c>
      <c r="T802" s="26">
        <f ca="1">IFERROR(__xludf.DUMMYFUNCTION("ROUND(GOOGLEFINANCE(""Currency:EURKZT"")*L802+S802)"),7703437)</f>
        <v>7703437</v>
      </c>
      <c r="U802" s="26">
        <f ca="1">IFERROR(__xludf.DUMMYFUNCTION("D802*GOOGLEFINANCE(""RUBKZT"")*1000/F802"),10028151.1466481)</f>
        <v>10028151.1466481</v>
      </c>
      <c r="V802" s="27">
        <f t="shared" ca="1" si="792"/>
        <v>0.30177622620242101</v>
      </c>
    </row>
    <row r="803" spans="1:22" ht="12.75" customHeight="1" x14ac:dyDescent="0.2">
      <c r="A803" s="6" t="s">
        <v>129</v>
      </c>
      <c r="B803" s="6" t="s">
        <v>32</v>
      </c>
      <c r="C803" s="7">
        <v>112623</v>
      </c>
      <c r="D803" s="8">
        <v>27258</v>
      </c>
      <c r="E803" s="9" t="s">
        <v>16</v>
      </c>
      <c r="F803" s="23">
        <v>20</v>
      </c>
      <c r="G803" s="25"/>
      <c r="H803" s="14">
        <f t="shared" si="786"/>
        <v>0.55000000000000004</v>
      </c>
      <c r="I803" s="25">
        <f ca="1">IFERROR(__xludf.DUMMYFUNCTION("ROUND(D803*GOOGLEFINANCE(""RUBKZT"")*H803)"),116990)</f>
        <v>116990</v>
      </c>
      <c r="J803" s="26">
        <f ca="1">IFERROR(__xludf.DUMMYFUNCTION("ROUND(I803*GOOGLEFINANCE(""KZTEUR""))"),245)</f>
        <v>245</v>
      </c>
      <c r="K803" s="26">
        <f t="shared" ca="1" si="787"/>
        <v>12250</v>
      </c>
      <c r="L803" s="26">
        <f t="shared" ca="1" si="788"/>
        <v>2327.5</v>
      </c>
      <c r="M803" s="26">
        <f t="shared" ref="M803:N803" si="825">M$3</f>
        <v>500</v>
      </c>
      <c r="N803" s="26">
        <f t="shared" si="825"/>
        <v>500</v>
      </c>
      <c r="O803" s="26">
        <f ca="1">IFERROR(__xludf.DUMMYFUNCTION("ROUND(GOOGLEFINANCE(""Currency:EURKZT"")*K803)"),5850228)</f>
        <v>5850228</v>
      </c>
      <c r="P803" s="26">
        <f ca="1">IFERROR(__xludf.DUMMYFUNCTION("ROUND(GOOGLEFINANCE(""Currency:EURKZT"")*M803)"),238785)</f>
        <v>238785</v>
      </c>
      <c r="Q803" s="26">
        <f ca="1">IFERROR(__xludf.DUMMYFUNCTION("ROUND(GOOGLEFINANCE(""Currency:EURKZT"")*N803)"),238785)</f>
        <v>238785</v>
      </c>
      <c r="R803" s="26">
        <f t="shared" ca="1" si="790"/>
        <v>702027</v>
      </c>
      <c r="S803" s="26">
        <f t="shared" ca="1" si="791"/>
        <v>7029825</v>
      </c>
      <c r="T803" s="26">
        <f ca="1">IFERROR(__xludf.DUMMYFUNCTION("ROUND(GOOGLEFINANCE(""Currency:EURKZT"")*L803+S803)"),8141368)</f>
        <v>8141368</v>
      </c>
      <c r="U803" s="26">
        <f ca="1">IFERROR(__xludf.DUMMYFUNCTION("D803*GOOGLEFINANCE(""RUBKZT"")*1000/F803"),10635421.2949908)</f>
        <v>10635421.2949908</v>
      </c>
      <c r="V803" s="27">
        <f t="shared" ca="1" si="792"/>
        <v>0.30634326995055383</v>
      </c>
    </row>
    <row r="804" spans="1:22" ht="12.75" customHeight="1" x14ac:dyDescent="0.2">
      <c r="A804" s="6" t="s">
        <v>130</v>
      </c>
      <c r="B804" s="6" t="s">
        <v>32</v>
      </c>
      <c r="C804" s="7">
        <v>112624</v>
      </c>
      <c r="D804" s="8">
        <v>25492.799999999999</v>
      </c>
      <c r="E804" s="9" t="s">
        <v>16</v>
      </c>
      <c r="F804" s="23">
        <v>20</v>
      </c>
      <c r="G804" s="25"/>
      <c r="H804" s="14">
        <f t="shared" si="786"/>
        <v>0.55000000000000004</v>
      </c>
      <c r="I804" s="25">
        <f ca="1">IFERROR(__xludf.DUMMYFUNCTION("ROUND(D804*GOOGLEFINANCE(""RUBKZT"")*H804)"),109414)</f>
        <v>109414</v>
      </c>
      <c r="J804" s="26">
        <f ca="1">IFERROR(__xludf.DUMMYFUNCTION("ROUND(I804*GOOGLEFINANCE(""KZTEUR""))"),229)</f>
        <v>229</v>
      </c>
      <c r="K804" s="26">
        <f t="shared" ca="1" si="787"/>
        <v>11450</v>
      </c>
      <c r="L804" s="26">
        <f t="shared" ca="1" si="788"/>
        <v>2175.5</v>
      </c>
      <c r="M804" s="26">
        <f t="shared" ref="M804:N804" si="826">M$3</f>
        <v>500</v>
      </c>
      <c r="N804" s="26">
        <f t="shared" si="826"/>
        <v>500</v>
      </c>
      <c r="O804" s="26">
        <f ca="1">IFERROR(__xludf.DUMMYFUNCTION("ROUND(GOOGLEFINANCE(""Currency:EURKZT"")*K804)"),5468172)</f>
        <v>5468172</v>
      </c>
      <c r="P804" s="26">
        <f ca="1">IFERROR(__xludf.DUMMYFUNCTION("ROUND(GOOGLEFINANCE(""Currency:EURKZT"")*M804)"),238785)</f>
        <v>238785</v>
      </c>
      <c r="Q804" s="26">
        <f ca="1">IFERROR(__xludf.DUMMYFUNCTION("ROUND(GOOGLEFINANCE(""Currency:EURKZT"")*N804)"),238785)</f>
        <v>238785</v>
      </c>
      <c r="R804" s="26">
        <f t="shared" ca="1" si="790"/>
        <v>656181</v>
      </c>
      <c r="S804" s="26">
        <f t="shared" ca="1" si="791"/>
        <v>6601923</v>
      </c>
      <c r="T804" s="26">
        <f ca="1">IFERROR(__xludf.DUMMYFUNCTION("ROUND(GOOGLEFINANCE(""Currency:EURKZT"")*L804+S804)"),7640876)</f>
        <v>7640876</v>
      </c>
      <c r="U804" s="26">
        <f ca="1">IFERROR(__xludf.DUMMYFUNCTION("D804*GOOGLEFINANCE(""RUBKZT"")*1000/F804"),9946682.36807328)</f>
        <v>9946682.3680732809</v>
      </c>
      <c r="V804" s="27">
        <f t="shared" ca="1" si="792"/>
        <v>0.30177251509817471</v>
      </c>
    </row>
    <row r="805" spans="1:22" ht="12.75" customHeight="1" x14ac:dyDescent="0.2">
      <c r="A805" s="6" t="s">
        <v>131</v>
      </c>
      <c r="B805" s="6" t="s">
        <v>32</v>
      </c>
      <c r="C805" s="7">
        <v>112625</v>
      </c>
      <c r="D805" s="8">
        <v>28442.399999999998</v>
      </c>
      <c r="E805" s="9" t="s">
        <v>16</v>
      </c>
      <c r="F805" s="23">
        <v>20</v>
      </c>
      <c r="G805" s="25"/>
      <c r="H805" s="14">
        <f t="shared" si="786"/>
        <v>0.55000000000000004</v>
      </c>
      <c r="I805" s="25">
        <f ca="1">IFERROR(__xludf.DUMMYFUNCTION("ROUND(D805*GOOGLEFINANCE(""RUBKZT"")*H805)"),122073)</f>
        <v>122073</v>
      </c>
      <c r="J805" s="26">
        <f ca="1">IFERROR(__xludf.DUMMYFUNCTION("ROUND(I805*GOOGLEFINANCE(""KZTEUR""))"),256)</f>
        <v>256</v>
      </c>
      <c r="K805" s="26">
        <f t="shared" ca="1" si="787"/>
        <v>12800</v>
      </c>
      <c r="L805" s="26">
        <f t="shared" ca="1" si="788"/>
        <v>2432</v>
      </c>
      <c r="M805" s="26">
        <f t="shared" ref="M805:N805" si="827">M$3</f>
        <v>500</v>
      </c>
      <c r="N805" s="26">
        <f t="shared" si="827"/>
        <v>500</v>
      </c>
      <c r="O805" s="26">
        <f ca="1">IFERROR(__xludf.DUMMYFUNCTION("ROUND(GOOGLEFINANCE(""Currency:EURKZT"")*K805)"),6112891)</f>
        <v>6112891</v>
      </c>
      <c r="P805" s="26">
        <f ca="1">IFERROR(__xludf.DUMMYFUNCTION("ROUND(GOOGLEFINANCE(""Currency:EURKZT"")*M805)"),238785)</f>
        <v>238785</v>
      </c>
      <c r="Q805" s="26">
        <f ca="1">IFERROR(__xludf.DUMMYFUNCTION("ROUND(GOOGLEFINANCE(""Currency:EURKZT"")*N805)"),238785)</f>
        <v>238785</v>
      </c>
      <c r="R805" s="26">
        <f t="shared" ca="1" si="790"/>
        <v>733547</v>
      </c>
      <c r="S805" s="26">
        <f t="shared" ca="1" si="791"/>
        <v>7324008</v>
      </c>
      <c r="T805" s="26">
        <f ca="1">IFERROR(__xludf.DUMMYFUNCTION("ROUND(GOOGLEFINANCE(""Currency:EURKZT"")*L805+S805)"),8485457)</f>
        <v>8485457</v>
      </c>
      <c r="U805" s="26">
        <f ca="1">IFERROR(__xludf.DUMMYFUNCTION("D805*GOOGLEFINANCE(""RUBKZT"")*1000/F805"),11097545.9182862)</f>
        <v>11097545.918286201</v>
      </c>
      <c r="V805" s="27">
        <f t="shared" ca="1" si="792"/>
        <v>0.30783125979970211</v>
      </c>
    </row>
    <row r="806" spans="1:22" ht="12.75" customHeight="1" x14ac:dyDescent="0.2">
      <c r="A806" s="6" t="s">
        <v>133</v>
      </c>
      <c r="B806" s="6" t="s">
        <v>32</v>
      </c>
      <c r="C806" s="7">
        <v>112633</v>
      </c>
      <c r="D806" s="8">
        <v>30010.799999999999</v>
      </c>
      <c r="E806" s="9" t="s">
        <v>16</v>
      </c>
      <c r="F806" s="23">
        <v>20</v>
      </c>
      <c r="G806" s="25"/>
      <c r="H806" s="14">
        <f t="shared" si="786"/>
        <v>0.55000000000000004</v>
      </c>
      <c r="I806" s="25">
        <f ca="1">IFERROR(__xludf.DUMMYFUNCTION("ROUND(D806*GOOGLEFINANCE(""RUBKZT"")*H806)"),128804)</f>
        <v>128804</v>
      </c>
      <c r="J806" s="26">
        <f ca="1">IFERROR(__xludf.DUMMYFUNCTION("ROUND(I806*GOOGLEFINANCE(""KZTEUR""))"),270)</f>
        <v>270</v>
      </c>
      <c r="K806" s="26">
        <f t="shared" ca="1" si="787"/>
        <v>13500</v>
      </c>
      <c r="L806" s="26">
        <f t="shared" ca="1" si="788"/>
        <v>2565</v>
      </c>
      <c r="M806" s="26">
        <f t="shared" ref="M806:N806" si="828">M$3</f>
        <v>500</v>
      </c>
      <c r="N806" s="26">
        <f t="shared" si="828"/>
        <v>500</v>
      </c>
      <c r="O806" s="26">
        <f ca="1">IFERROR(__xludf.DUMMYFUNCTION("ROUND(GOOGLEFINANCE(""Currency:EURKZT"")*K806)"),6447190)</f>
        <v>6447190</v>
      </c>
      <c r="P806" s="26">
        <f ca="1">IFERROR(__xludf.DUMMYFUNCTION("ROUND(GOOGLEFINANCE(""Currency:EURKZT"")*M806)"),238785)</f>
        <v>238785</v>
      </c>
      <c r="Q806" s="26">
        <f ca="1">IFERROR(__xludf.DUMMYFUNCTION("ROUND(GOOGLEFINANCE(""Currency:EURKZT"")*N806)"),238785)</f>
        <v>238785</v>
      </c>
      <c r="R806" s="26">
        <f t="shared" ca="1" si="790"/>
        <v>773663</v>
      </c>
      <c r="S806" s="26">
        <f t="shared" ca="1" si="791"/>
        <v>7698423</v>
      </c>
      <c r="T806" s="26">
        <f ca="1">IFERROR(__xludf.DUMMYFUNCTION("ROUND(GOOGLEFINANCE(""Currency:EURKZT"")*L806+S806)"),8923389)</f>
        <v>8923389</v>
      </c>
      <c r="U806" s="26">
        <f ca="1">IFERROR(__xludf.DUMMYFUNCTION("D806*GOOGLEFINANCE(""RUBKZT"")*1000/F806"),11709498.18034)</f>
        <v>11709498.180339999</v>
      </c>
      <c r="V806" s="27">
        <f t="shared" ca="1" si="792"/>
        <v>0.31222545384270478</v>
      </c>
    </row>
    <row r="807" spans="1:22" ht="12.75" customHeight="1" x14ac:dyDescent="0.2">
      <c r="A807" s="6" t="s">
        <v>134</v>
      </c>
      <c r="B807" s="6" t="s">
        <v>32</v>
      </c>
      <c r="C807" s="7">
        <v>112640</v>
      </c>
      <c r="D807" s="8">
        <v>11215.199999999999</v>
      </c>
      <c r="E807" s="9" t="s">
        <v>16</v>
      </c>
      <c r="F807" s="23">
        <v>20</v>
      </c>
      <c r="G807" s="25"/>
      <c r="H807" s="14">
        <f t="shared" si="786"/>
        <v>0.55000000000000004</v>
      </c>
      <c r="I807" s="25">
        <f ca="1">IFERROR(__xludf.DUMMYFUNCTION("ROUND(D807*GOOGLEFINANCE(""RUBKZT"")*H807)"),48135)</f>
        <v>48135</v>
      </c>
      <c r="J807" s="26">
        <f ca="1">IFERROR(__xludf.DUMMYFUNCTION("ROUND(I807*GOOGLEFINANCE(""KZTEUR""))"),101)</f>
        <v>101</v>
      </c>
      <c r="K807" s="26">
        <f t="shared" ca="1" si="787"/>
        <v>5050</v>
      </c>
      <c r="L807" s="26">
        <f t="shared" ca="1" si="788"/>
        <v>959.5</v>
      </c>
      <c r="M807" s="26">
        <f t="shared" ref="M807:N807" si="829">M$3</f>
        <v>500</v>
      </c>
      <c r="N807" s="26">
        <f t="shared" si="829"/>
        <v>500</v>
      </c>
      <c r="O807" s="26">
        <f ca="1">IFERROR(__xludf.DUMMYFUNCTION("ROUND(GOOGLEFINANCE(""Currency:EURKZT"")*K807)"),2411727)</f>
        <v>2411727</v>
      </c>
      <c r="P807" s="26">
        <f ca="1">IFERROR(__xludf.DUMMYFUNCTION("ROUND(GOOGLEFINANCE(""Currency:EURKZT"")*M807)"),238785)</f>
        <v>238785</v>
      </c>
      <c r="Q807" s="26">
        <f ca="1">IFERROR(__xludf.DUMMYFUNCTION("ROUND(GOOGLEFINANCE(""Currency:EURKZT"")*N807)"),238785)</f>
        <v>238785</v>
      </c>
      <c r="R807" s="26">
        <f t="shared" ca="1" si="790"/>
        <v>289407</v>
      </c>
      <c r="S807" s="26">
        <f t="shared" ca="1" si="791"/>
        <v>3178704</v>
      </c>
      <c r="T807" s="26">
        <f ca="1">IFERROR(__xludf.DUMMYFUNCTION("ROUND(GOOGLEFINANCE(""Currency:EURKZT"")*L807+S807)"),3636932)</f>
        <v>3636932</v>
      </c>
      <c r="U807" s="26">
        <f ca="1">IFERROR(__xludf.DUMMYFUNCTION("D807*GOOGLEFINANCE(""RUBKZT"")*1000/F807"),4375903.47448752)</f>
        <v>4375903.4744875198</v>
      </c>
      <c r="V807" s="27">
        <f t="shared" ca="1" si="792"/>
        <v>0.20318539760642207</v>
      </c>
    </row>
    <row r="808" spans="1:22" ht="12.75" customHeight="1" x14ac:dyDescent="0.2">
      <c r="A808" s="6" t="s">
        <v>102</v>
      </c>
      <c r="B808" s="6" t="s">
        <v>32</v>
      </c>
      <c r="C808" s="7">
        <v>112718</v>
      </c>
      <c r="D808" s="8">
        <v>26739.599999999999</v>
      </c>
      <c r="E808" s="9" t="s">
        <v>16</v>
      </c>
      <c r="F808" s="23">
        <v>20</v>
      </c>
      <c r="G808" s="25"/>
      <c r="H808" s="14">
        <f t="shared" si="786"/>
        <v>0.55000000000000004</v>
      </c>
      <c r="I808" s="25">
        <f ca="1">IFERROR(__xludf.DUMMYFUNCTION("ROUND(D808*GOOGLEFINANCE(""RUBKZT"")*H808)"),114765)</f>
        <v>114765</v>
      </c>
      <c r="J808" s="26">
        <f ca="1">IFERROR(__xludf.DUMMYFUNCTION("ROUND(I808*GOOGLEFINANCE(""KZTEUR""))"),240)</f>
        <v>240</v>
      </c>
      <c r="K808" s="26">
        <f t="shared" ca="1" si="787"/>
        <v>12000</v>
      </c>
      <c r="L808" s="26">
        <f t="shared" ca="1" si="788"/>
        <v>2280</v>
      </c>
      <c r="M808" s="26">
        <f t="shared" ref="M808:N808" si="830">M$3</f>
        <v>500</v>
      </c>
      <c r="N808" s="26">
        <f t="shared" si="830"/>
        <v>500</v>
      </c>
      <c r="O808" s="26">
        <f ca="1">IFERROR(__xludf.DUMMYFUNCTION("ROUND(GOOGLEFINANCE(""Currency:EURKZT"")*K808)"),5730835)</f>
        <v>5730835</v>
      </c>
      <c r="P808" s="26">
        <f ca="1">IFERROR(__xludf.DUMMYFUNCTION("ROUND(GOOGLEFINANCE(""Currency:EURKZT"")*M808)"),238785)</f>
        <v>238785</v>
      </c>
      <c r="Q808" s="26">
        <f ca="1">IFERROR(__xludf.DUMMYFUNCTION("ROUND(GOOGLEFINANCE(""Currency:EURKZT"")*N808)"),238785)</f>
        <v>238785</v>
      </c>
      <c r="R808" s="26">
        <f t="shared" ca="1" si="790"/>
        <v>687700</v>
      </c>
      <c r="S808" s="26">
        <f t="shared" ca="1" si="791"/>
        <v>6896105</v>
      </c>
      <c r="T808" s="26">
        <f ca="1">IFERROR(__xludf.DUMMYFUNCTION("ROUND(GOOGLEFINANCE(""Currency:EURKZT"")*L808+S808)"),7984964)</f>
        <v>7984964</v>
      </c>
      <c r="U808" s="26">
        <f ca="1">IFERROR(__xludf.DUMMYFUNCTION("D808*GOOGLEFINANCE(""RUBKZT"")*1000/F808"),10433153.9826669)</f>
        <v>10433153.9826669</v>
      </c>
      <c r="V808" s="27">
        <f t="shared" ca="1" si="792"/>
        <v>0.30660000253813297</v>
      </c>
    </row>
    <row r="809" spans="1:22" ht="12.75" customHeight="1" x14ac:dyDescent="0.2">
      <c r="A809" s="6" t="s">
        <v>138</v>
      </c>
      <c r="B809" s="6" t="s">
        <v>32</v>
      </c>
      <c r="C809" s="7">
        <v>114732</v>
      </c>
      <c r="D809" s="8">
        <v>11305.199999999999</v>
      </c>
      <c r="E809" s="9" t="s">
        <v>16</v>
      </c>
      <c r="F809" s="23">
        <v>20</v>
      </c>
      <c r="G809" s="25"/>
      <c r="H809" s="14">
        <f t="shared" si="786"/>
        <v>0.55000000000000004</v>
      </c>
      <c r="I809" s="25">
        <f ca="1">IFERROR(__xludf.DUMMYFUNCTION("ROUND(D809*GOOGLEFINANCE(""RUBKZT"")*H809)"),48521)</f>
        <v>48521</v>
      </c>
      <c r="J809" s="26">
        <f ca="1">IFERROR(__xludf.DUMMYFUNCTION("ROUND(I809*GOOGLEFINANCE(""KZTEUR""))"),102)</f>
        <v>102</v>
      </c>
      <c r="K809" s="26">
        <f t="shared" ca="1" si="787"/>
        <v>5100</v>
      </c>
      <c r="L809" s="26">
        <f t="shared" ca="1" si="788"/>
        <v>969</v>
      </c>
      <c r="M809" s="26">
        <f t="shared" ref="M809:N809" si="831">M$3</f>
        <v>500</v>
      </c>
      <c r="N809" s="26">
        <f t="shared" si="831"/>
        <v>500</v>
      </c>
      <c r="O809" s="26">
        <f ca="1">IFERROR(__xludf.DUMMYFUNCTION("ROUND(GOOGLEFINANCE(""Currency:EURKZT"")*K809)"),2435605)</f>
        <v>2435605</v>
      </c>
      <c r="P809" s="26">
        <f ca="1">IFERROR(__xludf.DUMMYFUNCTION("ROUND(GOOGLEFINANCE(""Currency:EURKZT"")*M809)"),238785)</f>
        <v>238785</v>
      </c>
      <c r="Q809" s="26">
        <f ca="1">IFERROR(__xludf.DUMMYFUNCTION("ROUND(GOOGLEFINANCE(""Currency:EURKZT"")*N809)"),238785)</f>
        <v>238785</v>
      </c>
      <c r="R809" s="26">
        <f t="shared" ca="1" si="790"/>
        <v>292273</v>
      </c>
      <c r="S809" s="26">
        <f t="shared" ca="1" si="791"/>
        <v>3205448</v>
      </c>
      <c r="T809" s="26">
        <f ca="1">IFERROR(__xludf.DUMMYFUNCTION("ROUND(GOOGLEFINANCE(""Currency:EURKZT"")*L809+S809)"),3668213)</f>
        <v>3668213</v>
      </c>
      <c r="U809" s="26">
        <f ca="1">IFERROR(__xludf.DUMMYFUNCTION("D809*GOOGLEFINANCE(""RUBKZT"")*1000/F809"),4411019.32732152)</f>
        <v>4411019.3273215201</v>
      </c>
      <c r="V809" s="27">
        <f t="shared" ca="1" si="792"/>
        <v>0.20249814482461082</v>
      </c>
    </row>
    <row r="810" spans="1:22" ht="12.75" customHeight="1" x14ac:dyDescent="0.2">
      <c r="A810" s="6" t="s">
        <v>66</v>
      </c>
      <c r="B810" s="6" t="s">
        <v>32</v>
      </c>
      <c r="C810" s="7">
        <v>114742</v>
      </c>
      <c r="D810" s="8">
        <v>8830.7999999999993</v>
      </c>
      <c r="E810" s="9" t="s">
        <v>16</v>
      </c>
      <c r="F810" s="23">
        <v>20</v>
      </c>
      <c r="G810" s="25"/>
      <c r="H810" s="14">
        <f t="shared" si="786"/>
        <v>0.55000000000000004</v>
      </c>
      <c r="I810" s="25">
        <f ca="1">IFERROR(__xludf.DUMMYFUNCTION("ROUND(D810*GOOGLEFINANCE(""RUBKZT"")*H810)"),37901)</f>
        <v>37901</v>
      </c>
      <c r="J810" s="26">
        <f ca="1">IFERROR(__xludf.DUMMYFUNCTION("ROUND(I810*GOOGLEFINANCE(""KZTEUR""))"),79)</f>
        <v>79</v>
      </c>
      <c r="K810" s="26">
        <f t="shared" ca="1" si="787"/>
        <v>3950</v>
      </c>
      <c r="L810" s="26">
        <f t="shared" ca="1" si="788"/>
        <v>750.5</v>
      </c>
      <c r="M810" s="26">
        <f t="shared" ref="M810:N810" si="832">M$3</f>
        <v>500</v>
      </c>
      <c r="N810" s="26">
        <f t="shared" si="832"/>
        <v>500</v>
      </c>
      <c r="O810" s="26">
        <f ca="1">IFERROR(__xludf.DUMMYFUNCTION("ROUND(GOOGLEFINANCE(""Currency:EURKZT"")*K810)"),1886400)</f>
        <v>1886400</v>
      </c>
      <c r="P810" s="26">
        <f ca="1">IFERROR(__xludf.DUMMYFUNCTION("ROUND(GOOGLEFINANCE(""Currency:EURKZT"")*M810)"),238785)</f>
        <v>238785</v>
      </c>
      <c r="Q810" s="26">
        <f ca="1">IFERROR(__xludf.DUMMYFUNCTION("ROUND(GOOGLEFINANCE(""Currency:EURKZT"")*N810)"),238785)</f>
        <v>238785</v>
      </c>
      <c r="R810" s="26">
        <f t="shared" ca="1" si="790"/>
        <v>226368</v>
      </c>
      <c r="S810" s="26">
        <f t="shared" ca="1" si="791"/>
        <v>2590338</v>
      </c>
      <c r="T810" s="26">
        <f ca="1">IFERROR(__xludf.DUMMYFUNCTION("ROUND(GOOGLEFINANCE(""Currency:EURKZT"")*L810+S810)"),2948754)</f>
        <v>2948754</v>
      </c>
      <c r="U810" s="26">
        <f ca="1">IFERROR(__xludf.DUMMYFUNCTION("D810*GOOGLEFINANCE(""RUBKZT"")*1000/F810"),3445567.48007208)</f>
        <v>3445567.4800720802</v>
      </c>
      <c r="V810" s="27">
        <f t="shared" ca="1" si="792"/>
        <v>0.16848251162086772</v>
      </c>
    </row>
    <row r="811" spans="1:22" ht="12.75" customHeight="1" x14ac:dyDescent="0.2">
      <c r="A811" s="6" t="s">
        <v>139</v>
      </c>
      <c r="B811" s="6" t="s">
        <v>32</v>
      </c>
      <c r="C811" s="7">
        <v>115806</v>
      </c>
      <c r="D811" s="8">
        <v>14853.599999999999</v>
      </c>
      <c r="E811" s="9" t="s">
        <v>16</v>
      </c>
      <c r="F811" s="23">
        <v>20</v>
      </c>
      <c r="G811" s="25"/>
      <c r="H811" s="14">
        <f t="shared" si="786"/>
        <v>0.55000000000000004</v>
      </c>
      <c r="I811" s="25">
        <f ca="1">IFERROR(__xludf.DUMMYFUNCTION("ROUND(D811*GOOGLEFINANCE(""RUBKZT"")*H811)"),63751)</f>
        <v>63751</v>
      </c>
      <c r="J811" s="26">
        <f ca="1">IFERROR(__xludf.DUMMYFUNCTION("ROUND(I811*GOOGLEFINANCE(""KZTEUR""))"),134)</f>
        <v>134</v>
      </c>
      <c r="K811" s="26">
        <f t="shared" ca="1" si="787"/>
        <v>6700</v>
      </c>
      <c r="L811" s="26">
        <f t="shared" ca="1" si="788"/>
        <v>1273</v>
      </c>
      <c r="M811" s="26">
        <f t="shared" ref="M811:N811" si="833">M$3</f>
        <v>500</v>
      </c>
      <c r="N811" s="26">
        <f t="shared" si="833"/>
        <v>500</v>
      </c>
      <c r="O811" s="26">
        <f ca="1">IFERROR(__xludf.DUMMYFUNCTION("ROUND(GOOGLEFINANCE(""Currency:EURKZT"")*K811)"),3199716)</f>
        <v>3199716</v>
      </c>
      <c r="P811" s="26">
        <f ca="1">IFERROR(__xludf.DUMMYFUNCTION("ROUND(GOOGLEFINANCE(""Currency:EURKZT"")*M811)"),238785)</f>
        <v>238785</v>
      </c>
      <c r="Q811" s="26">
        <f ca="1">IFERROR(__xludf.DUMMYFUNCTION("ROUND(GOOGLEFINANCE(""Currency:EURKZT"")*N811)"),238785)</f>
        <v>238785</v>
      </c>
      <c r="R811" s="26">
        <f t="shared" ca="1" si="790"/>
        <v>383966</v>
      </c>
      <c r="S811" s="26">
        <f t="shared" ca="1" si="791"/>
        <v>4061252</v>
      </c>
      <c r="T811" s="26">
        <f ca="1">IFERROR(__xludf.DUMMYFUNCTION("ROUND(GOOGLEFINANCE(""Currency:EURKZT"")*L811+S811)"),4669198)</f>
        <v>4669198</v>
      </c>
      <c r="U811" s="26">
        <f ca="1">IFERROR(__xludf.DUMMYFUNCTION("D811*GOOGLEFINANCE(""RUBKZT"")*1000/F811"),5795520.35172336)</f>
        <v>5795520.3517233599</v>
      </c>
      <c r="V811" s="27">
        <f t="shared" ca="1" si="792"/>
        <v>0.24122394289626611</v>
      </c>
    </row>
    <row r="812" spans="1:22" ht="12.75" customHeight="1" x14ac:dyDescent="0.2">
      <c r="A812" s="6" t="s">
        <v>82</v>
      </c>
      <c r="B812" s="6" t="s">
        <v>32</v>
      </c>
      <c r="C812" s="7">
        <v>119494</v>
      </c>
      <c r="D812" s="8">
        <v>8842.7999999999993</v>
      </c>
      <c r="E812" s="9" t="s">
        <v>16</v>
      </c>
      <c r="F812" s="23">
        <v>20</v>
      </c>
      <c r="G812" s="25"/>
      <c r="H812" s="14">
        <f t="shared" si="786"/>
        <v>0.55000000000000004</v>
      </c>
      <c r="I812" s="25">
        <f ca="1">IFERROR(__xludf.DUMMYFUNCTION("ROUND(D812*GOOGLEFINANCE(""RUBKZT"")*H812)"),37953)</f>
        <v>37953</v>
      </c>
      <c r="J812" s="26">
        <f ca="1">IFERROR(__xludf.DUMMYFUNCTION("ROUND(I812*GOOGLEFINANCE(""KZTEUR""))"),79)</f>
        <v>79</v>
      </c>
      <c r="K812" s="26">
        <f t="shared" ca="1" si="787"/>
        <v>3950</v>
      </c>
      <c r="L812" s="26">
        <f t="shared" ca="1" si="788"/>
        <v>750.5</v>
      </c>
      <c r="M812" s="26">
        <f t="shared" ref="M812:N812" si="834">M$3</f>
        <v>500</v>
      </c>
      <c r="N812" s="26">
        <f t="shared" si="834"/>
        <v>500</v>
      </c>
      <c r="O812" s="26">
        <f ca="1">IFERROR(__xludf.DUMMYFUNCTION("ROUND(GOOGLEFINANCE(""Currency:EURKZT"")*K812)"),1886400)</f>
        <v>1886400</v>
      </c>
      <c r="P812" s="26">
        <f ca="1">IFERROR(__xludf.DUMMYFUNCTION("ROUND(GOOGLEFINANCE(""Currency:EURKZT"")*M812)"),238785)</f>
        <v>238785</v>
      </c>
      <c r="Q812" s="26">
        <f ca="1">IFERROR(__xludf.DUMMYFUNCTION("ROUND(GOOGLEFINANCE(""Currency:EURKZT"")*N812)"),238785)</f>
        <v>238785</v>
      </c>
      <c r="R812" s="26">
        <f t="shared" ca="1" si="790"/>
        <v>226368</v>
      </c>
      <c r="S812" s="26">
        <f t="shared" ca="1" si="791"/>
        <v>2590338</v>
      </c>
      <c r="T812" s="26">
        <f ca="1">IFERROR(__xludf.DUMMYFUNCTION("ROUND(GOOGLEFINANCE(""Currency:EURKZT"")*L812+S812)"),2948754)</f>
        <v>2948754</v>
      </c>
      <c r="U812" s="26">
        <f ca="1">IFERROR(__xludf.DUMMYFUNCTION("D812*GOOGLEFINANCE(""RUBKZT"")*1000/F812"),3450249.59378327)</f>
        <v>3450249.5937832701</v>
      </c>
      <c r="V812" s="27">
        <f t="shared" ca="1" si="792"/>
        <v>0.17007033946652386</v>
      </c>
    </row>
    <row r="813" spans="1:22" ht="12.75" customHeight="1" x14ac:dyDescent="0.2">
      <c r="A813" s="6" t="s">
        <v>135</v>
      </c>
      <c r="B813" s="6" t="s">
        <v>32</v>
      </c>
      <c r="C813" s="7">
        <v>120602</v>
      </c>
      <c r="D813" s="8">
        <v>13276.8</v>
      </c>
      <c r="E813" s="9" t="s">
        <v>16</v>
      </c>
      <c r="F813" s="23">
        <v>20</v>
      </c>
      <c r="G813" s="25"/>
      <c r="H813" s="14">
        <f t="shared" si="786"/>
        <v>0.55000000000000004</v>
      </c>
      <c r="I813" s="25">
        <f ca="1">IFERROR(__xludf.DUMMYFUNCTION("ROUND(D813*GOOGLEFINANCE(""RUBKZT"")*H813)"),56983)</f>
        <v>56983</v>
      </c>
      <c r="J813" s="26">
        <f ca="1">IFERROR(__xludf.DUMMYFUNCTION("ROUND(I813*GOOGLEFINANCE(""KZTEUR""))"),119)</f>
        <v>119</v>
      </c>
      <c r="K813" s="26">
        <f t="shared" ca="1" si="787"/>
        <v>5950</v>
      </c>
      <c r="L813" s="26">
        <f t="shared" ca="1" si="788"/>
        <v>1130.5</v>
      </c>
      <c r="M813" s="26">
        <f t="shared" ref="M813:N813" si="835">M$3</f>
        <v>500</v>
      </c>
      <c r="N813" s="26">
        <f t="shared" si="835"/>
        <v>500</v>
      </c>
      <c r="O813" s="26">
        <f ca="1">IFERROR(__xludf.DUMMYFUNCTION("ROUND(GOOGLEFINANCE(""Currency:EURKZT"")*K813)"),2841539)</f>
        <v>2841539</v>
      </c>
      <c r="P813" s="26">
        <f ca="1">IFERROR(__xludf.DUMMYFUNCTION("ROUND(GOOGLEFINANCE(""Currency:EURKZT"")*M813)"),238785)</f>
        <v>238785</v>
      </c>
      <c r="Q813" s="26">
        <f ca="1">IFERROR(__xludf.DUMMYFUNCTION("ROUND(GOOGLEFINANCE(""Currency:EURKZT"")*N813)"),238785)</f>
        <v>238785</v>
      </c>
      <c r="R813" s="26">
        <f t="shared" ca="1" si="790"/>
        <v>340985</v>
      </c>
      <c r="S813" s="26">
        <f t="shared" ca="1" si="791"/>
        <v>3660094</v>
      </c>
      <c r="T813" s="26">
        <f ca="1">IFERROR(__xludf.DUMMYFUNCTION("ROUND(GOOGLEFINANCE(""Currency:EURKZT"")*L813+S813)"),4199986)</f>
        <v>4199986</v>
      </c>
      <c r="U813" s="26">
        <f ca="1">IFERROR(__xludf.DUMMYFUNCTION("D813*GOOGLEFINANCE(""RUBKZT"")*1000/F813"),5180290.61007168)</f>
        <v>5180290.6100716796</v>
      </c>
      <c r="V813" s="27">
        <f t="shared" ca="1" si="792"/>
        <v>0.23340663756300131</v>
      </c>
    </row>
    <row r="814" spans="1:22" ht="12.75" customHeight="1" x14ac:dyDescent="0.2">
      <c r="A814" s="6" t="s">
        <v>142</v>
      </c>
      <c r="B814" s="6" t="s">
        <v>32</v>
      </c>
      <c r="C814" s="7">
        <v>120659</v>
      </c>
      <c r="D814" s="8">
        <v>29624.399999999998</v>
      </c>
      <c r="E814" s="9" t="s">
        <v>16</v>
      </c>
      <c r="F814" s="23">
        <v>20</v>
      </c>
      <c r="G814" s="25"/>
      <c r="H814" s="14">
        <f t="shared" si="786"/>
        <v>0.55000000000000004</v>
      </c>
      <c r="I814" s="25">
        <f ca="1">IFERROR(__xludf.DUMMYFUNCTION("ROUND(D814*GOOGLEFINANCE(""RUBKZT"")*H814)"),127146)</f>
        <v>127146</v>
      </c>
      <c r="J814" s="26">
        <f ca="1">IFERROR(__xludf.DUMMYFUNCTION("ROUND(I814*GOOGLEFINANCE(""KZTEUR""))"),266)</f>
        <v>266</v>
      </c>
      <c r="K814" s="26">
        <f t="shared" ca="1" si="787"/>
        <v>13300</v>
      </c>
      <c r="L814" s="26">
        <f t="shared" ca="1" si="788"/>
        <v>2527</v>
      </c>
      <c r="M814" s="26">
        <f t="shared" ref="M814:N814" si="836">M$3</f>
        <v>500</v>
      </c>
      <c r="N814" s="26">
        <f t="shared" si="836"/>
        <v>500</v>
      </c>
      <c r="O814" s="26">
        <f ca="1">IFERROR(__xludf.DUMMYFUNCTION("ROUND(GOOGLEFINANCE(""Currency:EURKZT"")*K814)"),6351676)</f>
        <v>6351676</v>
      </c>
      <c r="P814" s="26">
        <f ca="1">IFERROR(__xludf.DUMMYFUNCTION("ROUND(GOOGLEFINANCE(""Currency:EURKZT"")*M814)"),238785)</f>
        <v>238785</v>
      </c>
      <c r="Q814" s="26">
        <f ca="1">IFERROR(__xludf.DUMMYFUNCTION("ROUND(GOOGLEFINANCE(""Currency:EURKZT"")*N814)"),238785)</f>
        <v>238785</v>
      </c>
      <c r="R814" s="26">
        <f t="shared" ca="1" si="790"/>
        <v>762201</v>
      </c>
      <c r="S814" s="26">
        <f t="shared" ca="1" si="791"/>
        <v>7591447</v>
      </c>
      <c r="T814" s="26">
        <f ca="1">IFERROR(__xludf.DUMMYFUNCTION("ROUND(GOOGLEFINANCE(""Currency:EURKZT"")*L814+S814)"),8798265)</f>
        <v>8798265</v>
      </c>
      <c r="U814" s="26">
        <f ca="1">IFERROR(__xludf.DUMMYFUNCTION("D814*GOOGLEFINANCE(""RUBKZT"")*1000/F814"),11558734.1188394)</f>
        <v>11558734.1188394</v>
      </c>
      <c r="V814" s="27">
        <f t="shared" ca="1" si="792"/>
        <v>0.31375153156212049</v>
      </c>
    </row>
    <row r="815" spans="1:22" ht="12.75" customHeight="1" x14ac:dyDescent="0.2">
      <c r="A815" s="6" t="s">
        <v>145</v>
      </c>
      <c r="B815" s="6" t="s">
        <v>32</v>
      </c>
      <c r="C815" s="7">
        <v>125883</v>
      </c>
      <c r="D815" s="8">
        <v>32726.399999999998</v>
      </c>
      <c r="E815" s="9" t="s">
        <v>16</v>
      </c>
      <c r="F815" s="23">
        <v>20</v>
      </c>
      <c r="G815" s="25"/>
      <c r="H815" s="14">
        <f t="shared" si="786"/>
        <v>0.55000000000000004</v>
      </c>
      <c r="I815" s="25">
        <f ca="1">IFERROR(__xludf.DUMMYFUNCTION("ROUND(D815*GOOGLEFINANCE(""RUBKZT"")*H815)"),140460)</f>
        <v>140460</v>
      </c>
      <c r="J815" s="26">
        <f ca="1">IFERROR(__xludf.DUMMYFUNCTION("ROUND(I815*GOOGLEFINANCE(""KZTEUR""))"),294)</f>
        <v>294</v>
      </c>
      <c r="K815" s="26">
        <f t="shared" ca="1" si="787"/>
        <v>14700</v>
      </c>
      <c r="L815" s="26">
        <f t="shared" ca="1" si="788"/>
        <v>2793</v>
      </c>
      <c r="M815" s="26">
        <f t="shared" ref="M815:N815" si="837">M$3</f>
        <v>500</v>
      </c>
      <c r="N815" s="26">
        <f t="shared" si="837"/>
        <v>500</v>
      </c>
      <c r="O815" s="26">
        <f ca="1">IFERROR(__xludf.DUMMYFUNCTION("ROUND(GOOGLEFINANCE(""Currency:EURKZT"")*K815)"),7020273)</f>
        <v>7020273</v>
      </c>
      <c r="P815" s="26">
        <f ca="1">IFERROR(__xludf.DUMMYFUNCTION("ROUND(GOOGLEFINANCE(""Currency:EURKZT"")*M815)"),238785)</f>
        <v>238785</v>
      </c>
      <c r="Q815" s="26">
        <f ca="1">IFERROR(__xludf.DUMMYFUNCTION("ROUND(GOOGLEFINANCE(""Currency:EURKZT"")*N815)"),238785)</f>
        <v>238785</v>
      </c>
      <c r="R815" s="26">
        <f t="shared" ca="1" si="790"/>
        <v>842433</v>
      </c>
      <c r="S815" s="26">
        <f t="shared" ca="1" si="791"/>
        <v>8340276</v>
      </c>
      <c r="T815" s="26">
        <f ca="1">IFERROR(__xludf.DUMMYFUNCTION("ROUND(GOOGLEFINANCE(""Currency:EURKZT"")*L815+S815)"),9674128)</f>
        <v>9674128</v>
      </c>
      <c r="U815" s="26">
        <f ca="1">IFERROR(__xludf.DUMMYFUNCTION("D815*GOOGLEFINANCE(""RUBKZT"")*1000/F815"),12769060.5131846)</f>
        <v>12769060.5131846</v>
      </c>
      <c r="V815" s="27">
        <f t="shared" ca="1" si="792"/>
        <v>0.31991849944352602</v>
      </c>
    </row>
    <row r="816" spans="1:22" ht="12.75" customHeight="1" x14ac:dyDescent="0.2">
      <c r="A816" s="6" t="s">
        <v>146</v>
      </c>
      <c r="B816" s="6" t="s">
        <v>32</v>
      </c>
      <c r="C816" s="7">
        <v>125884</v>
      </c>
      <c r="D816" s="8">
        <v>33465.599999999999</v>
      </c>
      <c r="E816" s="9" t="s">
        <v>16</v>
      </c>
      <c r="F816" s="23">
        <v>20</v>
      </c>
      <c r="G816" s="25"/>
      <c r="H816" s="14">
        <f t="shared" si="786"/>
        <v>0.55000000000000004</v>
      </c>
      <c r="I816" s="25">
        <f ca="1">IFERROR(__xludf.DUMMYFUNCTION("ROUND(D816*GOOGLEFINANCE(""RUBKZT"")*H816)"),143632)</f>
        <v>143632</v>
      </c>
      <c r="J816" s="26">
        <f ca="1">IFERROR(__xludf.DUMMYFUNCTION("ROUND(I816*GOOGLEFINANCE(""KZTEUR""))"),301)</f>
        <v>301</v>
      </c>
      <c r="K816" s="26">
        <f t="shared" ca="1" si="787"/>
        <v>15050</v>
      </c>
      <c r="L816" s="26">
        <f t="shared" ca="1" si="788"/>
        <v>2859.5</v>
      </c>
      <c r="M816" s="26">
        <f t="shared" ref="M816:N816" si="838">M$3</f>
        <v>500</v>
      </c>
      <c r="N816" s="26">
        <f t="shared" si="838"/>
        <v>500</v>
      </c>
      <c r="O816" s="26">
        <f ca="1">IFERROR(__xludf.DUMMYFUNCTION("ROUND(GOOGLEFINANCE(""Currency:EURKZT"")*K816)"),7187423)</f>
        <v>7187423</v>
      </c>
      <c r="P816" s="26">
        <f ca="1">IFERROR(__xludf.DUMMYFUNCTION("ROUND(GOOGLEFINANCE(""Currency:EURKZT"")*M816)"),238785)</f>
        <v>238785</v>
      </c>
      <c r="Q816" s="26">
        <f ca="1">IFERROR(__xludf.DUMMYFUNCTION("ROUND(GOOGLEFINANCE(""Currency:EURKZT"")*N816)"),238785)</f>
        <v>238785</v>
      </c>
      <c r="R816" s="26">
        <f t="shared" ca="1" si="790"/>
        <v>862491</v>
      </c>
      <c r="S816" s="26">
        <f t="shared" ca="1" si="791"/>
        <v>8527484</v>
      </c>
      <c r="T816" s="26">
        <f ca="1">IFERROR(__xludf.DUMMYFUNCTION("ROUND(GOOGLEFINANCE(""Currency:EURKZT"")*L816+S816)"),9893094)</f>
        <v>9893094</v>
      </c>
      <c r="U816" s="26">
        <f ca="1">IFERROR(__xludf.DUMMYFUNCTION("D816*GOOGLEFINANCE(""RUBKZT"")*1000/F816"),13057478.7177945)</f>
        <v>13057478.7177945</v>
      </c>
      <c r="V816" s="27">
        <f t="shared" ca="1" si="792"/>
        <v>0.31985794512763149</v>
      </c>
    </row>
    <row r="817" spans="1:22" ht="12.75" customHeight="1" x14ac:dyDescent="0.2">
      <c r="A817" s="6" t="s">
        <v>147</v>
      </c>
      <c r="B817" s="6" t="s">
        <v>32</v>
      </c>
      <c r="C817" s="7">
        <v>126429</v>
      </c>
      <c r="D817" s="8">
        <v>11757.6</v>
      </c>
      <c r="E817" s="9" t="s">
        <v>16</v>
      </c>
      <c r="F817" s="23">
        <v>20</v>
      </c>
      <c r="G817" s="25"/>
      <c r="H817" s="14">
        <f t="shared" si="786"/>
        <v>0.55000000000000004</v>
      </c>
      <c r="I817" s="25">
        <f ca="1">IFERROR(__xludf.DUMMYFUNCTION("ROUND(D817*GOOGLEFINANCE(""RUBKZT"")*H817)"),50463)</f>
        <v>50463</v>
      </c>
      <c r="J817" s="26">
        <f ca="1">IFERROR(__xludf.DUMMYFUNCTION("ROUND(I817*GOOGLEFINANCE(""KZTEUR""))"),106)</f>
        <v>106</v>
      </c>
      <c r="K817" s="26">
        <f t="shared" ca="1" si="787"/>
        <v>5300</v>
      </c>
      <c r="L817" s="26">
        <f t="shared" ca="1" si="788"/>
        <v>1007</v>
      </c>
      <c r="M817" s="26">
        <f t="shared" ref="M817:N817" si="839">M$3</f>
        <v>500</v>
      </c>
      <c r="N817" s="26">
        <f t="shared" si="839"/>
        <v>500</v>
      </c>
      <c r="O817" s="26">
        <f ca="1">IFERROR(__xludf.DUMMYFUNCTION("ROUND(GOOGLEFINANCE(""Currency:EURKZT"")*K817)"),2531119)</f>
        <v>2531119</v>
      </c>
      <c r="P817" s="26">
        <f ca="1">IFERROR(__xludf.DUMMYFUNCTION("ROUND(GOOGLEFINANCE(""Currency:EURKZT"")*M817)"),238785)</f>
        <v>238785</v>
      </c>
      <c r="Q817" s="26">
        <f ca="1">IFERROR(__xludf.DUMMYFUNCTION("ROUND(GOOGLEFINANCE(""Currency:EURKZT"")*N817)"),238785)</f>
        <v>238785</v>
      </c>
      <c r="R817" s="26">
        <f t="shared" ca="1" si="790"/>
        <v>303734</v>
      </c>
      <c r="S817" s="26">
        <f t="shared" ca="1" si="791"/>
        <v>3312423</v>
      </c>
      <c r="T817" s="26">
        <f ca="1">IFERROR(__xludf.DUMMYFUNCTION("ROUND(GOOGLEFINANCE(""Currency:EURKZT"")*L817+S817)"),3793336)</f>
        <v>3793336</v>
      </c>
      <c r="U817" s="26">
        <f ca="1">IFERROR(__xludf.DUMMYFUNCTION("D817*GOOGLEFINANCE(""RUBKZT"")*1000/F817"),4587535.01423376)</f>
        <v>4587535.0142337596</v>
      </c>
      <c r="V817" s="27">
        <f t="shared" ca="1" si="792"/>
        <v>0.20936690402162098</v>
      </c>
    </row>
    <row r="818" spans="1:22" ht="12.75" customHeight="1" x14ac:dyDescent="0.2">
      <c r="A818" s="6" t="s">
        <v>12</v>
      </c>
      <c r="B818" s="6" t="s">
        <v>32</v>
      </c>
      <c r="C818" s="7">
        <v>127702</v>
      </c>
      <c r="D818" s="8">
        <v>11149.199999999999</v>
      </c>
      <c r="E818" s="9" t="s">
        <v>7</v>
      </c>
      <c r="F818" s="23">
        <v>20</v>
      </c>
      <c r="G818" s="25"/>
      <c r="H818" s="14">
        <f t="shared" si="786"/>
        <v>0.55000000000000004</v>
      </c>
      <c r="I818" s="25">
        <f ca="1">IFERROR(__xludf.DUMMYFUNCTION("ROUND(D818*GOOGLEFINANCE(""RUBKZT"")*H818)"),47852)</f>
        <v>47852</v>
      </c>
      <c r="J818" s="26">
        <f ca="1">IFERROR(__xludf.DUMMYFUNCTION("ROUND(I818*GOOGLEFINANCE(""KZTEUR""))"),100)</f>
        <v>100</v>
      </c>
      <c r="K818" s="26">
        <f t="shared" ca="1" si="787"/>
        <v>5000</v>
      </c>
      <c r="L818" s="26">
        <f t="shared" ca="1" si="788"/>
        <v>950</v>
      </c>
      <c r="M818" s="26">
        <f t="shared" ref="M818:N818" si="840">M$3</f>
        <v>500</v>
      </c>
      <c r="N818" s="26">
        <f t="shared" si="840"/>
        <v>500</v>
      </c>
      <c r="O818" s="26">
        <f ca="1">IFERROR(__xludf.DUMMYFUNCTION("ROUND(GOOGLEFINANCE(""Currency:EURKZT"")*K818)"),2387848)</f>
        <v>2387848</v>
      </c>
      <c r="P818" s="26">
        <f ca="1">IFERROR(__xludf.DUMMYFUNCTION("ROUND(GOOGLEFINANCE(""Currency:EURKZT"")*M818)"),238785)</f>
        <v>238785</v>
      </c>
      <c r="Q818" s="26">
        <f ca="1">IFERROR(__xludf.DUMMYFUNCTION("ROUND(GOOGLEFINANCE(""Currency:EURKZT"")*N818)"),238785)</f>
        <v>238785</v>
      </c>
      <c r="R818" s="26">
        <f t="shared" ca="1" si="790"/>
        <v>286542</v>
      </c>
      <c r="S818" s="26">
        <f t="shared" ca="1" si="791"/>
        <v>3151960</v>
      </c>
      <c r="T818" s="26">
        <f ca="1">IFERROR(__xludf.DUMMYFUNCTION("ROUND(GOOGLEFINANCE(""Currency:EURKZT"")*L818+S818)"),3605651)</f>
        <v>3605651</v>
      </c>
      <c r="U818" s="26">
        <f ca="1">IFERROR(__xludf.DUMMYFUNCTION("D818*GOOGLEFINANCE(""RUBKZT"")*1000/F818"),4350151.84907591)</f>
        <v>4350151.8490759097</v>
      </c>
      <c r="V818" s="27">
        <f t="shared" ca="1" si="792"/>
        <v>0.2064816725401071</v>
      </c>
    </row>
    <row r="819" spans="1:22" ht="12.75" customHeight="1" x14ac:dyDescent="0.2">
      <c r="A819" s="6" t="s">
        <v>149</v>
      </c>
      <c r="B819" s="6" t="s">
        <v>32</v>
      </c>
      <c r="C819" s="7">
        <v>127775</v>
      </c>
      <c r="D819" s="8">
        <v>8134.7999999999993</v>
      </c>
      <c r="E819" s="9" t="s">
        <v>7</v>
      </c>
      <c r="F819" s="23">
        <v>20</v>
      </c>
      <c r="G819" s="25"/>
      <c r="H819" s="14">
        <f t="shared" si="786"/>
        <v>0.55000000000000004</v>
      </c>
      <c r="I819" s="25">
        <f ca="1">IFERROR(__xludf.DUMMYFUNCTION("ROUND(D819*GOOGLEFINANCE(""RUBKZT"")*H819)"),34914)</f>
        <v>34914</v>
      </c>
      <c r="J819" s="26">
        <f ca="1">IFERROR(__xludf.DUMMYFUNCTION("ROUND(I819*GOOGLEFINANCE(""KZTEUR""))"),73)</f>
        <v>73</v>
      </c>
      <c r="K819" s="26">
        <f t="shared" ca="1" si="787"/>
        <v>3650</v>
      </c>
      <c r="L819" s="26">
        <f t="shared" ca="1" si="788"/>
        <v>693.5</v>
      </c>
      <c r="M819" s="26">
        <f t="shared" ref="M819:N819" si="841">M$3</f>
        <v>500</v>
      </c>
      <c r="N819" s="26">
        <f t="shared" si="841"/>
        <v>500</v>
      </c>
      <c r="O819" s="26">
        <f ca="1">IFERROR(__xludf.DUMMYFUNCTION("ROUND(GOOGLEFINANCE(""Currency:EURKZT"")*K819)"),1743129)</f>
        <v>1743129</v>
      </c>
      <c r="P819" s="26">
        <f ca="1">IFERROR(__xludf.DUMMYFUNCTION("ROUND(GOOGLEFINANCE(""Currency:EURKZT"")*M819)"),238785)</f>
        <v>238785</v>
      </c>
      <c r="Q819" s="26">
        <f ca="1">IFERROR(__xludf.DUMMYFUNCTION("ROUND(GOOGLEFINANCE(""Currency:EURKZT"")*N819)"),238785)</f>
        <v>238785</v>
      </c>
      <c r="R819" s="26">
        <f t="shared" ca="1" si="790"/>
        <v>209175</v>
      </c>
      <c r="S819" s="26">
        <f t="shared" ca="1" si="791"/>
        <v>2429874</v>
      </c>
      <c r="T819" s="26">
        <f ca="1">IFERROR(__xludf.DUMMYFUNCTION("ROUND(GOOGLEFINANCE(""Currency:EURKZT"")*L819+S819)"),2761069)</f>
        <v>2761069</v>
      </c>
      <c r="U819" s="26">
        <f ca="1">IFERROR(__xludf.DUMMYFUNCTION("D819*GOOGLEFINANCE(""RUBKZT"")*1000/F819"),3174004.88482248)</f>
        <v>3174004.8848224799</v>
      </c>
      <c r="V819" s="27">
        <f t="shared" ca="1" si="792"/>
        <v>0.14955652496278793</v>
      </c>
    </row>
    <row r="820" spans="1:22" ht="12.75" customHeight="1" x14ac:dyDescent="0.2">
      <c r="A820" s="6" t="s">
        <v>150</v>
      </c>
      <c r="B820" s="6" t="s">
        <v>32</v>
      </c>
      <c r="C820" s="7">
        <v>127853</v>
      </c>
      <c r="D820" s="8">
        <v>9487.1999999999989</v>
      </c>
      <c r="E820" s="9" t="s">
        <v>7</v>
      </c>
      <c r="F820" s="23">
        <v>20</v>
      </c>
      <c r="G820" s="25"/>
      <c r="H820" s="14">
        <f t="shared" si="786"/>
        <v>0.55000000000000004</v>
      </c>
      <c r="I820" s="25">
        <f ca="1">IFERROR(__xludf.DUMMYFUNCTION("ROUND(D820*GOOGLEFINANCE(""RUBKZT"")*H820)"),40718)</f>
        <v>40718</v>
      </c>
      <c r="J820" s="26">
        <f ca="1">IFERROR(__xludf.DUMMYFUNCTION("ROUND(I820*GOOGLEFINANCE(""KZTEUR""))"),85)</f>
        <v>85</v>
      </c>
      <c r="K820" s="26">
        <f t="shared" ca="1" si="787"/>
        <v>4250</v>
      </c>
      <c r="L820" s="26">
        <f t="shared" ca="1" si="788"/>
        <v>807.5</v>
      </c>
      <c r="M820" s="26">
        <f t="shared" ref="M820:N820" si="842">M$3</f>
        <v>500</v>
      </c>
      <c r="N820" s="26">
        <f t="shared" si="842"/>
        <v>500</v>
      </c>
      <c r="O820" s="26">
        <f ca="1">IFERROR(__xludf.DUMMYFUNCTION("ROUND(GOOGLEFINANCE(""Currency:EURKZT"")*K820)"),2029671)</f>
        <v>2029671</v>
      </c>
      <c r="P820" s="26">
        <f ca="1">IFERROR(__xludf.DUMMYFUNCTION("ROUND(GOOGLEFINANCE(""Currency:EURKZT"")*M820)"),238785)</f>
        <v>238785</v>
      </c>
      <c r="Q820" s="26">
        <f ca="1">IFERROR(__xludf.DUMMYFUNCTION("ROUND(GOOGLEFINANCE(""Currency:EURKZT"")*N820)"),238785)</f>
        <v>238785</v>
      </c>
      <c r="R820" s="26">
        <f t="shared" ca="1" si="790"/>
        <v>243561</v>
      </c>
      <c r="S820" s="26">
        <f t="shared" ca="1" si="791"/>
        <v>2750802</v>
      </c>
      <c r="T820" s="26">
        <f ca="1">IFERROR(__xludf.DUMMYFUNCTION("ROUND(GOOGLEFINANCE(""Currency:EURKZT"")*L820+S820)"),3136439)</f>
        <v>3136439</v>
      </c>
      <c r="U820" s="26">
        <f ca="1">IFERROR(__xludf.DUMMYFUNCTION("D820*GOOGLEFINANCE(""RUBKZT"")*1000/F820"),3701679.10007471)</f>
        <v>3701679.1000747099</v>
      </c>
      <c r="V820" s="27">
        <f t="shared" ca="1" si="792"/>
        <v>0.18021715074793734</v>
      </c>
    </row>
    <row r="821" spans="1:22" ht="12.75" customHeight="1" x14ac:dyDescent="0.2">
      <c r="A821" s="6" t="s">
        <v>8</v>
      </c>
      <c r="B821" s="6" t="s">
        <v>32</v>
      </c>
      <c r="C821" s="7">
        <v>127854</v>
      </c>
      <c r="D821" s="8">
        <v>11054.4</v>
      </c>
      <c r="E821" s="9" t="s">
        <v>7</v>
      </c>
      <c r="F821" s="23">
        <v>20</v>
      </c>
      <c r="G821" s="25"/>
      <c r="H821" s="14">
        <f t="shared" si="786"/>
        <v>0.55000000000000004</v>
      </c>
      <c r="I821" s="25">
        <f ca="1">IFERROR(__xludf.DUMMYFUNCTION("ROUND(D821*GOOGLEFINANCE(""RUBKZT"")*H821)"),47445)</f>
        <v>47445</v>
      </c>
      <c r="J821" s="26">
        <f ca="1">IFERROR(__xludf.DUMMYFUNCTION("ROUND(I821*GOOGLEFINANCE(""KZTEUR""))"),99)</f>
        <v>99</v>
      </c>
      <c r="K821" s="26">
        <f t="shared" ca="1" si="787"/>
        <v>4950</v>
      </c>
      <c r="L821" s="26">
        <f t="shared" ca="1" si="788"/>
        <v>940.5</v>
      </c>
      <c r="M821" s="26">
        <f t="shared" ref="M821:N821" si="843">M$3</f>
        <v>500</v>
      </c>
      <c r="N821" s="26">
        <f t="shared" si="843"/>
        <v>500</v>
      </c>
      <c r="O821" s="26">
        <f ca="1">IFERROR(__xludf.DUMMYFUNCTION("ROUND(GOOGLEFINANCE(""Currency:EURKZT"")*K821)"),2363970)</f>
        <v>2363970</v>
      </c>
      <c r="P821" s="26">
        <f ca="1">IFERROR(__xludf.DUMMYFUNCTION("ROUND(GOOGLEFINANCE(""Currency:EURKZT"")*M821)"),238785)</f>
        <v>238785</v>
      </c>
      <c r="Q821" s="26">
        <f ca="1">IFERROR(__xludf.DUMMYFUNCTION("ROUND(GOOGLEFINANCE(""Currency:EURKZT"")*N821)"),238785)</f>
        <v>238785</v>
      </c>
      <c r="R821" s="26">
        <f t="shared" ca="1" si="790"/>
        <v>283676</v>
      </c>
      <c r="S821" s="26">
        <f t="shared" ca="1" si="791"/>
        <v>3125216</v>
      </c>
      <c r="T821" s="26">
        <f ca="1">IFERROR(__xludf.DUMMYFUNCTION("ROUND(GOOGLEFINANCE(""Currency:EURKZT"")*L821+S821)"),3574370)</f>
        <v>3574370</v>
      </c>
      <c r="U821" s="26">
        <f ca="1">IFERROR(__xludf.DUMMYFUNCTION("D821*GOOGLEFINANCE(""RUBKZT"")*1000/F821"),4313163.15075744)</f>
        <v>4313163.1507574404</v>
      </c>
      <c r="V821" s="27">
        <f t="shared" ca="1" si="792"/>
        <v>0.20669185080376132</v>
      </c>
    </row>
    <row r="822" spans="1:22" ht="12.75" customHeight="1" x14ac:dyDescent="0.2">
      <c r="A822" s="6" t="s">
        <v>151</v>
      </c>
      <c r="B822" s="6" t="s">
        <v>32</v>
      </c>
      <c r="C822" s="7">
        <v>127860</v>
      </c>
      <c r="D822" s="8">
        <v>12775.199999999999</v>
      </c>
      <c r="E822" s="9" t="s">
        <v>7</v>
      </c>
      <c r="F822" s="23">
        <v>20</v>
      </c>
      <c r="G822" s="25"/>
      <c r="H822" s="14">
        <f t="shared" si="786"/>
        <v>0.55000000000000004</v>
      </c>
      <c r="I822" s="25">
        <f ca="1">IFERROR(__xludf.DUMMYFUNCTION("ROUND(D822*GOOGLEFINANCE(""RUBKZT"")*H822)"),54830)</f>
        <v>54830</v>
      </c>
      <c r="J822" s="26">
        <f ca="1">IFERROR(__xludf.DUMMYFUNCTION("ROUND(I822*GOOGLEFINANCE(""KZTEUR""))"),115)</f>
        <v>115</v>
      </c>
      <c r="K822" s="26">
        <f t="shared" ca="1" si="787"/>
        <v>5750</v>
      </c>
      <c r="L822" s="26">
        <f t="shared" ca="1" si="788"/>
        <v>1092.5</v>
      </c>
      <c r="M822" s="26">
        <f t="shared" ref="M822:N822" si="844">M$3</f>
        <v>500</v>
      </c>
      <c r="N822" s="26">
        <f t="shared" si="844"/>
        <v>500</v>
      </c>
      <c r="O822" s="26">
        <f ca="1">IFERROR(__xludf.DUMMYFUNCTION("ROUND(GOOGLEFINANCE(""Currency:EURKZT"")*K822)"),2746025)</f>
        <v>2746025</v>
      </c>
      <c r="P822" s="26">
        <f ca="1">IFERROR(__xludf.DUMMYFUNCTION("ROUND(GOOGLEFINANCE(""Currency:EURKZT"")*M822)"),238785)</f>
        <v>238785</v>
      </c>
      <c r="Q822" s="26">
        <f ca="1">IFERROR(__xludf.DUMMYFUNCTION("ROUND(GOOGLEFINANCE(""Currency:EURKZT"")*N822)"),238785)</f>
        <v>238785</v>
      </c>
      <c r="R822" s="26">
        <f t="shared" ca="1" si="790"/>
        <v>329523</v>
      </c>
      <c r="S822" s="26">
        <f t="shared" ca="1" si="791"/>
        <v>3553118</v>
      </c>
      <c r="T822" s="26">
        <f ca="1">IFERROR(__xludf.DUMMYFUNCTION("ROUND(GOOGLEFINANCE(""Currency:EURKZT"")*L822+S822)"),4074863)</f>
        <v>4074863</v>
      </c>
      <c r="U822" s="26">
        <f ca="1">IFERROR(__xludf.DUMMYFUNCTION("D822*GOOGLEFINANCE(""RUBKZT"")*1000/F822"),4984578.25694352)</f>
        <v>4984578.2569435202</v>
      </c>
      <c r="V822" s="27">
        <f t="shared" ca="1" si="792"/>
        <v>0.22325051343898436</v>
      </c>
    </row>
    <row r="823" spans="1:22" ht="12.75" customHeight="1" x14ac:dyDescent="0.2">
      <c r="A823" s="6" t="s">
        <v>153</v>
      </c>
      <c r="B823" s="6" t="s">
        <v>32</v>
      </c>
      <c r="C823" s="7">
        <v>128788</v>
      </c>
      <c r="D823" s="8">
        <v>8515.1999999999989</v>
      </c>
      <c r="E823" s="9" t="s">
        <v>16</v>
      </c>
      <c r="F823" s="23">
        <v>20</v>
      </c>
      <c r="G823" s="25"/>
      <c r="H823" s="14">
        <f t="shared" si="786"/>
        <v>0.55000000000000004</v>
      </c>
      <c r="I823" s="25">
        <f ca="1">IFERROR(__xludf.DUMMYFUNCTION("ROUND(D823*GOOGLEFINANCE(""RUBKZT"")*H823)"),36547)</f>
        <v>36547</v>
      </c>
      <c r="J823" s="26">
        <f ca="1">IFERROR(__xludf.DUMMYFUNCTION("ROUND(I823*GOOGLEFINANCE(""KZTEUR""))"),77)</f>
        <v>77</v>
      </c>
      <c r="K823" s="26">
        <f t="shared" ca="1" si="787"/>
        <v>3850</v>
      </c>
      <c r="L823" s="26">
        <f t="shared" ca="1" si="788"/>
        <v>731.5</v>
      </c>
      <c r="M823" s="26">
        <f t="shared" ref="M823:N823" si="845">M$3</f>
        <v>500</v>
      </c>
      <c r="N823" s="26">
        <f t="shared" si="845"/>
        <v>500</v>
      </c>
      <c r="O823" s="26">
        <f ca="1">IFERROR(__xludf.DUMMYFUNCTION("ROUND(GOOGLEFINANCE(""Currency:EURKZT"")*K823)"),1838643)</f>
        <v>1838643</v>
      </c>
      <c r="P823" s="26">
        <f ca="1">IFERROR(__xludf.DUMMYFUNCTION("ROUND(GOOGLEFINANCE(""Currency:EURKZT"")*M823)"),238785)</f>
        <v>238785</v>
      </c>
      <c r="Q823" s="26">
        <f ca="1">IFERROR(__xludf.DUMMYFUNCTION("ROUND(GOOGLEFINANCE(""Currency:EURKZT"")*N823)"),238785)</f>
        <v>238785</v>
      </c>
      <c r="R823" s="26">
        <f t="shared" ca="1" si="790"/>
        <v>220637</v>
      </c>
      <c r="S823" s="26">
        <f t="shared" ca="1" si="791"/>
        <v>2536850</v>
      </c>
      <c r="T823" s="26">
        <f ca="1">IFERROR(__xludf.DUMMYFUNCTION("ROUND(GOOGLEFINANCE(""Currency:EURKZT"")*L823+S823)"),2886192)</f>
        <v>2886192</v>
      </c>
      <c r="U823" s="26">
        <f ca="1">IFERROR(__xludf.DUMMYFUNCTION("D823*GOOGLEFINANCE(""RUBKZT"")*1000/F823"),3322427.88946751)</f>
        <v>3322427.8894675099</v>
      </c>
      <c r="V823" s="27">
        <f t="shared" ca="1" si="792"/>
        <v>0.15114583141645113</v>
      </c>
    </row>
    <row r="824" spans="1:22" ht="12.75" customHeight="1" x14ac:dyDescent="0.2">
      <c r="A824" s="6" t="s">
        <v>5</v>
      </c>
      <c r="B824" s="6" t="s">
        <v>32</v>
      </c>
      <c r="C824" s="7">
        <v>130088</v>
      </c>
      <c r="D824" s="8">
        <v>9374.4</v>
      </c>
      <c r="E824" s="9" t="s">
        <v>7</v>
      </c>
      <c r="F824" s="23">
        <v>20</v>
      </c>
      <c r="G824" s="25"/>
      <c r="H824" s="14">
        <f t="shared" si="786"/>
        <v>0.55000000000000004</v>
      </c>
      <c r="I824" s="25">
        <f ca="1">IFERROR(__xludf.DUMMYFUNCTION("ROUND(D824*GOOGLEFINANCE(""RUBKZT"")*H824)"),40234)</f>
        <v>40234</v>
      </c>
      <c r="J824" s="26">
        <f ca="1">IFERROR(__xludf.DUMMYFUNCTION("ROUND(I824*GOOGLEFINANCE(""KZTEUR""))"),84)</f>
        <v>84</v>
      </c>
      <c r="K824" s="26">
        <f t="shared" ca="1" si="787"/>
        <v>4200</v>
      </c>
      <c r="L824" s="26">
        <f t="shared" ca="1" si="788"/>
        <v>798</v>
      </c>
      <c r="M824" s="26">
        <f t="shared" ref="M824:N824" si="846">M$3</f>
        <v>500</v>
      </c>
      <c r="N824" s="26">
        <f t="shared" si="846"/>
        <v>500</v>
      </c>
      <c r="O824" s="26">
        <f ca="1">IFERROR(__xludf.DUMMYFUNCTION("ROUND(GOOGLEFINANCE(""Currency:EURKZT"")*K824)"),2005792)</f>
        <v>2005792</v>
      </c>
      <c r="P824" s="26">
        <f ca="1">IFERROR(__xludf.DUMMYFUNCTION("ROUND(GOOGLEFINANCE(""Currency:EURKZT"")*M824)"),238785)</f>
        <v>238785</v>
      </c>
      <c r="Q824" s="26">
        <f ca="1">IFERROR(__xludf.DUMMYFUNCTION("ROUND(GOOGLEFINANCE(""Currency:EURKZT"")*N824)"),238785)</f>
        <v>238785</v>
      </c>
      <c r="R824" s="26">
        <f t="shared" ca="1" si="790"/>
        <v>240695</v>
      </c>
      <c r="S824" s="26">
        <f t="shared" ca="1" si="791"/>
        <v>2724057</v>
      </c>
      <c r="T824" s="26">
        <f ca="1">IFERROR(__xludf.DUMMYFUNCTION("ROUND(GOOGLEFINANCE(""Currency:EURKZT"")*L824+S824)"),3105158)</f>
        <v>3105158</v>
      </c>
      <c r="U824" s="26">
        <f ca="1">IFERROR(__xludf.DUMMYFUNCTION("D824*GOOGLEFINANCE(""RUBKZT"")*1000/F824"),3657667.23118944)</f>
        <v>3657667.23118944</v>
      </c>
      <c r="V824" s="27">
        <f t="shared" ca="1" si="792"/>
        <v>0.1779327271557325</v>
      </c>
    </row>
    <row r="825" spans="1:22" ht="12.75" customHeight="1" x14ac:dyDescent="0.2">
      <c r="A825" s="6" t="s">
        <v>13</v>
      </c>
      <c r="B825" s="6" t="s">
        <v>32</v>
      </c>
      <c r="C825" s="7">
        <v>130089</v>
      </c>
      <c r="D825" s="8">
        <v>18664.8</v>
      </c>
      <c r="E825" s="9" t="s">
        <v>7</v>
      </c>
      <c r="F825" s="23">
        <v>20</v>
      </c>
      <c r="G825" s="25"/>
      <c r="H825" s="14">
        <f t="shared" si="786"/>
        <v>0.55000000000000004</v>
      </c>
      <c r="I825" s="25">
        <f ca="1">IFERROR(__xludf.DUMMYFUNCTION("ROUND(D825*GOOGLEFINANCE(""RUBKZT"")*H825)"),80108)</f>
        <v>80108</v>
      </c>
      <c r="J825" s="26">
        <f ca="1">IFERROR(__xludf.DUMMYFUNCTION("ROUND(I825*GOOGLEFINANCE(""KZTEUR""))"),168)</f>
        <v>168</v>
      </c>
      <c r="K825" s="26">
        <f t="shared" ca="1" si="787"/>
        <v>8400</v>
      </c>
      <c r="L825" s="26">
        <f t="shared" ca="1" si="788"/>
        <v>1596</v>
      </c>
      <c r="M825" s="26">
        <f t="shared" ref="M825:N825" si="847">M$3</f>
        <v>500</v>
      </c>
      <c r="N825" s="26">
        <f t="shared" si="847"/>
        <v>500</v>
      </c>
      <c r="O825" s="26">
        <f ca="1">IFERROR(__xludf.DUMMYFUNCTION("ROUND(GOOGLEFINANCE(""Currency:EURKZT"")*K825)"),4011585)</f>
        <v>4011585</v>
      </c>
      <c r="P825" s="26">
        <f ca="1">IFERROR(__xludf.DUMMYFUNCTION("ROUND(GOOGLEFINANCE(""Currency:EURKZT"")*M825)"),238785)</f>
        <v>238785</v>
      </c>
      <c r="Q825" s="26">
        <f ca="1">IFERROR(__xludf.DUMMYFUNCTION("ROUND(GOOGLEFINANCE(""Currency:EURKZT"")*N825)"),238785)</f>
        <v>238785</v>
      </c>
      <c r="R825" s="26">
        <f t="shared" ca="1" si="790"/>
        <v>481390</v>
      </c>
      <c r="S825" s="26">
        <f t="shared" ca="1" si="791"/>
        <v>4970545</v>
      </c>
      <c r="T825" s="26">
        <f ca="1">IFERROR(__xludf.DUMMYFUNCTION("ROUND(GOOGLEFINANCE(""Currency:EURKZT"")*L825+S825)"),5732746)</f>
        <v>5732746</v>
      </c>
      <c r="U825" s="26">
        <f ca="1">IFERROR(__xludf.DUMMYFUNCTION("D825*GOOGLEFINANCE(""RUBKZT"")*1000/F825"),7282559.66640048)</f>
        <v>7282559.6664004801</v>
      </c>
      <c r="V825" s="27">
        <f t="shared" ca="1" si="792"/>
        <v>0.27034403170844828</v>
      </c>
    </row>
    <row r="826" spans="1:22" ht="12.75" customHeight="1" x14ac:dyDescent="0.2">
      <c r="A826" s="6" t="s">
        <v>70</v>
      </c>
      <c r="B826" s="6" t="s">
        <v>32</v>
      </c>
      <c r="C826" s="7">
        <v>132354</v>
      </c>
      <c r="D826" s="8">
        <v>11948.4</v>
      </c>
      <c r="E826" s="9" t="s">
        <v>16</v>
      </c>
      <c r="F826" s="23">
        <v>20</v>
      </c>
      <c r="G826" s="25"/>
      <c r="H826" s="14">
        <f t="shared" si="786"/>
        <v>0.55000000000000004</v>
      </c>
      <c r="I826" s="25">
        <f ca="1">IFERROR(__xludf.DUMMYFUNCTION("ROUND(D826*GOOGLEFINANCE(""RUBKZT"")*H826)"),51282)</f>
        <v>51282</v>
      </c>
      <c r="J826" s="26">
        <f ca="1">IFERROR(__xludf.DUMMYFUNCTION("ROUND(I826*GOOGLEFINANCE(""KZTEUR""))"),107)</f>
        <v>107</v>
      </c>
      <c r="K826" s="26">
        <f t="shared" ca="1" si="787"/>
        <v>5350</v>
      </c>
      <c r="L826" s="26">
        <f t="shared" ca="1" si="788"/>
        <v>1016.5</v>
      </c>
      <c r="M826" s="26">
        <f t="shared" ref="M826:N826" si="848">M$3</f>
        <v>500</v>
      </c>
      <c r="N826" s="26">
        <f t="shared" si="848"/>
        <v>500</v>
      </c>
      <c r="O826" s="26">
        <f ca="1">IFERROR(__xludf.DUMMYFUNCTION("ROUND(GOOGLEFINANCE(""Currency:EURKZT"")*K826)"),2554997)</f>
        <v>2554997</v>
      </c>
      <c r="P826" s="26">
        <f ca="1">IFERROR(__xludf.DUMMYFUNCTION("ROUND(GOOGLEFINANCE(""Currency:EURKZT"")*M826)"),238785)</f>
        <v>238785</v>
      </c>
      <c r="Q826" s="26">
        <f ca="1">IFERROR(__xludf.DUMMYFUNCTION("ROUND(GOOGLEFINANCE(""Currency:EURKZT"")*N826)"),238785)</f>
        <v>238785</v>
      </c>
      <c r="R826" s="26">
        <f t="shared" ca="1" si="790"/>
        <v>306600</v>
      </c>
      <c r="S826" s="26">
        <f t="shared" ca="1" si="791"/>
        <v>3339167</v>
      </c>
      <c r="T826" s="26">
        <f ca="1">IFERROR(__xludf.DUMMYFUNCTION("ROUND(GOOGLEFINANCE(""Currency:EURKZT"")*L826+S826)"),3824617)</f>
        <v>3824617</v>
      </c>
      <c r="U826" s="26">
        <f ca="1">IFERROR(__xludf.DUMMYFUNCTION("D826*GOOGLEFINANCE(""RUBKZT"")*1000/F826"),4661980.62224184)</f>
        <v>4661980.6222418398</v>
      </c>
      <c r="V826" s="27">
        <f t="shared" ca="1" si="792"/>
        <v>0.21894051672150172</v>
      </c>
    </row>
    <row r="827" spans="1:22" ht="12.75" customHeight="1" x14ac:dyDescent="0.2">
      <c r="A827" s="6" t="s">
        <v>9</v>
      </c>
      <c r="B827" s="6" t="s">
        <v>32</v>
      </c>
      <c r="C827" s="7">
        <v>132617</v>
      </c>
      <c r="D827" s="8">
        <v>11949.6</v>
      </c>
      <c r="E827" s="9" t="s">
        <v>7</v>
      </c>
      <c r="F827" s="23">
        <v>20</v>
      </c>
      <c r="G827" s="25"/>
      <c r="H827" s="14">
        <f t="shared" si="786"/>
        <v>0.55000000000000004</v>
      </c>
      <c r="I827" s="25">
        <f ca="1">IFERROR(__xludf.DUMMYFUNCTION("ROUND(D827*GOOGLEFINANCE(""RUBKZT"")*H827)"),51287)</f>
        <v>51287</v>
      </c>
      <c r="J827" s="26">
        <f ca="1">IFERROR(__xludf.DUMMYFUNCTION("ROUND(I827*GOOGLEFINANCE(""KZTEUR""))"),107)</f>
        <v>107</v>
      </c>
      <c r="K827" s="26">
        <f t="shared" ca="1" si="787"/>
        <v>5350</v>
      </c>
      <c r="L827" s="26">
        <f t="shared" ca="1" si="788"/>
        <v>1016.5</v>
      </c>
      <c r="M827" s="26">
        <f t="shared" ref="M827:N827" si="849">M$3</f>
        <v>500</v>
      </c>
      <c r="N827" s="26">
        <f t="shared" si="849"/>
        <v>500</v>
      </c>
      <c r="O827" s="26">
        <f ca="1">IFERROR(__xludf.DUMMYFUNCTION("ROUND(GOOGLEFINANCE(""Currency:EURKZT"")*K827)"),2554997)</f>
        <v>2554997</v>
      </c>
      <c r="P827" s="26">
        <f ca="1">IFERROR(__xludf.DUMMYFUNCTION("ROUND(GOOGLEFINANCE(""Currency:EURKZT"")*M827)"),238785)</f>
        <v>238785</v>
      </c>
      <c r="Q827" s="26">
        <f ca="1">IFERROR(__xludf.DUMMYFUNCTION("ROUND(GOOGLEFINANCE(""Currency:EURKZT"")*N827)"),238785)</f>
        <v>238785</v>
      </c>
      <c r="R827" s="26">
        <f t="shared" ca="1" si="790"/>
        <v>306600</v>
      </c>
      <c r="S827" s="26">
        <f t="shared" ca="1" si="791"/>
        <v>3339167</v>
      </c>
      <c r="T827" s="26">
        <f ca="1">IFERROR(__xludf.DUMMYFUNCTION("ROUND(GOOGLEFINANCE(""Currency:EURKZT"")*L827+S827)"),3824617)</f>
        <v>3824617</v>
      </c>
      <c r="U827" s="26">
        <f ca="1">IFERROR(__xludf.DUMMYFUNCTION("D827*GOOGLEFINANCE(""RUBKZT"")*1000/F827"),4662448.83361296)</f>
        <v>4662448.8336129598</v>
      </c>
      <c r="V827" s="27">
        <f t="shared" ca="1" si="792"/>
        <v>0.21906293718115039</v>
      </c>
    </row>
    <row r="828" spans="1:22" ht="12.75" customHeight="1" x14ac:dyDescent="0.2">
      <c r="A828" s="6" t="s">
        <v>154</v>
      </c>
      <c r="B828" s="6" t="s">
        <v>32</v>
      </c>
      <c r="C828" s="7">
        <v>133343</v>
      </c>
      <c r="D828" s="8">
        <v>18009.599999999999</v>
      </c>
      <c r="E828" s="9" t="s">
        <v>7</v>
      </c>
      <c r="F828" s="23">
        <v>20</v>
      </c>
      <c r="G828" s="25"/>
      <c r="H828" s="14">
        <f t="shared" si="786"/>
        <v>0.55000000000000004</v>
      </c>
      <c r="I828" s="25">
        <f ca="1">IFERROR(__xludf.DUMMYFUNCTION("ROUND(D828*GOOGLEFINANCE(""RUBKZT"")*H828)"),77296)</f>
        <v>77296</v>
      </c>
      <c r="J828" s="26">
        <f ca="1">IFERROR(__xludf.DUMMYFUNCTION("ROUND(I828*GOOGLEFINANCE(""KZTEUR""))"),162)</f>
        <v>162</v>
      </c>
      <c r="K828" s="26">
        <f t="shared" ca="1" si="787"/>
        <v>8100</v>
      </c>
      <c r="L828" s="26">
        <f t="shared" ca="1" si="788"/>
        <v>1539</v>
      </c>
      <c r="M828" s="26">
        <f t="shared" ref="M828:N828" si="850">M$3</f>
        <v>500</v>
      </c>
      <c r="N828" s="26">
        <f t="shared" si="850"/>
        <v>500</v>
      </c>
      <c r="O828" s="26">
        <f ca="1">IFERROR(__xludf.DUMMYFUNCTION("ROUND(GOOGLEFINANCE(""Currency:EURKZT"")*K828)"),3868314)</f>
        <v>3868314</v>
      </c>
      <c r="P828" s="26">
        <f ca="1">IFERROR(__xludf.DUMMYFUNCTION("ROUND(GOOGLEFINANCE(""Currency:EURKZT"")*M828)"),238785)</f>
        <v>238785</v>
      </c>
      <c r="Q828" s="26">
        <f ca="1">IFERROR(__xludf.DUMMYFUNCTION("ROUND(GOOGLEFINANCE(""Currency:EURKZT"")*N828)"),238785)</f>
        <v>238785</v>
      </c>
      <c r="R828" s="26">
        <f t="shared" ca="1" si="790"/>
        <v>464198</v>
      </c>
      <c r="S828" s="26">
        <f t="shared" ca="1" si="791"/>
        <v>4810082</v>
      </c>
      <c r="T828" s="26">
        <f ca="1">IFERROR(__xludf.DUMMYFUNCTION("ROUND(GOOGLEFINANCE(""Currency:EURKZT"")*L828+S828)"),5545062)</f>
        <v>5545062</v>
      </c>
      <c r="U828" s="26">
        <f ca="1">IFERROR(__xludf.DUMMYFUNCTION("D828*GOOGLEFINANCE(""RUBKZT"")*1000/F828"),7026916.25776896)</f>
        <v>7026916.2577689597</v>
      </c>
      <c r="V828" s="27">
        <f t="shared" ca="1" si="792"/>
        <v>0.26723853723708768</v>
      </c>
    </row>
    <row r="829" spans="1:22" ht="12.75" customHeight="1" x14ac:dyDescent="0.2">
      <c r="A829" s="6" t="s">
        <v>89</v>
      </c>
      <c r="B829" s="6" t="s">
        <v>32</v>
      </c>
      <c r="C829" s="7">
        <v>133903</v>
      </c>
      <c r="D829" s="8">
        <v>10792.8</v>
      </c>
      <c r="E829" s="9" t="s">
        <v>16</v>
      </c>
      <c r="F829" s="23">
        <v>20</v>
      </c>
      <c r="G829" s="25"/>
      <c r="H829" s="14">
        <f t="shared" si="786"/>
        <v>0.55000000000000004</v>
      </c>
      <c r="I829" s="25">
        <f ca="1">IFERROR(__xludf.DUMMYFUNCTION("ROUND(D829*GOOGLEFINANCE(""RUBKZT"")*H829)"),46322)</f>
        <v>46322</v>
      </c>
      <c r="J829" s="26">
        <f ca="1">IFERROR(__xludf.DUMMYFUNCTION("ROUND(I829*GOOGLEFINANCE(""KZTEUR""))"),97)</f>
        <v>97</v>
      </c>
      <c r="K829" s="26">
        <f t="shared" ca="1" si="787"/>
        <v>4850</v>
      </c>
      <c r="L829" s="26">
        <f t="shared" ca="1" si="788"/>
        <v>921.5</v>
      </c>
      <c r="M829" s="26">
        <f t="shared" ref="M829:N829" si="851">M$3</f>
        <v>500</v>
      </c>
      <c r="N829" s="26">
        <f t="shared" si="851"/>
        <v>500</v>
      </c>
      <c r="O829" s="26">
        <f ca="1">IFERROR(__xludf.DUMMYFUNCTION("ROUND(GOOGLEFINANCE(""Currency:EURKZT"")*K829)"),2316213)</f>
        <v>2316213</v>
      </c>
      <c r="P829" s="26">
        <f ca="1">IFERROR(__xludf.DUMMYFUNCTION("ROUND(GOOGLEFINANCE(""Currency:EURKZT"")*M829)"),238785)</f>
        <v>238785</v>
      </c>
      <c r="Q829" s="26">
        <f ca="1">IFERROR(__xludf.DUMMYFUNCTION("ROUND(GOOGLEFINANCE(""Currency:EURKZT"")*N829)"),238785)</f>
        <v>238785</v>
      </c>
      <c r="R829" s="26">
        <f t="shared" ca="1" si="790"/>
        <v>277946</v>
      </c>
      <c r="S829" s="26">
        <f t="shared" ca="1" si="791"/>
        <v>3071729</v>
      </c>
      <c r="T829" s="26">
        <f ca="1">IFERROR(__xludf.DUMMYFUNCTION("ROUND(GOOGLEFINANCE(""Currency:EURKZT"")*L829+S829)"),3511809)</f>
        <v>3511809</v>
      </c>
      <c r="U829" s="26">
        <f ca="1">IFERROR(__xludf.DUMMYFUNCTION("D829*GOOGLEFINANCE(""RUBKZT"")*1000/F829"),4211093.07185328)</f>
        <v>4211093.0718532801</v>
      </c>
      <c r="V829" s="27">
        <f t="shared" ca="1" si="792"/>
        <v>0.19912360605411059</v>
      </c>
    </row>
    <row r="830" spans="1:22" ht="12.75" customHeight="1" x14ac:dyDescent="0.2">
      <c r="A830" s="6" t="s">
        <v>180</v>
      </c>
      <c r="B830" s="6" t="s">
        <v>32</v>
      </c>
      <c r="C830" s="7">
        <v>147623</v>
      </c>
      <c r="D830" s="8">
        <v>9378</v>
      </c>
      <c r="E830" s="9" t="s">
        <v>7</v>
      </c>
      <c r="F830" s="23">
        <v>20</v>
      </c>
      <c r="G830" s="25"/>
      <c r="H830" s="14">
        <f t="shared" si="786"/>
        <v>0.55000000000000004</v>
      </c>
      <c r="I830" s="25">
        <f ca="1">IFERROR(__xludf.DUMMYFUNCTION("ROUND(D830*GOOGLEFINANCE(""RUBKZT"")*H830)"),40250)</f>
        <v>40250</v>
      </c>
      <c r="J830" s="26">
        <f ca="1">IFERROR(__xludf.DUMMYFUNCTION("ROUND(I830*GOOGLEFINANCE(""KZTEUR""))"),84)</f>
        <v>84</v>
      </c>
      <c r="K830" s="26">
        <f t="shared" ca="1" si="787"/>
        <v>4200</v>
      </c>
      <c r="L830" s="26">
        <f t="shared" ca="1" si="788"/>
        <v>798</v>
      </c>
      <c r="M830" s="26">
        <f t="shared" ref="M830:N830" si="852">M$3</f>
        <v>500</v>
      </c>
      <c r="N830" s="26">
        <f t="shared" si="852"/>
        <v>500</v>
      </c>
      <c r="O830" s="26">
        <f ca="1">IFERROR(__xludf.DUMMYFUNCTION("ROUND(GOOGLEFINANCE(""Currency:EURKZT"")*K830)"),2005792)</f>
        <v>2005792</v>
      </c>
      <c r="P830" s="26">
        <f ca="1">IFERROR(__xludf.DUMMYFUNCTION("ROUND(GOOGLEFINANCE(""Currency:EURKZT"")*M830)"),238785)</f>
        <v>238785</v>
      </c>
      <c r="Q830" s="26">
        <f ca="1">IFERROR(__xludf.DUMMYFUNCTION("ROUND(GOOGLEFINANCE(""Currency:EURKZT"")*N830)"),238785)</f>
        <v>238785</v>
      </c>
      <c r="R830" s="26">
        <f t="shared" ca="1" si="790"/>
        <v>240695</v>
      </c>
      <c r="S830" s="26">
        <f t="shared" ca="1" si="791"/>
        <v>2724057</v>
      </c>
      <c r="T830" s="26">
        <f ca="1">IFERROR(__xludf.DUMMYFUNCTION("ROUND(GOOGLEFINANCE(""Currency:EURKZT"")*L830+S830)"),3105158)</f>
        <v>3105158</v>
      </c>
      <c r="U830" s="26">
        <f ca="1">IFERROR(__xludf.DUMMYFUNCTION("D830*GOOGLEFINANCE(""RUBKZT"")*1000/F830"),3659071.8653028)</f>
        <v>3659071.8653028002</v>
      </c>
      <c r="V830" s="27">
        <f t="shared" ca="1" si="792"/>
        <v>0.17838508227368791</v>
      </c>
    </row>
    <row r="831" spans="1:22" ht="12.75" customHeight="1" x14ac:dyDescent="0.2">
      <c r="A831" s="6" t="s">
        <v>181</v>
      </c>
      <c r="B831" s="6" t="s">
        <v>32</v>
      </c>
      <c r="C831" s="7">
        <v>147626</v>
      </c>
      <c r="D831" s="8">
        <v>9291.6</v>
      </c>
      <c r="E831" s="9" t="s">
        <v>16</v>
      </c>
      <c r="F831" s="23">
        <v>20</v>
      </c>
      <c r="G831" s="25"/>
      <c r="H831" s="14">
        <f t="shared" si="786"/>
        <v>0.55000000000000004</v>
      </c>
      <c r="I831" s="25">
        <f ca="1">IFERROR(__xludf.DUMMYFUNCTION("ROUND(D831*GOOGLEFINANCE(""RUBKZT"")*H831)"),39879)</f>
        <v>39879</v>
      </c>
      <c r="J831" s="26">
        <f ca="1">IFERROR(__xludf.DUMMYFUNCTION("ROUND(I831*GOOGLEFINANCE(""KZTEUR""))"),84)</f>
        <v>84</v>
      </c>
      <c r="K831" s="26">
        <f t="shared" ca="1" si="787"/>
        <v>4200</v>
      </c>
      <c r="L831" s="26">
        <f t="shared" ca="1" si="788"/>
        <v>798</v>
      </c>
      <c r="M831" s="26">
        <f t="shared" ref="M831:N831" si="853">M$3</f>
        <v>500</v>
      </c>
      <c r="N831" s="26">
        <f t="shared" si="853"/>
        <v>500</v>
      </c>
      <c r="O831" s="26">
        <f ca="1">IFERROR(__xludf.DUMMYFUNCTION("ROUND(GOOGLEFINANCE(""Currency:EURKZT"")*K831)"),2005792)</f>
        <v>2005792</v>
      </c>
      <c r="P831" s="26">
        <f ca="1">IFERROR(__xludf.DUMMYFUNCTION("ROUND(GOOGLEFINANCE(""Currency:EURKZT"")*M831)"),238785)</f>
        <v>238785</v>
      </c>
      <c r="Q831" s="26">
        <f ca="1">IFERROR(__xludf.DUMMYFUNCTION("ROUND(GOOGLEFINANCE(""Currency:EURKZT"")*N831)"),238785)</f>
        <v>238785</v>
      </c>
      <c r="R831" s="26">
        <f t="shared" ca="1" si="790"/>
        <v>240695</v>
      </c>
      <c r="S831" s="26">
        <f t="shared" ca="1" si="791"/>
        <v>2724057</v>
      </c>
      <c r="T831" s="26">
        <f ca="1">IFERROR(__xludf.DUMMYFUNCTION("ROUND(GOOGLEFINANCE(""Currency:EURKZT"")*L831+S831)"),3105158)</f>
        <v>3105158</v>
      </c>
      <c r="U831" s="26">
        <f ca="1">IFERROR(__xludf.DUMMYFUNCTION("D831*GOOGLEFINANCE(""RUBKZT"")*1000/F831"),3625360.64658216)</f>
        <v>3625360.6465821601</v>
      </c>
      <c r="V831" s="27">
        <f t="shared" ca="1" si="792"/>
        <v>0.16752855944275949</v>
      </c>
    </row>
    <row r="832" spans="1:22" ht="12.75" customHeight="1" x14ac:dyDescent="0.2">
      <c r="A832" s="6" t="s">
        <v>188</v>
      </c>
      <c r="B832" s="6" t="s">
        <v>32</v>
      </c>
      <c r="C832" s="7">
        <v>148015</v>
      </c>
      <c r="D832" s="8">
        <v>8812.7999999999993</v>
      </c>
      <c r="E832" s="9" t="s">
        <v>16</v>
      </c>
      <c r="F832" s="23">
        <v>20</v>
      </c>
      <c r="G832" s="25"/>
      <c r="H832" s="14">
        <f t="shared" si="786"/>
        <v>0.55000000000000004</v>
      </c>
      <c r="I832" s="25">
        <f ca="1">IFERROR(__xludf.DUMMYFUNCTION("ROUND(D832*GOOGLEFINANCE(""RUBKZT"")*H832)"),37824)</f>
        <v>37824</v>
      </c>
      <c r="J832" s="26">
        <f ca="1">IFERROR(__xludf.DUMMYFUNCTION("ROUND(I832*GOOGLEFINANCE(""KZTEUR""))"),79)</f>
        <v>79</v>
      </c>
      <c r="K832" s="26">
        <f t="shared" ca="1" si="787"/>
        <v>3950</v>
      </c>
      <c r="L832" s="26">
        <f t="shared" ca="1" si="788"/>
        <v>750.5</v>
      </c>
      <c r="M832" s="26">
        <f t="shared" ref="M832:N832" si="854">M$3</f>
        <v>500</v>
      </c>
      <c r="N832" s="26">
        <f t="shared" si="854"/>
        <v>500</v>
      </c>
      <c r="O832" s="26">
        <f ca="1">IFERROR(__xludf.DUMMYFUNCTION("ROUND(GOOGLEFINANCE(""Currency:EURKZT"")*K832)"),1886400)</f>
        <v>1886400</v>
      </c>
      <c r="P832" s="26">
        <f ca="1">IFERROR(__xludf.DUMMYFUNCTION("ROUND(GOOGLEFINANCE(""Currency:EURKZT"")*M832)"),238785)</f>
        <v>238785</v>
      </c>
      <c r="Q832" s="26">
        <f ca="1">IFERROR(__xludf.DUMMYFUNCTION("ROUND(GOOGLEFINANCE(""Currency:EURKZT"")*N832)"),238785)</f>
        <v>238785</v>
      </c>
      <c r="R832" s="26">
        <f t="shared" ca="1" si="790"/>
        <v>226368</v>
      </c>
      <c r="S832" s="26">
        <f t="shared" ca="1" si="791"/>
        <v>2590338</v>
      </c>
      <c r="T832" s="26">
        <f ca="1">IFERROR(__xludf.DUMMYFUNCTION("ROUND(GOOGLEFINANCE(""Currency:EURKZT"")*L832+S832)"),2948754)</f>
        <v>2948754</v>
      </c>
      <c r="U832" s="26">
        <f ca="1">IFERROR(__xludf.DUMMYFUNCTION("D832*GOOGLEFINANCE(""RUBKZT"")*1000/F832"),3438544.30950527)</f>
        <v>3438544.3095052699</v>
      </c>
      <c r="V832" s="27">
        <f t="shared" ca="1" si="792"/>
        <v>0.1661007698523749</v>
      </c>
    </row>
    <row r="833" spans="1:22" ht="12.75" customHeight="1" x14ac:dyDescent="0.2">
      <c r="A833" s="6" t="s">
        <v>193</v>
      </c>
      <c r="B833" s="6" t="s">
        <v>32</v>
      </c>
      <c r="C833" s="7">
        <v>148023</v>
      </c>
      <c r="D833" s="8">
        <v>9314.4</v>
      </c>
      <c r="E833" s="9" t="s">
        <v>16</v>
      </c>
      <c r="F833" s="23">
        <v>20</v>
      </c>
      <c r="G833" s="25"/>
      <c r="H833" s="14">
        <f t="shared" si="786"/>
        <v>0.55000000000000004</v>
      </c>
      <c r="I833" s="25">
        <f ca="1">IFERROR(__xludf.DUMMYFUNCTION("ROUND(D833*GOOGLEFINANCE(""RUBKZT"")*H833)"),39977)</f>
        <v>39977</v>
      </c>
      <c r="J833" s="26">
        <f ca="1">IFERROR(__xludf.DUMMYFUNCTION("ROUND(I833*GOOGLEFINANCE(""KZTEUR""))"),84)</f>
        <v>84</v>
      </c>
      <c r="K833" s="26">
        <f t="shared" ca="1" si="787"/>
        <v>4200</v>
      </c>
      <c r="L833" s="26">
        <f t="shared" ca="1" si="788"/>
        <v>798</v>
      </c>
      <c r="M833" s="26">
        <f t="shared" ref="M833:N833" si="855">M$3</f>
        <v>500</v>
      </c>
      <c r="N833" s="26">
        <f t="shared" si="855"/>
        <v>500</v>
      </c>
      <c r="O833" s="26">
        <f ca="1">IFERROR(__xludf.DUMMYFUNCTION("ROUND(GOOGLEFINANCE(""Currency:EURKZT"")*K833)"),2005792)</f>
        <v>2005792</v>
      </c>
      <c r="P833" s="26">
        <f ca="1">IFERROR(__xludf.DUMMYFUNCTION("ROUND(GOOGLEFINANCE(""Currency:EURKZT"")*M833)"),238785)</f>
        <v>238785</v>
      </c>
      <c r="Q833" s="26">
        <f ca="1">IFERROR(__xludf.DUMMYFUNCTION("ROUND(GOOGLEFINANCE(""Currency:EURKZT"")*N833)"),238785)</f>
        <v>238785</v>
      </c>
      <c r="R833" s="26">
        <f t="shared" ca="1" si="790"/>
        <v>240695</v>
      </c>
      <c r="S833" s="26">
        <f t="shared" ca="1" si="791"/>
        <v>2724057</v>
      </c>
      <c r="T833" s="26">
        <f ca="1">IFERROR(__xludf.DUMMYFUNCTION("ROUND(GOOGLEFINANCE(""Currency:EURKZT"")*L833+S833)"),3105158)</f>
        <v>3105158</v>
      </c>
      <c r="U833" s="26">
        <f ca="1">IFERROR(__xludf.DUMMYFUNCTION("D833*GOOGLEFINANCE(""RUBKZT"")*1000/F833"),3634256.66263344)</f>
        <v>3634256.66263344</v>
      </c>
      <c r="V833" s="27">
        <f t="shared" ca="1" si="792"/>
        <v>0.17039347518980999</v>
      </c>
    </row>
    <row r="834" spans="1:22" ht="12.75" customHeight="1" x14ac:dyDescent="0.2">
      <c r="A834" s="6" t="s">
        <v>197</v>
      </c>
      <c r="B834" s="6" t="s">
        <v>32</v>
      </c>
      <c r="C834" s="7">
        <v>148711</v>
      </c>
      <c r="D834" s="8">
        <v>8743.1999999999989</v>
      </c>
      <c r="E834" s="9" t="s">
        <v>16</v>
      </c>
      <c r="F834" s="23">
        <v>20</v>
      </c>
      <c r="G834" s="25"/>
      <c r="H834" s="14">
        <f t="shared" si="786"/>
        <v>0.55000000000000004</v>
      </c>
      <c r="I834" s="25">
        <f ca="1">IFERROR(__xludf.DUMMYFUNCTION("ROUND(D834*GOOGLEFINANCE(""RUBKZT"")*H834)"),37525)</f>
        <v>37525</v>
      </c>
      <c r="J834" s="26">
        <f ca="1">IFERROR(__xludf.DUMMYFUNCTION("ROUND(I834*GOOGLEFINANCE(""KZTEUR""))"),79)</f>
        <v>79</v>
      </c>
      <c r="K834" s="26">
        <f t="shared" ca="1" si="787"/>
        <v>3950</v>
      </c>
      <c r="L834" s="26">
        <f t="shared" ca="1" si="788"/>
        <v>750.5</v>
      </c>
      <c r="M834" s="26">
        <f t="shared" ref="M834:N834" si="856">M$3</f>
        <v>500</v>
      </c>
      <c r="N834" s="26">
        <f t="shared" si="856"/>
        <v>500</v>
      </c>
      <c r="O834" s="26">
        <f ca="1">IFERROR(__xludf.DUMMYFUNCTION("ROUND(GOOGLEFINANCE(""Currency:EURKZT"")*K834)"),1886400)</f>
        <v>1886400</v>
      </c>
      <c r="P834" s="26">
        <f ca="1">IFERROR(__xludf.DUMMYFUNCTION("ROUND(GOOGLEFINANCE(""Currency:EURKZT"")*M834)"),238785)</f>
        <v>238785</v>
      </c>
      <c r="Q834" s="26">
        <f ca="1">IFERROR(__xludf.DUMMYFUNCTION("ROUND(GOOGLEFINANCE(""Currency:EURKZT"")*N834)"),238785)</f>
        <v>238785</v>
      </c>
      <c r="R834" s="26">
        <f t="shared" ca="1" si="790"/>
        <v>226368</v>
      </c>
      <c r="S834" s="26">
        <f t="shared" ca="1" si="791"/>
        <v>2590338</v>
      </c>
      <c r="T834" s="26">
        <f ca="1">IFERROR(__xludf.DUMMYFUNCTION("ROUND(GOOGLEFINANCE(""Currency:EURKZT"")*L834+S834)"),2948754)</f>
        <v>2948754</v>
      </c>
      <c r="U834" s="26">
        <f ca="1">IFERROR(__xludf.DUMMYFUNCTION("D834*GOOGLEFINANCE(""RUBKZT"")*1000/F834"),3411388.04998032)</f>
        <v>3411388.04998032</v>
      </c>
      <c r="V834" s="27">
        <f t="shared" ca="1" si="792"/>
        <v>0.15689136834755291</v>
      </c>
    </row>
    <row r="835" spans="1:22" ht="12.75" customHeight="1" x14ac:dyDescent="0.2">
      <c r="A835" s="6" t="s">
        <v>200</v>
      </c>
      <c r="B835" s="6" t="s">
        <v>32</v>
      </c>
      <c r="C835" s="7">
        <v>150888</v>
      </c>
      <c r="D835" s="8">
        <v>12483.6</v>
      </c>
      <c r="E835" s="9" t="s">
        <v>16</v>
      </c>
      <c r="F835" s="23">
        <v>20</v>
      </c>
      <c r="G835" s="25"/>
      <c r="H835" s="14">
        <f t="shared" si="786"/>
        <v>0.55000000000000004</v>
      </c>
      <c r="I835" s="25">
        <f ca="1">IFERROR(__xludf.DUMMYFUNCTION("ROUND(D835*GOOGLEFINANCE(""RUBKZT"")*H835)"),53579)</f>
        <v>53579</v>
      </c>
      <c r="J835" s="26">
        <f ca="1">IFERROR(__xludf.DUMMYFUNCTION("ROUND(I835*GOOGLEFINANCE(""KZTEUR""))"),112)</f>
        <v>112</v>
      </c>
      <c r="K835" s="26">
        <f t="shared" ca="1" si="787"/>
        <v>5600</v>
      </c>
      <c r="L835" s="26">
        <f t="shared" ca="1" si="788"/>
        <v>1064</v>
      </c>
      <c r="M835" s="26">
        <f t="shared" ref="M835:N835" si="857">M$3</f>
        <v>500</v>
      </c>
      <c r="N835" s="26">
        <f t="shared" si="857"/>
        <v>500</v>
      </c>
      <c r="O835" s="26">
        <f ca="1">IFERROR(__xludf.DUMMYFUNCTION("ROUND(GOOGLEFINANCE(""Currency:EURKZT"")*K835)"),2674390)</f>
        <v>2674390</v>
      </c>
      <c r="P835" s="26">
        <f ca="1">IFERROR(__xludf.DUMMYFUNCTION("ROUND(GOOGLEFINANCE(""Currency:EURKZT"")*M835)"),238785)</f>
        <v>238785</v>
      </c>
      <c r="Q835" s="26">
        <f ca="1">IFERROR(__xludf.DUMMYFUNCTION("ROUND(GOOGLEFINANCE(""Currency:EURKZT"")*N835)"),238785)</f>
        <v>238785</v>
      </c>
      <c r="R835" s="26">
        <f t="shared" ca="1" si="790"/>
        <v>320927</v>
      </c>
      <c r="S835" s="26">
        <f t="shared" ca="1" si="791"/>
        <v>3472887</v>
      </c>
      <c r="T835" s="26">
        <f ca="1">IFERROR(__xludf.DUMMYFUNCTION("ROUND(GOOGLEFINANCE(""Currency:EURKZT"")*L835+S835)"),3981021)</f>
        <v>3981021</v>
      </c>
      <c r="U835" s="26">
        <f ca="1">IFERROR(__xludf.DUMMYFUNCTION("D835*GOOGLEFINANCE(""RUBKZT"")*1000/F835"),4870802.89376136)</f>
        <v>4870802.8937613601</v>
      </c>
      <c r="V835" s="27">
        <f t="shared" ca="1" si="792"/>
        <v>0.22350595331231865</v>
      </c>
    </row>
    <row r="836" spans="1:22" ht="12.75" customHeight="1" x14ac:dyDescent="0.2">
      <c r="A836" s="6" t="s">
        <v>201</v>
      </c>
      <c r="B836" s="6" t="s">
        <v>32</v>
      </c>
      <c r="C836" s="7">
        <v>150889</v>
      </c>
      <c r="D836" s="8">
        <v>12622.8</v>
      </c>
      <c r="E836" s="9" t="s">
        <v>16</v>
      </c>
      <c r="F836" s="23">
        <v>20</v>
      </c>
      <c r="G836" s="25"/>
      <c r="H836" s="14">
        <f t="shared" si="786"/>
        <v>0.55000000000000004</v>
      </c>
      <c r="I836" s="25">
        <f ca="1">IFERROR(__xludf.DUMMYFUNCTION("ROUND(D836*GOOGLEFINANCE(""RUBKZT"")*H836)"),54176)</f>
        <v>54176</v>
      </c>
      <c r="J836" s="26">
        <f ca="1">IFERROR(__xludf.DUMMYFUNCTION("ROUND(I836*GOOGLEFINANCE(""KZTEUR""))"),113)</f>
        <v>113</v>
      </c>
      <c r="K836" s="26">
        <f t="shared" ca="1" si="787"/>
        <v>5650</v>
      </c>
      <c r="L836" s="26">
        <f t="shared" ca="1" si="788"/>
        <v>1073.5</v>
      </c>
      <c r="M836" s="26">
        <f t="shared" ref="M836:N836" si="858">M$3</f>
        <v>500</v>
      </c>
      <c r="N836" s="26">
        <f t="shared" si="858"/>
        <v>500</v>
      </c>
      <c r="O836" s="26">
        <f ca="1">IFERROR(__xludf.DUMMYFUNCTION("ROUND(GOOGLEFINANCE(""Currency:EURKZT"")*K836)"),2698268)</f>
        <v>2698268</v>
      </c>
      <c r="P836" s="26">
        <f ca="1">IFERROR(__xludf.DUMMYFUNCTION("ROUND(GOOGLEFINANCE(""Currency:EURKZT"")*M836)"),238785)</f>
        <v>238785</v>
      </c>
      <c r="Q836" s="26">
        <f ca="1">IFERROR(__xludf.DUMMYFUNCTION("ROUND(GOOGLEFINANCE(""Currency:EURKZT"")*N836)"),238785)</f>
        <v>238785</v>
      </c>
      <c r="R836" s="26">
        <f t="shared" ca="1" si="790"/>
        <v>323792</v>
      </c>
      <c r="S836" s="26">
        <f t="shared" ca="1" si="791"/>
        <v>3499630</v>
      </c>
      <c r="T836" s="26">
        <f ca="1">IFERROR(__xludf.DUMMYFUNCTION("ROUND(GOOGLEFINANCE(""Currency:EURKZT"")*L836+S836)"),4012301)</f>
        <v>4012301</v>
      </c>
      <c r="U836" s="26">
        <f ca="1">IFERROR(__xludf.DUMMYFUNCTION("D836*GOOGLEFINANCE(""RUBKZT"")*1000/F836"),4925115.41281128)</f>
        <v>4925115.4128112802</v>
      </c>
      <c r="V836" s="27">
        <f t="shared" ca="1" si="792"/>
        <v>0.22750397161411376</v>
      </c>
    </row>
    <row r="837" spans="1:22" ht="12.75" customHeight="1" x14ac:dyDescent="0.2">
      <c r="A837" s="6" t="s">
        <v>207</v>
      </c>
      <c r="B837" s="6" t="s">
        <v>32</v>
      </c>
      <c r="C837" s="7">
        <v>154213</v>
      </c>
      <c r="D837" s="8">
        <v>13084.8</v>
      </c>
      <c r="E837" s="9" t="s">
        <v>16</v>
      </c>
      <c r="F837" s="23">
        <v>20</v>
      </c>
      <c r="G837" s="25"/>
      <c r="H837" s="14">
        <f t="shared" si="786"/>
        <v>0.55000000000000004</v>
      </c>
      <c r="I837" s="25">
        <f ca="1">IFERROR(__xludf.DUMMYFUNCTION("ROUND(D837*GOOGLEFINANCE(""RUBKZT"")*H837)"),56159)</f>
        <v>56159</v>
      </c>
      <c r="J837" s="26">
        <f ca="1">IFERROR(__xludf.DUMMYFUNCTION("ROUND(I837*GOOGLEFINANCE(""KZTEUR""))"),118)</f>
        <v>118</v>
      </c>
      <c r="K837" s="26">
        <f t="shared" ca="1" si="787"/>
        <v>5900</v>
      </c>
      <c r="L837" s="26">
        <f t="shared" ca="1" si="788"/>
        <v>1121</v>
      </c>
      <c r="M837" s="26">
        <f t="shared" ref="M837:N837" si="859">M$3</f>
        <v>500</v>
      </c>
      <c r="N837" s="26">
        <f t="shared" si="859"/>
        <v>500</v>
      </c>
      <c r="O837" s="26">
        <f ca="1">IFERROR(__xludf.DUMMYFUNCTION("ROUND(GOOGLEFINANCE(""Currency:EURKZT"")*K837)"),2817661)</f>
        <v>2817661</v>
      </c>
      <c r="P837" s="26">
        <f ca="1">IFERROR(__xludf.DUMMYFUNCTION("ROUND(GOOGLEFINANCE(""Currency:EURKZT"")*M837)"),238785)</f>
        <v>238785</v>
      </c>
      <c r="Q837" s="26">
        <f ca="1">IFERROR(__xludf.DUMMYFUNCTION("ROUND(GOOGLEFINANCE(""Currency:EURKZT"")*N837)"),238785)</f>
        <v>238785</v>
      </c>
      <c r="R837" s="26">
        <f t="shared" ca="1" si="790"/>
        <v>338119</v>
      </c>
      <c r="S837" s="26">
        <f t="shared" ca="1" si="791"/>
        <v>3633350</v>
      </c>
      <c r="T837" s="26">
        <f ca="1">IFERROR(__xludf.DUMMYFUNCTION("ROUND(GOOGLEFINANCE(""Currency:EURKZT"")*L837+S837)"),4168706)</f>
        <v>4168706</v>
      </c>
      <c r="U837" s="26">
        <f ca="1">IFERROR(__xludf.DUMMYFUNCTION("D837*GOOGLEFINANCE(""RUBKZT"")*1000/F837"),5105376.79069248)</f>
        <v>5105376.7906924803</v>
      </c>
      <c r="V837" s="27">
        <f t="shared" ca="1" si="792"/>
        <v>0.22469101699483732</v>
      </c>
    </row>
    <row r="838" spans="1:22" ht="12.75" customHeight="1" x14ac:dyDescent="0.2">
      <c r="A838" s="6" t="s">
        <v>208</v>
      </c>
      <c r="B838" s="6" t="s">
        <v>32</v>
      </c>
      <c r="C838" s="7">
        <v>154242</v>
      </c>
      <c r="D838" s="8">
        <v>10876.8</v>
      </c>
      <c r="E838" s="9" t="s">
        <v>16</v>
      </c>
      <c r="F838" s="23">
        <v>20</v>
      </c>
      <c r="G838" s="25"/>
      <c r="H838" s="14">
        <f t="shared" si="786"/>
        <v>0.55000000000000004</v>
      </c>
      <c r="I838" s="25">
        <f ca="1">IFERROR(__xludf.DUMMYFUNCTION("ROUND(D838*GOOGLEFINANCE(""RUBKZT"")*H838)"),46683)</f>
        <v>46683</v>
      </c>
      <c r="J838" s="26">
        <f ca="1">IFERROR(__xludf.DUMMYFUNCTION("ROUND(I838*GOOGLEFINANCE(""KZTEUR""))"),98)</f>
        <v>98</v>
      </c>
      <c r="K838" s="26">
        <f t="shared" ca="1" si="787"/>
        <v>4900</v>
      </c>
      <c r="L838" s="26">
        <f t="shared" ca="1" si="788"/>
        <v>931</v>
      </c>
      <c r="M838" s="26">
        <f t="shared" ref="M838:N838" si="860">M$3</f>
        <v>500</v>
      </c>
      <c r="N838" s="26">
        <f t="shared" si="860"/>
        <v>500</v>
      </c>
      <c r="O838" s="26">
        <f ca="1">IFERROR(__xludf.DUMMYFUNCTION("ROUND(GOOGLEFINANCE(""Currency:EURKZT"")*K838)"),2340091)</f>
        <v>2340091</v>
      </c>
      <c r="P838" s="26">
        <f ca="1">IFERROR(__xludf.DUMMYFUNCTION("ROUND(GOOGLEFINANCE(""Currency:EURKZT"")*M838)"),238785)</f>
        <v>238785</v>
      </c>
      <c r="Q838" s="26">
        <f ca="1">IFERROR(__xludf.DUMMYFUNCTION("ROUND(GOOGLEFINANCE(""Currency:EURKZT"")*N838)"),238785)</f>
        <v>238785</v>
      </c>
      <c r="R838" s="26">
        <f t="shared" ca="1" si="790"/>
        <v>280811</v>
      </c>
      <c r="S838" s="26">
        <f t="shared" ca="1" si="791"/>
        <v>3098472</v>
      </c>
      <c r="T838" s="26">
        <f ca="1">IFERROR(__xludf.DUMMYFUNCTION("ROUND(GOOGLEFINANCE(""Currency:EURKZT"")*L838+S838)"),3543089)</f>
        <v>3543089</v>
      </c>
      <c r="U838" s="26">
        <f ca="1">IFERROR(__xludf.DUMMYFUNCTION("D838*GOOGLEFINANCE(""RUBKZT"")*1000/F838"),4243867.86783168)</f>
        <v>4243867.86783168</v>
      </c>
      <c r="V838" s="27">
        <f t="shared" ca="1" si="792"/>
        <v>0.19778754296933551</v>
      </c>
    </row>
    <row r="839" spans="1:22" ht="12.75" customHeight="1" x14ac:dyDescent="0.2">
      <c r="A839" s="6" t="s">
        <v>209</v>
      </c>
      <c r="B839" s="6" t="s">
        <v>32</v>
      </c>
      <c r="C839" s="7">
        <v>154939</v>
      </c>
      <c r="D839" s="8">
        <v>16411.2</v>
      </c>
      <c r="E839" s="9" t="s">
        <v>16</v>
      </c>
      <c r="F839" s="23">
        <v>20</v>
      </c>
      <c r="G839" s="25"/>
      <c r="H839" s="14">
        <f t="shared" si="786"/>
        <v>0.55000000000000004</v>
      </c>
      <c r="I839" s="25">
        <f ca="1">IFERROR(__xludf.DUMMYFUNCTION("ROUND(D839*GOOGLEFINANCE(""RUBKZT"")*H839)"),70436)</f>
        <v>70436</v>
      </c>
      <c r="J839" s="26">
        <f ca="1">IFERROR(__xludf.DUMMYFUNCTION("ROUND(I839*GOOGLEFINANCE(""KZTEUR""))"),148)</f>
        <v>148</v>
      </c>
      <c r="K839" s="26">
        <f t="shared" ca="1" si="787"/>
        <v>7400</v>
      </c>
      <c r="L839" s="26">
        <f t="shared" ca="1" si="788"/>
        <v>1406</v>
      </c>
      <c r="M839" s="26">
        <f t="shared" ref="M839:N839" si="861">M$3</f>
        <v>500</v>
      </c>
      <c r="N839" s="26">
        <f t="shared" si="861"/>
        <v>500</v>
      </c>
      <c r="O839" s="26">
        <f ca="1">IFERROR(__xludf.DUMMYFUNCTION("ROUND(GOOGLEFINANCE(""Currency:EURKZT"")*K839)"),3534015)</f>
        <v>3534015</v>
      </c>
      <c r="P839" s="26">
        <f ca="1">IFERROR(__xludf.DUMMYFUNCTION("ROUND(GOOGLEFINANCE(""Currency:EURKZT"")*M839)"),238785)</f>
        <v>238785</v>
      </c>
      <c r="Q839" s="26">
        <f ca="1">IFERROR(__xludf.DUMMYFUNCTION("ROUND(GOOGLEFINANCE(""Currency:EURKZT"")*N839)"),238785)</f>
        <v>238785</v>
      </c>
      <c r="R839" s="26">
        <f t="shared" ca="1" si="790"/>
        <v>424082</v>
      </c>
      <c r="S839" s="26">
        <f t="shared" ca="1" si="791"/>
        <v>4435667</v>
      </c>
      <c r="T839" s="26">
        <f ca="1">IFERROR(__xludf.DUMMYFUNCTION("ROUND(GOOGLEFINANCE(""Currency:EURKZT"")*L839+S839)"),5107130)</f>
        <v>5107130</v>
      </c>
      <c r="U839" s="26">
        <f ca="1">IFERROR(__xludf.DUMMYFUNCTION("D839*GOOGLEFINANCE(""RUBKZT"")*1000/F839"),6403258.71143712)</f>
        <v>6403258.7114371201</v>
      </c>
      <c r="V839" s="27">
        <f t="shared" ca="1" si="792"/>
        <v>0.25378807890872568</v>
      </c>
    </row>
    <row r="840" spans="1:22" ht="12.75" customHeight="1" x14ac:dyDescent="0.2">
      <c r="A840" s="6" t="s">
        <v>210</v>
      </c>
      <c r="B840" s="6" t="s">
        <v>32</v>
      </c>
      <c r="C840" s="7">
        <v>154943</v>
      </c>
      <c r="D840" s="8">
        <v>17394</v>
      </c>
      <c r="E840" s="9" t="s">
        <v>16</v>
      </c>
      <c r="F840" s="23">
        <v>20</v>
      </c>
      <c r="G840" s="25"/>
      <c r="H840" s="14">
        <f t="shared" si="786"/>
        <v>0.55000000000000004</v>
      </c>
      <c r="I840" s="25">
        <f ca="1">IFERROR(__xludf.DUMMYFUNCTION("ROUND(D840*GOOGLEFINANCE(""RUBKZT"")*H840)"),74654)</f>
        <v>74654</v>
      </c>
      <c r="J840" s="26">
        <f ca="1">IFERROR(__xludf.DUMMYFUNCTION("ROUND(I840*GOOGLEFINANCE(""KZTEUR""))"),156)</f>
        <v>156</v>
      </c>
      <c r="K840" s="26">
        <f t="shared" ca="1" si="787"/>
        <v>7800</v>
      </c>
      <c r="L840" s="26">
        <f t="shared" ca="1" si="788"/>
        <v>1482</v>
      </c>
      <c r="M840" s="26">
        <f t="shared" ref="M840:N840" si="862">M$3</f>
        <v>500</v>
      </c>
      <c r="N840" s="26">
        <f t="shared" si="862"/>
        <v>500</v>
      </c>
      <c r="O840" s="26">
        <f ca="1">IFERROR(__xludf.DUMMYFUNCTION("ROUND(GOOGLEFINANCE(""Currency:EURKZT"")*K840)"),3725043)</f>
        <v>3725043</v>
      </c>
      <c r="P840" s="26">
        <f ca="1">IFERROR(__xludf.DUMMYFUNCTION("ROUND(GOOGLEFINANCE(""Currency:EURKZT"")*M840)"),238785)</f>
        <v>238785</v>
      </c>
      <c r="Q840" s="26">
        <f ca="1">IFERROR(__xludf.DUMMYFUNCTION("ROUND(GOOGLEFINANCE(""Currency:EURKZT"")*N840)"),238785)</f>
        <v>238785</v>
      </c>
      <c r="R840" s="26">
        <f t="shared" ca="1" si="790"/>
        <v>447005</v>
      </c>
      <c r="S840" s="26">
        <f t="shared" ca="1" si="791"/>
        <v>4649618</v>
      </c>
      <c r="T840" s="26">
        <f ca="1">IFERROR(__xludf.DUMMYFUNCTION("ROUND(GOOGLEFINANCE(""Currency:EURKZT"")*L840+S840)"),5357376)</f>
        <v>5357376</v>
      </c>
      <c r="U840" s="26">
        <f ca="1">IFERROR(__xludf.DUMMYFUNCTION("D840*GOOGLEFINANCE(""RUBKZT"")*1000/F840"),6786723.8243844)</f>
        <v>6786723.8243843997</v>
      </c>
      <c r="V840" s="27">
        <f t="shared" ca="1" si="792"/>
        <v>0.26679998274983868</v>
      </c>
    </row>
    <row r="841" spans="1:22" ht="12.75" customHeight="1" x14ac:dyDescent="0.2">
      <c r="A841" s="6" t="s">
        <v>214</v>
      </c>
      <c r="B841" s="6" t="s">
        <v>32</v>
      </c>
      <c r="C841" s="7">
        <v>156313</v>
      </c>
      <c r="D841" s="8">
        <v>12787.199999999999</v>
      </c>
      <c r="E841" s="9" t="s">
        <v>16</v>
      </c>
      <c r="F841" s="23">
        <v>20</v>
      </c>
      <c r="G841" s="25"/>
      <c r="H841" s="14">
        <f t="shared" si="786"/>
        <v>0.55000000000000004</v>
      </c>
      <c r="I841" s="25">
        <f ca="1">IFERROR(__xludf.DUMMYFUNCTION("ROUND(D841*GOOGLEFINANCE(""RUBKZT"")*H841)"),54882)</f>
        <v>54882</v>
      </c>
      <c r="J841" s="26">
        <f ca="1">IFERROR(__xludf.DUMMYFUNCTION("ROUND(I841*GOOGLEFINANCE(""KZTEUR""))"),115)</f>
        <v>115</v>
      </c>
      <c r="K841" s="26">
        <f t="shared" ca="1" si="787"/>
        <v>5750</v>
      </c>
      <c r="L841" s="26">
        <f t="shared" ca="1" si="788"/>
        <v>1092.5</v>
      </c>
      <c r="M841" s="26">
        <f t="shared" ref="M841:N841" si="863">M$3</f>
        <v>500</v>
      </c>
      <c r="N841" s="26">
        <f t="shared" si="863"/>
        <v>500</v>
      </c>
      <c r="O841" s="26">
        <f ca="1">IFERROR(__xludf.DUMMYFUNCTION("ROUND(GOOGLEFINANCE(""Currency:EURKZT"")*K841)"),2746025)</f>
        <v>2746025</v>
      </c>
      <c r="P841" s="26">
        <f ca="1">IFERROR(__xludf.DUMMYFUNCTION("ROUND(GOOGLEFINANCE(""Currency:EURKZT"")*M841)"),238785)</f>
        <v>238785</v>
      </c>
      <c r="Q841" s="26">
        <f ca="1">IFERROR(__xludf.DUMMYFUNCTION("ROUND(GOOGLEFINANCE(""Currency:EURKZT"")*N841)"),238785)</f>
        <v>238785</v>
      </c>
      <c r="R841" s="26">
        <f t="shared" ca="1" si="790"/>
        <v>329523</v>
      </c>
      <c r="S841" s="26">
        <f t="shared" ca="1" si="791"/>
        <v>3553118</v>
      </c>
      <c r="T841" s="26">
        <f ca="1">IFERROR(__xludf.DUMMYFUNCTION("ROUND(GOOGLEFINANCE(""Currency:EURKZT"")*L841+S841)"),4074863)</f>
        <v>4074863</v>
      </c>
      <c r="U841" s="26">
        <f ca="1">IFERROR(__xludf.DUMMYFUNCTION("D841*GOOGLEFINANCE(""RUBKZT"")*1000/F841"),4989260.37065472)</f>
        <v>4989260.3706547199</v>
      </c>
      <c r="V841" s="27">
        <f t="shared" ca="1" si="792"/>
        <v>0.2243995370285381</v>
      </c>
    </row>
    <row r="842" spans="1:22" ht="12.75" customHeight="1" x14ac:dyDescent="0.2">
      <c r="A842" s="6" t="s">
        <v>219</v>
      </c>
      <c r="B842" s="6" t="s">
        <v>32</v>
      </c>
      <c r="C842" s="7">
        <v>157376</v>
      </c>
      <c r="D842" s="8">
        <v>30933.599999999999</v>
      </c>
      <c r="E842" s="9" t="s">
        <v>16</v>
      </c>
      <c r="F842" s="23">
        <v>20</v>
      </c>
      <c r="G842" s="25"/>
      <c r="H842" s="14">
        <f t="shared" si="786"/>
        <v>0.55000000000000004</v>
      </c>
      <c r="I842" s="25">
        <f ca="1">IFERROR(__xludf.DUMMYFUNCTION("ROUND(D842*GOOGLEFINANCE(""RUBKZT"")*H842)"),132765)</f>
        <v>132765</v>
      </c>
      <c r="J842" s="26">
        <f ca="1">IFERROR(__xludf.DUMMYFUNCTION("ROUND(I842*GOOGLEFINANCE(""KZTEUR""))"),278)</f>
        <v>278</v>
      </c>
      <c r="K842" s="26">
        <f t="shared" ca="1" si="787"/>
        <v>13900</v>
      </c>
      <c r="L842" s="26">
        <f t="shared" ca="1" si="788"/>
        <v>2641</v>
      </c>
      <c r="M842" s="26">
        <f t="shared" ref="M842:N842" si="864">M$3</f>
        <v>500</v>
      </c>
      <c r="N842" s="26">
        <f t="shared" si="864"/>
        <v>500</v>
      </c>
      <c r="O842" s="26">
        <f ca="1">IFERROR(__xludf.DUMMYFUNCTION("ROUND(GOOGLEFINANCE(""Currency:EURKZT"")*K842)"),6638218)</f>
        <v>6638218</v>
      </c>
      <c r="P842" s="26">
        <f ca="1">IFERROR(__xludf.DUMMYFUNCTION("ROUND(GOOGLEFINANCE(""Currency:EURKZT"")*M842)"),238785)</f>
        <v>238785</v>
      </c>
      <c r="Q842" s="26">
        <f ca="1">IFERROR(__xludf.DUMMYFUNCTION("ROUND(GOOGLEFINANCE(""Currency:EURKZT"")*N842)"),238785)</f>
        <v>238785</v>
      </c>
      <c r="R842" s="26">
        <f t="shared" ca="1" si="790"/>
        <v>796586</v>
      </c>
      <c r="S842" s="26">
        <f t="shared" ca="1" si="791"/>
        <v>7912374</v>
      </c>
      <c r="T842" s="26">
        <f ca="1">IFERROR(__xludf.DUMMYFUNCTION("ROUND(GOOGLEFINANCE(""Currency:EURKZT"")*L842+S842)"),9173635)</f>
        <v>9173635</v>
      </c>
      <c r="U842" s="26">
        <f ca="1">IFERROR(__xludf.DUMMYFUNCTION("D842*GOOGLEFINANCE(""RUBKZT"")*1000/F842"),12069552.7247313)</f>
        <v>12069552.7247313</v>
      </c>
      <c r="V842" s="27">
        <f t="shared" ca="1" si="792"/>
        <v>0.31567832432087173</v>
      </c>
    </row>
    <row r="843" spans="1:22" ht="12.75" customHeight="1" x14ac:dyDescent="0.2">
      <c r="A843" s="6" t="s">
        <v>216</v>
      </c>
      <c r="B843" s="6" t="s">
        <v>32</v>
      </c>
      <c r="C843" s="7">
        <v>157377</v>
      </c>
      <c r="D843" s="8">
        <v>7592.4</v>
      </c>
      <c r="E843" s="9" t="s">
        <v>16</v>
      </c>
      <c r="F843" s="23">
        <v>20</v>
      </c>
      <c r="G843" s="25"/>
      <c r="H843" s="14">
        <f t="shared" si="786"/>
        <v>0.55000000000000004</v>
      </c>
      <c r="I843" s="25">
        <f ca="1">IFERROR(__xludf.DUMMYFUNCTION("ROUND(D843*GOOGLEFINANCE(""RUBKZT"")*H843)"),32586)</f>
        <v>32586</v>
      </c>
      <c r="J843" s="26">
        <f ca="1">IFERROR(__xludf.DUMMYFUNCTION("ROUND(I843*GOOGLEFINANCE(""KZTEUR""))"),68)</f>
        <v>68</v>
      </c>
      <c r="K843" s="26">
        <f t="shared" ca="1" si="787"/>
        <v>3400</v>
      </c>
      <c r="L843" s="26">
        <f t="shared" ca="1" si="788"/>
        <v>646</v>
      </c>
      <c r="M843" s="26">
        <f t="shared" ref="M843:N843" si="865">M$3</f>
        <v>500</v>
      </c>
      <c r="N843" s="26">
        <f t="shared" si="865"/>
        <v>500</v>
      </c>
      <c r="O843" s="26">
        <f ca="1">IFERROR(__xludf.DUMMYFUNCTION("ROUND(GOOGLEFINANCE(""Currency:EURKZT"")*K843)"),1623737)</f>
        <v>1623737</v>
      </c>
      <c r="P843" s="26">
        <f ca="1">IFERROR(__xludf.DUMMYFUNCTION("ROUND(GOOGLEFINANCE(""Currency:EURKZT"")*M843)"),238785)</f>
        <v>238785</v>
      </c>
      <c r="Q843" s="26">
        <f ca="1">IFERROR(__xludf.DUMMYFUNCTION("ROUND(GOOGLEFINANCE(""Currency:EURKZT"")*N843)"),238785)</f>
        <v>238785</v>
      </c>
      <c r="R843" s="26">
        <f t="shared" ca="1" si="790"/>
        <v>194848</v>
      </c>
      <c r="S843" s="26">
        <f t="shared" ca="1" si="791"/>
        <v>2296155</v>
      </c>
      <c r="T843" s="26">
        <f ca="1">IFERROR(__xludf.DUMMYFUNCTION("ROUND(GOOGLEFINANCE(""Currency:EURKZT"")*L843+S843)"),2604665)</f>
        <v>2604665</v>
      </c>
      <c r="U843" s="26">
        <f ca="1">IFERROR(__xludf.DUMMYFUNCTION("D843*GOOGLEFINANCE(""RUBKZT"")*1000/F843"),2962373.34507623)</f>
        <v>2962373.3450762299</v>
      </c>
      <c r="V843" s="27">
        <f t="shared" ca="1" si="792"/>
        <v>0.1373337243277849</v>
      </c>
    </row>
    <row r="844" spans="1:22" ht="12.75" customHeight="1" x14ac:dyDescent="0.2">
      <c r="A844" s="6" t="s">
        <v>220</v>
      </c>
      <c r="B844" s="6" t="s">
        <v>32</v>
      </c>
      <c r="C844" s="7">
        <v>157423</v>
      </c>
      <c r="D844" s="8">
        <v>18759.599999999999</v>
      </c>
      <c r="E844" s="9" t="s">
        <v>16</v>
      </c>
      <c r="F844" s="23">
        <v>20</v>
      </c>
      <c r="G844" s="25"/>
      <c r="H844" s="14">
        <f t="shared" si="786"/>
        <v>0.55000000000000004</v>
      </c>
      <c r="I844" s="25">
        <f ca="1">IFERROR(__xludf.DUMMYFUNCTION("ROUND(D844*GOOGLEFINANCE(""RUBKZT"")*H844)"),80515)</f>
        <v>80515</v>
      </c>
      <c r="J844" s="26">
        <f ca="1">IFERROR(__xludf.DUMMYFUNCTION("ROUND(I844*GOOGLEFINANCE(""KZTEUR""))"),169)</f>
        <v>169</v>
      </c>
      <c r="K844" s="26">
        <f t="shared" ca="1" si="787"/>
        <v>8450</v>
      </c>
      <c r="L844" s="26">
        <f t="shared" ca="1" si="788"/>
        <v>1605.5</v>
      </c>
      <c r="M844" s="26">
        <f t="shared" ref="M844:N844" si="866">M$3</f>
        <v>500</v>
      </c>
      <c r="N844" s="26">
        <f t="shared" si="866"/>
        <v>500</v>
      </c>
      <c r="O844" s="26">
        <f ca="1">IFERROR(__xludf.DUMMYFUNCTION("ROUND(GOOGLEFINANCE(""Currency:EURKZT"")*K844)"),4035463)</f>
        <v>4035463</v>
      </c>
      <c r="P844" s="26">
        <f ca="1">IFERROR(__xludf.DUMMYFUNCTION("ROUND(GOOGLEFINANCE(""Currency:EURKZT"")*M844)"),238785)</f>
        <v>238785</v>
      </c>
      <c r="Q844" s="26">
        <f ca="1">IFERROR(__xludf.DUMMYFUNCTION("ROUND(GOOGLEFINANCE(""Currency:EURKZT"")*N844)"),238785)</f>
        <v>238785</v>
      </c>
      <c r="R844" s="26">
        <f t="shared" ca="1" si="790"/>
        <v>484256</v>
      </c>
      <c r="S844" s="26">
        <f t="shared" ca="1" si="791"/>
        <v>4997289</v>
      </c>
      <c r="T844" s="26">
        <f ca="1">IFERROR(__xludf.DUMMYFUNCTION("ROUND(GOOGLEFINANCE(""Currency:EURKZT"")*L844+S844)"),5764027)</f>
        <v>5764027</v>
      </c>
      <c r="U844" s="26">
        <f ca="1">IFERROR(__xludf.DUMMYFUNCTION("D844*GOOGLEFINANCE(""RUBKZT"")*1000/F844"),7319548.36471896)</f>
        <v>7319548.3647189597</v>
      </c>
      <c r="V844" s="27">
        <f t="shared" ca="1" si="792"/>
        <v>0.26986711976174982</v>
      </c>
    </row>
    <row r="845" spans="1:22" ht="12.75" customHeight="1" x14ac:dyDescent="0.2">
      <c r="A845" s="6" t="s">
        <v>222</v>
      </c>
      <c r="B845" s="6" t="s">
        <v>32</v>
      </c>
      <c r="C845" s="7">
        <v>157479</v>
      </c>
      <c r="D845" s="8">
        <v>24192</v>
      </c>
      <c r="E845" s="9" t="s">
        <v>16</v>
      </c>
      <c r="F845" s="23">
        <v>20</v>
      </c>
      <c r="G845" s="25"/>
      <c r="H845" s="14">
        <f t="shared" si="786"/>
        <v>0.55000000000000004</v>
      </c>
      <c r="I845" s="25">
        <f ca="1">IFERROR(__xludf.DUMMYFUNCTION("ROUND(D845*GOOGLEFINANCE(""RUBKZT"")*H845)"),103831)</f>
        <v>103831</v>
      </c>
      <c r="J845" s="26">
        <f ca="1">IFERROR(__xludf.DUMMYFUNCTION("ROUND(I845*GOOGLEFINANCE(""KZTEUR""))"),217)</f>
        <v>217</v>
      </c>
      <c r="K845" s="26">
        <f t="shared" ca="1" si="787"/>
        <v>10850</v>
      </c>
      <c r="L845" s="26">
        <f t="shared" ca="1" si="788"/>
        <v>2061.5</v>
      </c>
      <c r="M845" s="26">
        <f t="shared" ref="M845:N845" si="867">M$3</f>
        <v>500</v>
      </c>
      <c r="N845" s="26">
        <f t="shared" si="867"/>
        <v>500</v>
      </c>
      <c r="O845" s="26">
        <f ca="1">IFERROR(__xludf.DUMMYFUNCTION("ROUND(GOOGLEFINANCE(""Currency:EURKZT"")*K845)"),5181630)</f>
        <v>5181630</v>
      </c>
      <c r="P845" s="26">
        <f ca="1">IFERROR(__xludf.DUMMYFUNCTION("ROUND(GOOGLEFINANCE(""Currency:EURKZT"")*M845)"),238785)</f>
        <v>238785</v>
      </c>
      <c r="Q845" s="26">
        <f ca="1">IFERROR(__xludf.DUMMYFUNCTION("ROUND(GOOGLEFINANCE(""Currency:EURKZT"")*N845)"),238785)</f>
        <v>238785</v>
      </c>
      <c r="R845" s="26">
        <f t="shared" ca="1" si="790"/>
        <v>621796</v>
      </c>
      <c r="S845" s="26">
        <f t="shared" ca="1" si="791"/>
        <v>6280996</v>
      </c>
      <c r="T845" s="26">
        <f ca="1">IFERROR(__xludf.DUMMYFUNCTION("ROUND(GOOGLEFINANCE(""Currency:EURKZT"")*L845+S845)"),7265506)</f>
        <v>7265506</v>
      </c>
      <c r="U845" s="26">
        <f ca="1">IFERROR(__xludf.DUMMYFUNCTION("D845*GOOGLEFINANCE(""RUBKZT"")*1000/F845"),9439141.2417792)</f>
        <v>9439141.2417792007</v>
      </c>
      <c r="V845" s="27">
        <f t="shared" ca="1" si="792"/>
        <v>0.29917190100444496</v>
      </c>
    </row>
    <row r="846" spans="1:22" ht="12.75" customHeight="1" x14ac:dyDescent="0.2">
      <c r="A846" s="6" t="s">
        <v>223</v>
      </c>
      <c r="B846" s="6" t="s">
        <v>32</v>
      </c>
      <c r="C846" s="7">
        <v>157531</v>
      </c>
      <c r="D846" s="8">
        <v>27039.599999999999</v>
      </c>
      <c r="E846" s="9" t="s">
        <v>16</v>
      </c>
      <c r="F846" s="23">
        <v>20</v>
      </c>
      <c r="G846" s="25"/>
      <c r="H846" s="14">
        <f t="shared" si="786"/>
        <v>0.55000000000000004</v>
      </c>
      <c r="I846" s="25">
        <f ca="1">IFERROR(__xludf.DUMMYFUNCTION("ROUND(D846*GOOGLEFINANCE(""RUBKZT"")*H846)"),116052)</f>
        <v>116052</v>
      </c>
      <c r="J846" s="26">
        <f ca="1">IFERROR(__xludf.DUMMYFUNCTION("ROUND(I846*GOOGLEFINANCE(""KZTEUR""))"),243)</f>
        <v>243</v>
      </c>
      <c r="K846" s="26">
        <f t="shared" ca="1" si="787"/>
        <v>12150</v>
      </c>
      <c r="L846" s="26">
        <f t="shared" ca="1" si="788"/>
        <v>2308.5</v>
      </c>
      <c r="M846" s="26">
        <f t="shared" ref="M846:N846" si="868">M$3</f>
        <v>500</v>
      </c>
      <c r="N846" s="26">
        <f t="shared" si="868"/>
        <v>500</v>
      </c>
      <c r="O846" s="26">
        <f ca="1">IFERROR(__xludf.DUMMYFUNCTION("ROUND(GOOGLEFINANCE(""Currency:EURKZT"")*K846)"),5802471)</f>
        <v>5802471</v>
      </c>
      <c r="P846" s="26">
        <f ca="1">IFERROR(__xludf.DUMMYFUNCTION("ROUND(GOOGLEFINANCE(""Currency:EURKZT"")*M846)"),238785)</f>
        <v>238785</v>
      </c>
      <c r="Q846" s="26">
        <f ca="1">IFERROR(__xludf.DUMMYFUNCTION("ROUND(GOOGLEFINANCE(""Currency:EURKZT"")*N846)"),238785)</f>
        <v>238785</v>
      </c>
      <c r="R846" s="26">
        <f t="shared" ca="1" si="790"/>
        <v>696297</v>
      </c>
      <c r="S846" s="26">
        <f t="shared" ca="1" si="791"/>
        <v>6976338</v>
      </c>
      <c r="T846" s="26">
        <f ca="1">IFERROR(__xludf.DUMMYFUNCTION("ROUND(GOOGLEFINANCE(""Currency:EURKZT"")*L846+S846)"),8078807)</f>
        <v>8078807</v>
      </c>
      <c r="U846" s="26">
        <f ca="1">IFERROR(__xludf.DUMMYFUNCTION("D846*GOOGLEFINANCE(""RUBKZT"")*1000/F846"),10550206.8254469)</f>
        <v>10550206.8254469</v>
      </c>
      <c r="V846" s="27">
        <f t="shared" ca="1" si="792"/>
        <v>0.30591148240661026</v>
      </c>
    </row>
    <row r="847" spans="1:22" ht="12.75" customHeight="1" x14ac:dyDescent="0.2">
      <c r="A847" s="6" t="s">
        <v>230</v>
      </c>
      <c r="B847" s="6" t="s">
        <v>32</v>
      </c>
      <c r="C847" s="7">
        <v>158856</v>
      </c>
      <c r="D847" s="8">
        <v>11049.6</v>
      </c>
      <c r="E847" s="9" t="s">
        <v>16</v>
      </c>
      <c r="F847" s="23">
        <v>20</v>
      </c>
      <c r="G847" s="25"/>
      <c r="H847" s="14">
        <f t="shared" si="786"/>
        <v>0.55000000000000004</v>
      </c>
      <c r="I847" s="25">
        <f ca="1">IFERROR(__xludf.DUMMYFUNCTION("ROUND(D847*GOOGLEFINANCE(""RUBKZT"")*H847)"),47424)</f>
        <v>47424</v>
      </c>
      <c r="J847" s="26">
        <f ca="1">IFERROR(__xludf.DUMMYFUNCTION("ROUND(I847*GOOGLEFINANCE(""KZTEUR""))"),99)</f>
        <v>99</v>
      </c>
      <c r="K847" s="26">
        <f t="shared" ca="1" si="787"/>
        <v>4950</v>
      </c>
      <c r="L847" s="26">
        <f t="shared" ca="1" si="788"/>
        <v>940.5</v>
      </c>
      <c r="M847" s="26">
        <f t="shared" ref="M847:N847" si="869">M$3</f>
        <v>500</v>
      </c>
      <c r="N847" s="26">
        <f t="shared" si="869"/>
        <v>500</v>
      </c>
      <c r="O847" s="26">
        <f ca="1">IFERROR(__xludf.DUMMYFUNCTION("ROUND(GOOGLEFINANCE(""Currency:EURKZT"")*K847)"),2363970)</f>
        <v>2363970</v>
      </c>
      <c r="P847" s="26">
        <f ca="1">IFERROR(__xludf.DUMMYFUNCTION("ROUND(GOOGLEFINANCE(""Currency:EURKZT"")*M847)"),238785)</f>
        <v>238785</v>
      </c>
      <c r="Q847" s="26">
        <f ca="1">IFERROR(__xludf.DUMMYFUNCTION("ROUND(GOOGLEFINANCE(""Currency:EURKZT"")*N847)"),238785)</f>
        <v>238785</v>
      </c>
      <c r="R847" s="26">
        <f t="shared" ca="1" si="790"/>
        <v>283676</v>
      </c>
      <c r="S847" s="26">
        <f t="shared" ca="1" si="791"/>
        <v>3125216</v>
      </c>
      <c r="T847" s="26">
        <f ca="1">IFERROR(__xludf.DUMMYFUNCTION("ROUND(GOOGLEFINANCE(""Currency:EURKZT"")*L847+S847)"),3574370)</f>
        <v>3574370</v>
      </c>
      <c r="U847" s="26">
        <f ca="1">IFERROR(__xludf.DUMMYFUNCTION("D847*GOOGLEFINANCE(""RUBKZT"")*1000/F847"),4311290.30527296)</f>
        <v>4311290.3052729601</v>
      </c>
      <c r="V847" s="27">
        <f t="shared" ca="1" si="792"/>
        <v>0.20616788560584384</v>
      </c>
    </row>
    <row r="848" spans="1:22" ht="12.75" customHeight="1" x14ac:dyDescent="0.2">
      <c r="A848" s="6" t="s">
        <v>231</v>
      </c>
      <c r="B848" s="6" t="s">
        <v>32</v>
      </c>
      <c r="C848" s="7">
        <v>158857</v>
      </c>
      <c r="D848" s="8">
        <v>12159.6</v>
      </c>
      <c r="E848" s="9" t="s">
        <v>16</v>
      </c>
      <c r="F848" s="23">
        <v>20</v>
      </c>
      <c r="G848" s="25"/>
      <c r="H848" s="14">
        <f t="shared" si="786"/>
        <v>0.55000000000000004</v>
      </c>
      <c r="I848" s="25">
        <f ca="1">IFERROR(__xludf.DUMMYFUNCTION("ROUND(D848*GOOGLEFINANCE(""RUBKZT"")*H848)"),52188)</f>
        <v>52188</v>
      </c>
      <c r="J848" s="26">
        <f ca="1">IFERROR(__xludf.DUMMYFUNCTION("ROUND(I848*GOOGLEFINANCE(""KZTEUR""))"),109)</f>
        <v>109</v>
      </c>
      <c r="K848" s="26">
        <f t="shared" ca="1" si="787"/>
        <v>5450</v>
      </c>
      <c r="L848" s="26">
        <f t="shared" ca="1" si="788"/>
        <v>1035.5</v>
      </c>
      <c r="M848" s="26">
        <f t="shared" ref="M848:N848" si="870">M$3</f>
        <v>500</v>
      </c>
      <c r="N848" s="26">
        <f t="shared" si="870"/>
        <v>500</v>
      </c>
      <c r="O848" s="26">
        <f ca="1">IFERROR(__xludf.DUMMYFUNCTION("ROUND(GOOGLEFINANCE(""Currency:EURKZT"")*K848)"),2602754)</f>
        <v>2602754</v>
      </c>
      <c r="P848" s="26">
        <f ca="1">IFERROR(__xludf.DUMMYFUNCTION("ROUND(GOOGLEFINANCE(""Currency:EURKZT"")*M848)"),238785)</f>
        <v>238785</v>
      </c>
      <c r="Q848" s="26">
        <f ca="1">IFERROR(__xludf.DUMMYFUNCTION("ROUND(GOOGLEFINANCE(""Currency:EURKZT"")*N848)"),238785)</f>
        <v>238785</v>
      </c>
      <c r="R848" s="26">
        <f t="shared" ca="1" si="790"/>
        <v>312330</v>
      </c>
      <c r="S848" s="26">
        <f t="shared" ca="1" si="791"/>
        <v>3392654</v>
      </c>
      <c r="T848" s="26">
        <f ca="1">IFERROR(__xludf.DUMMYFUNCTION("ROUND(GOOGLEFINANCE(""Currency:EURKZT"")*L848+S848)"),3887177)</f>
        <v>3887177</v>
      </c>
      <c r="U848" s="26">
        <f ca="1">IFERROR(__xludf.DUMMYFUNCTION("D848*GOOGLEFINANCE(""RUBKZT"")*1000/F848"),4744385.82355896)</f>
        <v>4744385.8235589601</v>
      </c>
      <c r="V848" s="27">
        <f t="shared" ca="1" si="792"/>
        <v>0.22052219993042768</v>
      </c>
    </row>
    <row r="849" spans="1:22" ht="12.75" customHeight="1" x14ac:dyDescent="0.2">
      <c r="A849" s="6" t="s">
        <v>234</v>
      </c>
      <c r="B849" s="6" t="s">
        <v>32</v>
      </c>
      <c r="C849" s="7">
        <v>160665</v>
      </c>
      <c r="D849" s="8">
        <v>23286</v>
      </c>
      <c r="E849" s="9" t="s">
        <v>16</v>
      </c>
      <c r="F849" s="23">
        <v>20</v>
      </c>
      <c r="G849" s="25"/>
      <c r="H849" s="14">
        <f t="shared" si="786"/>
        <v>0.55000000000000004</v>
      </c>
      <c r="I849" s="25">
        <f ca="1">IFERROR(__xludf.DUMMYFUNCTION("ROUND(D849*GOOGLEFINANCE(""RUBKZT"")*H849)"),99942)</f>
        <v>99942</v>
      </c>
      <c r="J849" s="26">
        <f ca="1">IFERROR(__xludf.DUMMYFUNCTION("ROUND(I849*GOOGLEFINANCE(""KZTEUR""))"),209)</f>
        <v>209</v>
      </c>
      <c r="K849" s="26">
        <f t="shared" ca="1" si="787"/>
        <v>10450</v>
      </c>
      <c r="L849" s="26">
        <f t="shared" ca="1" si="788"/>
        <v>1985.5</v>
      </c>
      <c r="M849" s="26">
        <f t="shared" ref="M849:N849" si="871">M$3</f>
        <v>500</v>
      </c>
      <c r="N849" s="26">
        <f t="shared" si="871"/>
        <v>500</v>
      </c>
      <c r="O849" s="26">
        <f ca="1">IFERROR(__xludf.DUMMYFUNCTION("ROUND(GOOGLEFINANCE(""Currency:EURKZT"")*K849)"),4990602)</f>
        <v>4990602</v>
      </c>
      <c r="P849" s="26">
        <f ca="1">IFERROR(__xludf.DUMMYFUNCTION("ROUND(GOOGLEFINANCE(""Currency:EURKZT"")*M849)"),238785)</f>
        <v>238785</v>
      </c>
      <c r="Q849" s="26">
        <f ca="1">IFERROR(__xludf.DUMMYFUNCTION("ROUND(GOOGLEFINANCE(""Currency:EURKZT"")*N849)"),238785)</f>
        <v>238785</v>
      </c>
      <c r="R849" s="26">
        <f t="shared" ca="1" si="790"/>
        <v>598872</v>
      </c>
      <c r="S849" s="26">
        <f t="shared" ca="1" si="791"/>
        <v>6067044</v>
      </c>
      <c r="T849" s="26">
        <f ca="1">IFERROR(__xludf.DUMMYFUNCTION("ROUND(GOOGLEFINANCE(""Currency:EURKZT"")*L849+S849)"),7015258)</f>
        <v>7015258</v>
      </c>
      <c r="U849" s="26">
        <f ca="1">IFERROR(__xludf.DUMMYFUNCTION("D849*GOOGLEFINANCE(""RUBKZT"")*1000/F849"),9085641.6565836)</f>
        <v>9085641.6565835997</v>
      </c>
      <c r="V849" s="27">
        <f t="shared" ca="1" si="792"/>
        <v>0.29512580386688553</v>
      </c>
    </row>
    <row r="850" spans="1:22" ht="12.75" customHeight="1" x14ac:dyDescent="0.2">
      <c r="A850" s="6" t="s">
        <v>199</v>
      </c>
      <c r="B850" s="6" t="s">
        <v>32</v>
      </c>
      <c r="C850" s="7">
        <v>160777</v>
      </c>
      <c r="D850" s="8">
        <v>9871.1999999999989</v>
      </c>
      <c r="E850" s="9" t="s">
        <v>16</v>
      </c>
      <c r="F850" s="23">
        <v>20</v>
      </c>
      <c r="G850" s="24">
        <v>0.02</v>
      </c>
      <c r="H850" s="14">
        <f t="shared" si="786"/>
        <v>0.57000000000000006</v>
      </c>
      <c r="I850" s="25">
        <f ca="1">IFERROR(__xludf.DUMMYFUNCTION("ROUND(D850*GOOGLEFINANCE(""RUBKZT"")*H850)"),43907)</f>
        <v>43907</v>
      </c>
      <c r="J850" s="26">
        <f ca="1">IFERROR(__xludf.DUMMYFUNCTION("ROUND(I850*GOOGLEFINANCE(""KZTEUR""))"),92)</f>
        <v>92</v>
      </c>
      <c r="K850" s="26">
        <f t="shared" ca="1" si="787"/>
        <v>4600</v>
      </c>
      <c r="L850" s="26">
        <f t="shared" ca="1" si="788"/>
        <v>874</v>
      </c>
      <c r="M850" s="26">
        <f t="shared" ref="M850:N850" si="872">M$3</f>
        <v>500</v>
      </c>
      <c r="N850" s="26">
        <f t="shared" si="872"/>
        <v>500</v>
      </c>
      <c r="O850" s="26">
        <f ca="1">IFERROR(__xludf.DUMMYFUNCTION("ROUND(GOOGLEFINANCE(""Currency:EURKZT"")*K850)"),2196820)</f>
        <v>2196820</v>
      </c>
      <c r="P850" s="26">
        <f ca="1">IFERROR(__xludf.DUMMYFUNCTION("ROUND(GOOGLEFINANCE(""Currency:EURKZT"")*M850)"),238785)</f>
        <v>238785</v>
      </c>
      <c r="Q850" s="26">
        <f ca="1">IFERROR(__xludf.DUMMYFUNCTION("ROUND(GOOGLEFINANCE(""Currency:EURKZT"")*N850)"),238785)</f>
        <v>238785</v>
      </c>
      <c r="R850" s="26">
        <f t="shared" ca="1" si="790"/>
        <v>263618</v>
      </c>
      <c r="S850" s="26">
        <f t="shared" ca="1" si="791"/>
        <v>2938008</v>
      </c>
      <c r="T850" s="26">
        <f ca="1">IFERROR(__xludf.DUMMYFUNCTION("ROUND(GOOGLEFINANCE(""Currency:EURKZT"")*L850+S850)"),3355404)</f>
        <v>3355404</v>
      </c>
      <c r="U850" s="26">
        <f ca="1">IFERROR(__xludf.DUMMYFUNCTION("D850*GOOGLEFINANCE(""RUBKZT"")*1000/F850"),3851506.73883311)</f>
        <v>3851506.7388331098</v>
      </c>
      <c r="V850" s="27">
        <f t="shared" ca="1" si="792"/>
        <v>0.14785186488217511</v>
      </c>
    </row>
    <row r="851" spans="1:22" ht="12.75" customHeight="1" x14ac:dyDescent="0.2">
      <c r="A851" s="6" t="s">
        <v>237</v>
      </c>
      <c r="B851" s="6" t="s">
        <v>32</v>
      </c>
      <c r="C851" s="7">
        <v>160784</v>
      </c>
      <c r="D851" s="8">
        <v>12375.6</v>
      </c>
      <c r="E851" s="9" t="s">
        <v>16</v>
      </c>
      <c r="F851" s="23">
        <v>20</v>
      </c>
      <c r="G851" s="25"/>
      <c r="H851" s="14">
        <f t="shared" si="786"/>
        <v>0.55000000000000004</v>
      </c>
      <c r="I851" s="25">
        <f ca="1">IFERROR(__xludf.DUMMYFUNCTION("ROUND(D851*GOOGLEFINANCE(""RUBKZT"")*H851)"),53115)</f>
        <v>53115</v>
      </c>
      <c r="J851" s="26">
        <f ca="1">IFERROR(__xludf.DUMMYFUNCTION("ROUND(I851*GOOGLEFINANCE(""KZTEUR""))"),111)</f>
        <v>111</v>
      </c>
      <c r="K851" s="26">
        <f t="shared" ca="1" si="787"/>
        <v>5550</v>
      </c>
      <c r="L851" s="26">
        <f t="shared" ca="1" si="788"/>
        <v>1054.5</v>
      </c>
      <c r="M851" s="26">
        <f t="shared" ref="M851:N851" si="873">M$3</f>
        <v>500</v>
      </c>
      <c r="N851" s="26">
        <f t="shared" si="873"/>
        <v>500</v>
      </c>
      <c r="O851" s="26">
        <f ca="1">IFERROR(__xludf.DUMMYFUNCTION("ROUND(GOOGLEFINANCE(""Currency:EURKZT"")*K851)"),2650511)</f>
        <v>2650511</v>
      </c>
      <c r="P851" s="26">
        <f ca="1">IFERROR(__xludf.DUMMYFUNCTION("ROUND(GOOGLEFINANCE(""Currency:EURKZT"")*M851)"),238785)</f>
        <v>238785</v>
      </c>
      <c r="Q851" s="26">
        <f ca="1">IFERROR(__xludf.DUMMYFUNCTION("ROUND(GOOGLEFINANCE(""Currency:EURKZT"")*N851)"),238785)</f>
        <v>238785</v>
      </c>
      <c r="R851" s="26">
        <f t="shared" ca="1" si="790"/>
        <v>318061</v>
      </c>
      <c r="S851" s="26">
        <f t="shared" ca="1" si="791"/>
        <v>3446142</v>
      </c>
      <c r="T851" s="26">
        <f ca="1">IFERROR(__xludf.DUMMYFUNCTION("ROUND(GOOGLEFINANCE(""Currency:EURKZT"")*L851+S851)"),3949739)</f>
        <v>3949739</v>
      </c>
      <c r="U851" s="26">
        <f ca="1">IFERROR(__xludf.DUMMYFUNCTION("D851*GOOGLEFINANCE(""RUBKZT"")*1000/F851"),4828663.87036056)</f>
        <v>4828663.8703605598</v>
      </c>
      <c r="V851" s="27">
        <f t="shared" ca="1" si="792"/>
        <v>0.22252732911226786</v>
      </c>
    </row>
    <row r="852" spans="1:22" ht="12.75" customHeight="1" x14ac:dyDescent="0.2">
      <c r="A852" s="6" t="s">
        <v>241</v>
      </c>
      <c r="B852" s="6" t="s">
        <v>32</v>
      </c>
      <c r="C852" s="7">
        <v>161407</v>
      </c>
      <c r="D852" s="8">
        <v>9121.1999999999989</v>
      </c>
      <c r="E852" s="9" t="s">
        <v>16</v>
      </c>
      <c r="F852" s="23">
        <v>20</v>
      </c>
      <c r="G852" s="25"/>
      <c r="H852" s="14">
        <f t="shared" si="786"/>
        <v>0.55000000000000004</v>
      </c>
      <c r="I852" s="25">
        <f ca="1">IFERROR(__xludf.DUMMYFUNCTION("ROUND(D852*GOOGLEFINANCE(""RUBKZT"")*H852)"),39148)</f>
        <v>39148</v>
      </c>
      <c r="J852" s="26">
        <f ca="1">IFERROR(__xludf.DUMMYFUNCTION("ROUND(I852*GOOGLEFINANCE(""KZTEUR""))"),82)</f>
        <v>82</v>
      </c>
      <c r="K852" s="26">
        <f t="shared" ca="1" si="787"/>
        <v>4100</v>
      </c>
      <c r="L852" s="26">
        <f t="shared" ca="1" si="788"/>
        <v>779</v>
      </c>
      <c r="M852" s="26">
        <f t="shared" ref="M852:N852" si="874">M$3</f>
        <v>500</v>
      </c>
      <c r="N852" s="26">
        <f t="shared" si="874"/>
        <v>500</v>
      </c>
      <c r="O852" s="26">
        <f ca="1">IFERROR(__xludf.DUMMYFUNCTION("ROUND(GOOGLEFINANCE(""Currency:EURKZT"")*K852)"),1958035)</f>
        <v>1958035</v>
      </c>
      <c r="P852" s="26">
        <f ca="1">IFERROR(__xludf.DUMMYFUNCTION("ROUND(GOOGLEFINANCE(""Currency:EURKZT"")*M852)"),238785)</f>
        <v>238785</v>
      </c>
      <c r="Q852" s="26">
        <f ca="1">IFERROR(__xludf.DUMMYFUNCTION("ROUND(GOOGLEFINANCE(""Currency:EURKZT"")*N852)"),238785)</f>
        <v>238785</v>
      </c>
      <c r="R852" s="26">
        <f t="shared" ca="1" si="790"/>
        <v>234964</v>
      </c>
      <c r="S852" s="26">
        <f t="shared" ca="1" si="791"/>
        <v>2670569</v>
      </c>
      <c r="T852" s="26">
        <f ca="1">IFERROR(__xludf.DUMMYFUNCTION("ROUND(GOOGLEFINANCE(""Currency:EURKZT"")*L852+S852)"),3042596)</f>
        <v>3042596</v>
      </c>
      <c r="U852" s="26">
        <f ca="1">IFERROR(__xludf.DUMMYFUNCTION("D852*GOOGLEFINANCE(""RUBKZT"")*1000/F852"),3558874.63188311)</f>
        <v>3558874.6318831099</v>
      </c>
      <c r="V852" s="27">
        <f t="shared" ca="1" si="792"/>
        <v>0.1696835964693012</v>
      </c>
    </row>
    <row r="853" spans="1:22" ht="12.75" customHeight="1" x14ac:dyDescent="0.2">
      <c r="A853" s="6" t="s">
        <v>242</v>
      </c>
      <c r="B853" s="6" t="s">
        <v>32</v>
      </c>
      <c r="C853" s="7">
        <v>161610</v>
      </c>
      <c r="D853" s="8">
        <v>14229.6</v>
      </c>
      <c r="E853" s="9" t="s">
        <v>16</v>
      </c>
      <c r="F853" s="23">
        <v>20</v>
      </c>
      <c r="G853" s="25"/>
      <c r="H853" s="14">
        <f t="shared" si="786"/>
        <v>0.55000000000000004</v>
      </c>
      <c r="I853" s="25">
        <f ca="1">IFERROR(__xludf.DUMMYFUNCTION("ROUND(D853*GOOGLEFINANCE(""RUBKZT"")*H853)"),61073)</f>
        <v>61073</v>
      </c>
      <c r="J853" s="26">
        <f ca="1">IFERROR(__xludf.DUMMYFUNCTION("ROUND(I853*GOOGLEFINANCE(""KZTEUR""))"),128)</f>
        <v>128</v>
      </c>
      <c r="K853" s="26">
        <f t="shared" ca="1" si="787"/>
        <v>6400</v>
      </c>
      <c r="L853" s="26">
        <f t="shared" ca="1" si="788"/>
        <v>1216</v>
      </c>
      <c r="M853" s="26">
        <f t="shared" ref="M853:N853" si="875">M$3</f>
        <v>500</v>
      </c>
      <c r="N853" s="26">
        <f t="shared" si="875"/>
        <v>500</v>
      </c>
      <c r="O853" s="26">
        <f ca="1">IFERROR(__xludf.DUMMYFUNCTION("ROUND(GOOGLEFINANCE(""Currency:EURKZT"")*K853)"),3056446)</f>
        <v>3056446</v>
      </c>
      <c r="P853" s="26">
        <f ca="1">IFERROR(__xludf.DUMMYFUNCTION("ROUND(GOOGLEFINANCE(""Currency:EURKZT"")*M853)"),238785)</f>
        <v>238785</v>
      </c>
      <c r="Q853" s="26">
        <f ca="1">IFERROR(__xludf.DUMMYFUNCTION("ROUND(GOOGLEFINANCE(""Currency:EURKZT"")*N853)"),238785)</f>
        <v>238785</v>
      </c>
      <c r="R853" s="26">
        <f t="shared" ca="1" si="790"/>
        <v>366774</v>
      </c>
      <c r="S853" s="26">
        <f t="shared" ca="1" si="791"/>
        <v>3900790</v>
      </c>
      <c r="T853" s="26">
        <f ca="1">IFERROR(__xludf.DUMMYFUNCTION("ROUND(GOOGLEFINANCE(""Currency:EURKZT"")*L853+S853)"),4481515)</f>
        <v>4481515</v>
      </c>
      <c r="U853" s="26">
        <f ca="1">IFERROR(__xludf.DUMMYFUNCTION("D853*GOOGLEFINANCE(""RUBKZT"")*1000/F853"),5552050.43874095)</f>
        <v>5552050.4387409501</v>
      </c>
      <c r="V853" s="27">
        <f t="shared" ca="1" si="792"/>
        <v>0.23887802199500616</v>
      </c>
    </row>
    <row r="854" spans="1:22" ht="12.75" customHeight="1" x14ac:dyDescent="0.2">
      <c r="A854" s="6" t="s">
        <v>227</v>
      </c>
      <c r="B854" s="6" t="s">
        <v>32</v>
      </c>
      <c r="C854" s="7">
        <v>161653</v>
      </c>
      <c r="D854" s="8">
        <v>18842.399999999998</v>
      </c>
      <c r="E854" s="9" t="s">
        <v>16</v>
      </c>
      <c r="F854" s="23">
        <v>20</v>
      </c>
      <c r="G854" s="25"/>
      <c r="H854" s="14">
        <f t="shared" si="786"/>
        <v>0.55000000000000004</v>
      </c>
      <c r="I854" s="25">
        <f ca="1">IFERROR(__xludf.DUMMYFUNCTION("ROUND(D854*GOOGLEFINANCE(""RUBKZT"")*H854)"),80870)</f>
        <v>80870</v>
      </c>
      <c r="J854" s="26">
        <f ca="1">IFERROR(__xludf.DUMMYFUNCTION("ROUND(I854*GOOGLEFINANCE(""KZTEUR""))"),169)</f>
        <v>169</v>
      </c>
      <c r="K854" s="26">
        <f t="shared" ca="1" si="787"/>
        <v>8450</v>
      </c>
      <c r="L854" s="26">
        <f t="shared" ca="1" si="788"/>
        <v>1605.5</v>
      </c>
      <c r="M854" s="26">
        <f t="shared" ref="M854:N854" si="876">M$3</f>
        <v>500</v>
      </c>
      <c r="N854" s="26">
        <f t="shared" si="876"/>
        <v>500</v>
      </c>
      <c r="O854" s="26">
        <f ca="1">IFERROR(__xludf.DUMMYFUNCTION("ROUND(GOOGLEFINANCE(""Currency:EURKZT"")*K854)"),4035463)</f>
        <v>4035463</v>
      </c>
      <c r="P854" s="26">
        <f ca="1">IFERROR(__xludf.DUMMYFUNCTION("ROUND(GOOGLEFINANCE(""Currency:EURKZT"")*M854)"),238785)</f>
        <v>238785</v>
      </c>
      <c r="Q854" s="26">
        <f ca="1">IFERROR(__xludf.DUMMYFUNCTION("ROUND(GOOGLEFINANCE(""Currency:EURKZT"")*N854)"),238785)</f>
        <v>238785</v>
      </c>
      <c r="R854" s="26">
        <f t="shared" ca="1" si="790"/>
        <v>484256</v>
      </c>
      <c r="S854" s="26">
        <f t="shared" ca="1" si="791"/>
        <v>4997289</v>
      </c>
      <c r="T854" s="26">
        <f ca="1">IFERROR(__xludf.DUMMYFUNCTION("ROUND(GOOGLEFINANCE(""Currency:EURKZT"")*L854+S854)"),5764027)</f>
        <v>5764027</v>
      </c>
      <c r="U854" s="26">
        <f ca="1">IFERROR(__xludf.DUMMYFUNCTION("D854*GOOGLEFINANCE(""RUBKZT"")*1000/F854"),7351854.94932623)</f>
        <v>7351854.9493262302</v>
      </c>
      <c r="V854" s="27">
        <f t="shared" ca="1" si="792"/>
        <v>0.27547198327249861</v>
      </c>
    </row>
    <row r="855" spans="1:22" ht="12.75" customHeight="1" x14ac:dyDescent="0.2">
      <c r="A855" s="6" t="s">
        <v>243</v>
      </c>
      <c r="B855" s="6" t="s">
        <v>32</v>
      </c>
      <c r="C855" s="7">
        <v>162118</v>
      </c>
      <c r="D855" s="8">
        <v>9710.4</v>
      </c>
      <c r="E855" s="9" t="s">
        <v>16</v>
      </c>
      <c r="F855" s="23">
        <v>20</v>
      </c>
      <c r="G855" s="25"/>
      <c r="H855" s="14">
        <f t="shared" si="786"/>
        <v>0.55000000000000004</v>
      </c>
      <c r="I855" s="25">
        <f ca="1">IFERROR(__xludf.DUMMYFUNCTION("ROUND(D855*GOOGLEFINANCE(""RUBKZT"")*H855)"),41676)</f>
        <v>41676</v>
      </c>
      <c r="J855" s="26">
        <f ca="1">IFERROR(__xludf.DUMMYFUNCTION("ROUND(I855*GOOGLEFINANCE(""KZTEUR""))"),87)</f>
        <v>87</v>
      </c>
      <c r="K855" s="26">
        <f t="shared" ca="1" si="787"/>
        <v>4350</v>
      </c>
      <c r="L855" s="26">
        <f t="shared" ca="1" si="788"/>
        <v>826.5</v>
      </c>
      <c r="M855" s="26">
        <f t="shared" ref="M855:N855" si="877">M$3</f>
        <v>500</v>
      </c>
      <c r="N855" s="26">
        <f t="shared" si="877"/>
        <v>500</v>
      </c>
      <c r="O855" s="26">
        <f ca="1">IFERROR(__xludf.DUMMYFUNCTION("ROUND(GOOGLEFINANCE(""Currency:EURKZT"")*K855)"),2077428)</f>
        <v>2077428</v>
      </c>
      <c r="P855" s="26">
        <f ca="1">IFERROR(__xludf.DUMMYFUNCTION("ROUND(GOOGLEFINANCE(""Currency:EURKZT"")*M855)"),238785)</f>
        <v>238785</v>
      </c>
      <c r="Q855" s="26">
        <f ca="1">IFERROR(__xludf.DUMMYFUNCTION("ROUND(GOOGLEFINANCE(""Currency:EURKZT"")*N855)"),238785)</f>
        <v>238785</v>
      </c>
      <c r="R855" s="26">
        <f t="shared" ca="1" si="790"/>
        <v>249291</v>
      </c>
      <c r="S855" s="26">
        <f t="shared" ca="1" si="791"/>
        <v>2804289</v>
      </c>
      <c r="T855" s="26">
        <f ca="1">IFERROR(__xludf.DUMMYFUNCTION("ROUND(GOOGLEFINANCE(""Currency:EURKZT"")*L855+S855)"),3199000)</f>
        <v>3199000</v>
      </c>
      <c r="U855" s="26">
        <f ca="1">IFERROR(__xludf.DUMMYFUNCTION("D855*GOOGLEFINANCE(""RUBKZT"")*1000/F855"),3788766.41510304)</f>
        <v>3788766.4151030402</v>
      </c>
      <c r="V855" s="27">
        <f t="shared" ca="1" si="792"/>
        <v>0.18435961710004381</v>
      </c>
    </row>
    <row r="856" spans="1:22" ht="12.75" customHeight="1" x14ac:dyDescent="0.2">
      <c r="A856" s="6" t="s">
        <v>244</v>
      </c>
      <c r="B856" s="6" t="s">
        <v>32</v>
      </c>
      <c r="C856" s="7">
        <v>162120</v>
      </c>
      <c r="D856" s="8">
        <v>9448.7999999999993</v>
      </c>
      <c r="E856" s="9" t="s">
        <v>16</v>
      </c>
      <c r="F856" s="23">
        <v>20</v>
      </c>
      <c r="G856" s="25"/>
      <c r="H856" s="14">
        <f t="shared" si="786"/>
        <v>0.55000000000000004</v>
      </c>
      <c r="I856" s="25">
        <f ca="1">IFERROR(__xludf.DUMMYFUNCTION("ROUND(D856*GOOGLEFINANCE(""RUBKZT"")*H856)"),40554)</f>
        <v>40554</v>
      </c>
      <c r="J856" s="26">
        <f ca="1">IFERROR(__xludf.DUMMYFUNCTION("ROUND(I856*GOOGLEFINANCE(""KZTEUR""))"),85)</f>
        <v>85</v>
      </c>
      <c r="K856" s="26">
        <f t="shared" ca="1" si="787"/>
        <v>4250</v>
      </c>
      <c r="L856" s="26">
        <f t="shared" ca="1" si="788"/>
        <v>807.5</v>
      </c>
      <c r="M856" s="26">
        <f t="shared" ref="M856:N856" si="878">M$3</f>
        <v>500</v>
      </c>
      <c r="N856" s="26">
        <f t="shared" si="878"/>
        <v>500</v>
      </c>
      <c r="O856" s="26">
        <f ca="1">IFERROR(__xludf.DUMMYFUNCTION("ROUND(GOOGLEFINANCE(""Currency:EURKZT"")*K856)"),2029671)</f>
        <v>2029671</v>
      </c>
      <c r="P856" s="26">
        <f ca="1">IFERROR(__xludf.DUMMYFUNCTION("ROUND(GOOGLEFINANCE(""Currency:EURKZT"")*M856)"),238785)</f>
        <v>238785</v>
      </c>
      <c r="Q856" s="26">
        <f ca="1">IFERROR(__xludf.DUMMYFUNCTION("ROUND(GOOGLEFINANCE(""Currency:EURKZT"")*N856)"),238785)</f>
        <v>238785</v>
      </c>
      <c r="R856" s="26">
        <f t="shared" ca="1" si="790"/>
        <v>243561</v>
      </c>
      <c r="S856" s="26">
        <f t="shared" ca="1" si="791"/>
        <v>2750802</v>
      </c>
      <c r="T856" s="26">
        <f ca="1">IFERROR(__xludf.DUMMYFUNCTION("ROUND(GOOGLEFINANCE(""Currency:EURKZT"")*L856+S856)"),3136439)</f>
        <v>3136439</v>
      </c>
      <c r="U856" s="26">
        <f ca="1">IFERROR(__xludf.DUMMYFUNCTION("D856*GOOGLEFINANCE(""RUBKZT"")*1000/F856"),3686696.33619888)</f>
        <v>3686696.3361988799</v>
      </c>
      <c r="V856" s="27">
        <f t="shared" ca="1" si="792"/>
        <v>0.1754401524145312</v>
      </c>
    </row>
    <row r="857" spans="1:22" ht="12.75" customHeight="1" x14ac:dyDescent="0.2">
      <c r="A857" s="6" t="s">
        <v>245</v>
      </c>
      <c r="B857" s="6" t="s">
        <v>32</v>
      </c>
      <c r="C857" s="7">
        <v>162122</v>
      </c>
      <c r="D857" s="8">
        <v>9844.7999999999993</v>
      </c>
      <c r="E857" s="9" t="s">
        <v>16</v>
      </c>
      <c r="F857" s="23">
        <v>20</v>
      </c>
      <c r="G857" s="25"/>
      <c r="H857" s="14">
        <f t="shared" si="786"/>
        <v>0.55000000000000004</v>
      </c>
      <c r="I857" s="25">
        <f ca="1">IFERROR(__xludf.DUMMYFUNCTION("ROUND(D857*GOOGLEFINANCE(""RUBKZT"")*H857)"),42253)</f>
        <v>42253</v>
      </c>
      <c r="J857" s="26">
        <f ca="1">IFERROR(__xludf.DUMMYFUNCTION("ROUND(I857*GOOGLEFINANCE(""KZTEUR""))"),88)</f>
        <v>88</v>
      </c>
      <c r="K857" s="26">
        <f t="shared" ca="1" si="787"/>
        <v>4400</v>
      </c>
      <c r="L857" s="26">
        <f t="shared" ca="1" si="788"/>
        <v>836</v>
      </c>
      <c r="M857" s="26">
        <f t="shared" ref="M857:N857" si="879">M$3</f>
        <v>500</v>
      </c>
      <c r="N857" s="26">
        <f t="shared" si="879"/>
        <v>500</v>
      </c>
      <c r="O857" s="26">
        <f ca="1">IFERROR(__xludf.DUMMYFUNCTION("ROUND(GOOGLEFINANCE(""Currency:EURKZT"")*K857)"),2101306)</f>
        <v>2101306</v>
      </c>
      <c r="P857" s="26">
        <f ca="1">IFERROR(__xludf.DUMMYFUNCTION("ROUND(GOOGLEFINANCE(""Currency:EURKZT"")*M857)"),238785)</f>
        <v>238785</v>
      </c>
      <c r="Q857" s="26">
        <f ca="1">IFERROR(__xludf.DUMMYFUNCTION("ROUND(GOOGLEFINANCE(""Currency:EURKZT"")*N857)"),238785)</f>
        <v>238785</v>
      </c>
      <c r="R857" s="26">
        <f t="shared" ca="1" si="790"/>
        <v>252157</v>
      </c>
      <c r="S857" s="26">
        <f t="shared" ca="1" si="791"/>
        <v>2831033</v>
      </c>
      <c r="T857" s="26">
        <f ca="1">IFERROR(__xludf.DUMMYFUNCTION("ROUND(GOOGLEFINANCE(""Currency:EURKZT"")*L857+S857)"),3230281)</f>
        <v>3230281</v>
      </c>
      <c r="U857" s="26">
        <f ca="1">IFERROR(__xludf.DUMMYFUNCTION("D857*GOOGLEFINANCE(""RUBKZT"")*1000/F857"),3841206.08866847)</f>
        <v>3841206.0886684698</v>
      </c>
      <c r="V857" s="27">
        <f t="shared" ca="1" si="792"/>
        <v>0.18912444108375395</v>
      </c>
    </row>
    <row r="858" spans="1:22" ht="12.75" customHeight="1" x14ac:dyDescent="0.2">
      <c r="A858" s="6" t="s">
        <v>246</v>
      </c>
      <c r="B858" s="6" t="s">
        <v>32</v>
      </c>
      <c r="C858" s="7">
        <v>162125</v>
      </c>
      <c r="D858" s="8">
        <v>10569.6</v>
      </c>
      <c r="E858" s="9" t="s">
        <v>16</v>
      </c>
      <c r="F858" s="23">
        <v>20</v>
      </c>
      <c r="G858" s="25"/>
      <c r="H858" s="14">
        <f t="shared" si="786"/>
        <v>0.55000000000000004</v>
      </c>
      <c r="I858" s="25">
        <f ca="1">IFERROR(__xludf.DUMMYFUNCTION("ROUND(D858*GOOGLEFINANCE(""RUBKZT"")*H858)"),45364)</f>
        <v>45364</v>
      </c>
      <c r="J858" s="26">
        <f ca="1">IFERROR(__xludf.DUMMYFUNCTION("ROUND(I858*GOOGLEFINANCE(""KZTEUR""))"),95)</f>
        <v>95</v>
      </c>
      <c r="K858" s="26">
        <f t="shared" ca="1" si="787"/>
        <v>4750</v>
      </c>
      <c r="L858" s="26">
        <f t="shared" ca="1" si="788"/>
        <v>902.5</v>
      </c>
      <c r="M858" s="26">
        <f t="shared" ref="M858:N858" si="880">M$3</f>
        <v>500</v>
      </c>
      <c r="N858" s="26">
        <f t="shared" si="880"/>
        <v>500</v>
      </c>
      <c r="O858" s="26">
        <f ca="1">IFERROR(__xludf.DUMMYFUNCTION("ROUND(GOOGLEFINANCE(""Currency:EURKZT"")*K858)"),2268456)</f>
        <v>2268456</v>
      </c>
      <c r="P858" s="26">
        <f ca="1">IFERROR(__xludf.DUMMYFUNCTION("ROUND(GOOGLEFINANCE(""Currency:EURKZT"")*M858)"),238785)</f>
        <v>238785</v>
      </c>
      <c r="Q858" s="26">
        <f ca="1">IFERROR(__xludf.DUMMYFUNCTION("ROUND(GOOGLEFINANCE(""Currency:EURKZT"")*N858)"),238785)</f>
        <v>238785</v>
      </c>
      <c r="R858" s="26">
        <f t="shared" ca="1" si="790"/>
        <v>272215</v>
      </c>
      <c r="S858" s="26">
        <f t="shared" ca="1" si="791"/>
        <v>3018241</v>
      </c>
      <c r="T858" s="26">
        <f ca="1">IFERROR(__xludf.DUMMYFUNCTION("ROUND(GOOGLEFINANCE(""Currency:EURKZT"")*L858+S858)"),3449248)</f>
        <v>3449248</v>
      </c>
      <c r="U858" s="26">
        <f ca="1">IFERROR(__xludf.DUMMYFUNCTION("D858*GOOGLEFINANCE(""RUBKZT"")*1000/F858"),4124005.75682496)</f>
        <v>4124005.75682496</v>
      </c>
      <c r="V858" s="27">
        <f t="shared" ca="1" si="792"/>
        <v>0.19562459899229048</v>
      </c>
    </row>
    <row r="859" spans="1:22" ht="12.75" customHeight="1" x14ac:dyDescent="0.2">
      <c r="A859" s="6" t="s">
        <v>247</v>
      </c>
      <c r="B859" s="6" t="s">
        <v>32</v>
      </c>
      <c r="C859" s="7">
        <v>162127</v>
      </c>
      <c r="D859" s="8">
        <v>10761.6</v>
      </c>
      <c r="E859" s="9" t="s">
        <v>16</v>
      </c>
      <c r="F859" s="23">
        <v>20</v>
      </c>
      <c r="G859" s="25"/>
      <c r="H859" s="14">
        <f t="shared" si="786"/>
        <v>0.55000000000000004</v>
      </c>
      <c r="I859" s="25">
        <f ca="1">IFERROR(__xludf.DUMMYFUNCTION("ROUND(D859*GOOGLEFINANCE(""RUBKZT"")*H859)"),46188)</f>
        <v>46188</v>
      </c>
      <c r="J859" s="26">
        <f ca="1">IFERROR(__xludf.DUMMYFUNCTION("ROUND(I859*GOOGLEFINANCE(""KZTEUR""))"),97)</f>
        <v>97</v>
      </c>
      <c r="K859" s="26">
        <f t="shared" ca="1" si="787"/>
        <v>4850</v>
      </c>
      <c r="L859" s="26">
        <f t="shared" ca="1" si="788"/>
        <v>921.5</v>
      </c>
      <c r="M859" s="26">
        <f t="shared" ref="M859:N859" si="881">M$3</f>
        <v>500</v>
      </c>
      <c r="N859" s="26">
        <f t="shared" si="881"/>
        <v>500</v>
      </c>
      <c r="O859" s="26">
        <f ca="1">IFERROR(__xludf.DUMMYFUNCTION("ROUND(GOOGLEFINANCE(""Currency:EURKZT"")*K859)"),2316213)</f>
        <v>2316213</v>
      </c>
      <c r="P859" s="26">
        <f ca="1">IFERROR(__xludf.DUMMYFUNCTION("ROUND(GOOGLEFINANCE(""Currency:EURKZT"")*M859)"),238785)</f>
        <v>238785</v>
      </c>
      <c r="Q859" s="26">
        <f ca="1">IFERROR(__xludf.DUMMYFUNCTION("ROUND(GOOGLEFINANCE(""Currency:EURKZT"")*N859)"),238785)</f>
        <v>238785</v>
      </c>
      <c r="R859" s="26">
        <f t="shared" ca="1" si="790"/>
        <v>277946</v>
      </c>
      <c r="S859" s="26">
        <f t="shared" ca="1" si="791"/>
        <v>3071729</v>
      </c>
      <c r="T859" s="26">
        <f ca="1">IFERROR(__xludf.DUMMYFUNCTION("ROUND(GOOGLEFINANCE(""Currency:EURKZT"")*L859+S859)"),3511809)</f>
        <v>3511809</v>
      </c>
      <c r="U859" s="26">
        <f ca="1">IFERROR(__xludf.DUMMYFUNCTION("D859*GOOGLEFINANCE(""RUBKZT"")*1000/F859"),4198919.57620416)</f>
        <v>4198919.5762041602</v>
      </c>
      <c r="V859" s="27">
        <f t="shared" ca="1" si="792"/>
        <v>0.19565716022829266</v>
      </c>
    </row>
    <row r="860" spans="1:22" ht="12.75" customHeight="1" x14ac:dyDescent="0.2">
      <c r="A860" s="6" t="s">
        <v>248</v>
      </c>
      <c r="B860" s="6" t="s">
        <v>32</v>
      </c>
      <c r="C860" s="7">
        <v>163278</v>
      </c>
      <c r="D860" s="8">
        <v>10069.199999999999</v>
      </c>
      <c r="E860" s="9" t="s">
        <v>16</v>
      </c>
      <c r="F860" s="23">
        <v>20</v>
      </c>
      <c r="G860" s="25"/>
      <c r="H860" s="14">
        <f t="shared" si="786"/>
        <v>0.55000000000000004</v>
      </c>
      <c r="I860" s="25">
        <f ca="1">IFERROR(__xludf.DUMMYFUNCTION("ROUND(D860*GOOGLEFINANCE(""RUBKZT"")*H860)"),43216)</f>
        <v>43216</v>
      </c>
      <c r="J860" s="26">
        <f ca="1">IFERROR(__xludf.DUMMYFUNCTION("ROUND(I860*GOOGLEFINANCE(""KZTEUR""))"),91)</f>
        <v>91</v>
      </c>
      <c r="K860" s="26">
        <f t="shared" ca="1" si="787"/>
        <v>4550</v>
      </c>
      <c r="L860" s="26">
        <f t="shared" ca="1" si="788"/>
        <v>864.5</v>
      </c>
      <c r="M860" s="26">
        <f t="shared" ref="M860:N860" si="882">M$3</f>
        <v>500</v>
      </c>
      <c r="N860" s="26">
        <f t="shared" si="882"/>
        <v>500</v>
      </c>
      <c r="O860" s="26">
        <f ca="1">IFERROR(__xludf.DUMMYFUNCTION("ROUND(GOOGLEFINANCE(""Currency:EURKZT"")*K860)"),2172942)</f>
        <v>2172942</v>
      </c>
      <c r="P860" s="26">
        <f ca="1">IFERROR(__xludf.DUMMYFUNCTION("ROUND(GOOGLEFINANCE(""Currency:EURKZT"")*M860)"),238785)</f>
        <v>238785</v>
      </c>
      <c r="Q860" s="26">
        <f ca="1">IFERROR(__xludf.DUMMYFUNCTION("ROUND(GOOGLEFINANCE(""Currency:EURKZT"")*N860)"),238785)</f>
        <v>238785</v>
      </c>
      <c r="R860" s="26">
        <f t="shared" ca="1" si="790"/>
        <v>260753</v>
      </c>
      <c r="S860" s="26">
        <f t="shared" ca="1" si="791"/>
        <v>2911265</v>
      </c>
      <c r="T860" s="26">
        <f ca="1">IFERROR(__xludf.DUMMYFUNCTION("ROUND(GOOGLEFINANCE(""Currency:EURKZT"")*L860+S860)"),3324124)</f>
        <v>3324124</v>
      </c>
      <c r="U860" s="26">
        <f ca="1">IFERROR(__xludf.DUMMYFUNCTION("D860*GOOGLEFINANCE(""RUBKZT"")*1000/F860"),3928761.61506792)</f>
        <v>3928761.6150679202</v>
      </c>
      <c r="V860" s="27">
        <f t="shared" ca="1" si="792"/>
        <v>0.18189382076839497</v>
      </c>
    </row>
    <row r="861" spans="1:22" ht="12.75" customHeight="1" x14ac:dyDescent="0.2">
      <c r="A861" s="6" t="s">
        <v>249</v>
      </c>
      <c r="B861" s="6" t="s">
        <v>32</v>
      </c>
      <c r="C861" s="7">
        <v>163821</v>
      </c>
      <c r="D861" s="8">
        <v>13182</v>
      </c>
      <c r="E861" s="9" t="s">
        <v>16</v>
      </c>
      <c r="F861" s="23">
        <v>20</v>
      </c>
      <c r="G861" s="25"/>
      <c r="H861" s="14">
        <f t="shared" si="786"/>
        <v>0.55000000000000004</v>
      </c>
      <c r="I861" s="25">
        <f ca="1">IFERROR(__xludf.DUMMYFUNCTION("ROUND(D861*GOOGLEFINANCE(""RUBKZT"")*H861)"),56576)</f>
        <v>56576</v>
      </c>
      <c r="J861" s="26">
        <f ca="1">IFERROR(__xludf.DUMMYFUNCTION("ROUND(I861*GOOGLEFINANCE(""KZTEUR""))"),118)</f>
        <v>118</v>
      </c>
      <c r="K861" s="26">
        <f t="shared" ca="1" si="787"/>
        <v>5900</v>
      </c>
      <c r="L861" s="26">
        <f t="shared" ca="1" si="788"/>
        <v>1121</v>
      </c>
      <c r="M861" s="26">
        <f t="shared" ref="M861:N861" si="883">M$3</f>
        <v>500</v>
      </c>
      <c r="N861" s="26">
        <f t="shared" si="883"/>
        <v>500</v>
      </c>
      <c r="O861" s="26">
        <f ca="1">IFERROR(__xludf.DUMMYFUNCTION("ROUND(GOOGLEFINANCE(""Currency:EURKZT"")*K861)"),2817661)</f>
        <v>2817661</v>
      </c>
      <c r="P861" s="26">
        <f ca="1">IFERROR(__xludf.DUMMYFUNCTION("ROUND(GOOGLEFINANCE(""Currency:EURKZT"")*M861)"),238785)</f>
        <v>238785</v>
      </c>
      <c r="Q861" s="26">
        <f ca="1">IFERROR(__xludf.DUMMYFUNCTION("ROUND(GOOGLEFINANCE(""Currency:EURKZT"")*N861)"),238785)</f>
        <v>238785</v>
      </c>
      <c r="R861" s="26">
        <f t="shared" ca="1" si="790"/>
        <v>338119</v>
      </c>
      <c r="S861" s="26">
        <f t="shared" ca="1" si="791"/>
        <v>3633350</v>
      </c>
      <c r="T861" s="26">
        <f ca="1">IFERROR(__xludf.DUMMYFUNCTION("ROUND(GOOGLEFINANCE(""Currency:EURKZT"")*L861+S861)"),4168706)</f>
        <v>4168706</v>
      </c>
      <c r="U861" s="26">
        <f ca="1">IFERROR(__xludf.DUMMYFUNCTION("D861*GOOGLEFINANCE(""RUBKZT"")*1000/F861"),5143301.9117532)</f>
        <v>5143301.9117532</v>
      </c>
      <c r="V861" s="27">
        <f t="shared" ca="1" si="792"/>
        <v>0.23378859333164775</v>
      </c>
    </row>
    <row r="862" spans="1:22" ht="12.75" customHeight="1" x14ac:dyDescent="0.2">
      <c r="A862" s="6" t="s">
        <v>204</v>
      </c>
      <c r="B862" s="6" t="s">
        <v>32</v>
      </c>
      <c r="C862" s="7">
        <v>164501</v>
      </c>
      <c r="D862" s="8">
        <v>14320.8</v>
      </c>
      <c r="E862" s="9" t="s">
        <v>16</v>
      </c>
      <c r="F862" s="23">
        <v>20</v>
      </c>
      <c r="G862" s="25"/>
      <c r="H862" s="14">
        <f t="shared" si="786"/>
        <v>0.55000000000000004</v>
      </c>
      <c r="I862" s="25">
        <f ca="1">IFERROR(__xludf.DUMMYFUNCTION("ROUND(D862*GOOGLEFINANCE(""RUBKZT"")*H862)"),61464)</f>
        <v>61464</v>
      </c>
      <c r="J862" s="26">
        <f ca="1">IFERROR(__xludf.DUMMYFUNCTION("ROUND(I862*GOOGLEFINANCE(""KZTEUR""))"),129)</f>
        <v>129</v>
      </c>
      <c r="K862" s="26">
        <f t="shared" ca="1" si="787"/>
        <v>6450</v>
      </c>
      <c r="L862" s="26">
        <f t="shared" ca="1" si="788"/>
        <v>1225.5</v>
      </c>
      <c r="M862" s="26">
        <f t="shared" ref="M862:N862" si="884">M$3</f>
        <v>500</v>
      </c>
      <c r="N862" s="26">
        <f t="shared" si="884"/>
        <v>500</v>
      </c>
      <c r="O862" s="26">
        <f ca="1">IFERROR(__xludf.DUMMYFUNCTION("ROUND(GOOGLEFINANCE(""Currency:EURKZT"")*K862)"),3080324)</f>
        <v>3080324</v>
      </c>
      <c r="P862" s="26">
        <f ca="1">IFERROR(__xludf.DUMMYFUNCTION("ROUND(GOOGLEFINANCE(""Currency:EURKZT"")*M862)"),238785)</f>
        <v>238785</v>
      </c>
      <c r="Q862" s="26">
        <f ca="1">IFERROR(__xludf.DUMMYFUNCTION("ROUND(GOOGLEFINANCE(""Currency:EURKZT"")*N862)"),238785)</f>
        <v>238785</v>
      </c>
      <c r="R862" s="26">
        <f t="shared" ca="1" si="790"/>
        <v>369639</v>
      </c>
      <c r="S862" s="26">
        <f t="shared" ca="1" si="791"/>
        <v>3927533</v>
      </c>
      <c r="T862" s="26">
        <f ca="1">IFERROR(__xludf.DUMMYFUNCTION("ROUND(GOOGLEFINANCE(""Currency:EURKZT"")*L862+S862)"),4512795)</f>
        <v>4512795</v>
      </c>
      <c r="U862" s="26">
        <f ca="1">IFERROR(__xludf.DUMMYFUNCTION("D862*GOOGLEFINANCE(""RUBKZT"")*1000/F862"),5587634.50294608)</f>
        <v>5587634.5029460797</v>
      </c>
      <c r="V862" s="27">
        <f t="shared" ca="1" si="792"/>
        <v>0.23817600909105768</v>
      </c>
    </row>
    <row r="863" spans="1:22" ht="12.75" customHeight="1" x14ac:dyDescent="0.2">
      <c r="A863" s="6" t="s">
        <v>251</v>
      </c>
      <c r="B863" s="6" t="s">
        <v>32</v>
      </c>
      <c r="C863" s="7">
        <v>164571</v>
      </c>
      <c r="D863" s="8">
        <v>10621.199999999999</v>
      </c>
      <c r="E863" s="9" t="s">
        <v>16</v>
      </c>
      <c r="F863" s="23">
        <v>20</v>
      </c>
      <c r="G863" s="25"/>
      <c r="H863" s="14">
        <f t="shared" si="786"/>
        <v>0.55000000000000004</v>
      </c>
      <c r="I863" s="25">
        <f ca="1">IFERROR(__xludf.DUMMYFUNCTION("ROUND(D863*GOOGLEFINANCE(""RUBKZT"")*H863)"),45586)</f>
        <v>45586</v>
      </c>
      <c r="J863" s="26">
        <f ca="1">IFERROR(__xludf.DUMMYFUNCTION("ROUND(I863*GOOGLEFINANCE(""KZTEUR""))"),95)</f>
        <v>95</v>
      </c>
      <c r="K863" s="26">
        <f t="shared" ca="1" si="787"/>
        <v>4750</v>
      </c>
      <c r="L863" s="26">
        <f t="shared" ca="1" si="788"/>
        <v>902.5</v>
      </c>
      <c r="M863" s="26">
        <f t="shared" ref="M863:N863" si="885">M$3</f>
        <v>500</v>
      </c>
      <c r="N863" s="26">
        <f t="shared" si="885"/>
        <v>500</v>
      </c>
      <c r="O863" s="26">
        <f ca="1">IFERROR(__xludf.DUMMYFUNCTION("ROUND(GOOGLEFINANCE(""Currency:EURKZT"")*K863)"),2268456)</f>
        <v>2268456</v>
      </c>
      <c r="P863" s="26">
        <f ca="1">IFERROR(__xludf.DUMMYFUNCTION("ROUND(GOOGLEFINANCE(""Currency:EURKZT"")*M863)"),238785)</f>
        <v>238785</v>
      </c>
      <c r="Q863" s="26">
        <f ca="1">IFERROR(__xludf.DUMMYFUNCTION("ROUND(GOOGLEFINANCE(""Currency:EURKZT"")*N863)"),238785)</f>
        <v>238785</v>
      </c>
      <c r="R863" s="26">
        <f t="shared" ca="1" si="790"/>
        <v>272215</v>
      </c>
      <c r="S863" s="26">
        <f t="shared" ca="1" si="791"/>
        <v>3018241</v>
      </c>
      <c r="T863" s="26">
        <f ca="1">IFERROR(__xludf.DUMMYFUNCTION("ROUND(GOOGLEFINANCE(""Currency:EURKZT"")*L863+S863)"),3449248)</f>
        <v>3449248</v>
      </c>
      <c r="U863" s="26">
        <f ca="1">IFERROR(__xludf.DUMMYFUNCTION("D863*GOOGLEFINANCE(""RUBKZT"")*1000/F863"),4144138.84578311)</f>
        <v>4144138.8457831098</v>
      </c>
      <c r="V863" s="27">
        <f t="shared" ca="1" si="792"/>
        <v>0.20146154923714091</v>
      </c>
    </row>
    <row r="864" spans="1:22" ht="12.75" customHeight="1" x14ac:dyDescent="0.2">
      <c r="A864" s="6" t="s">
        <v>253</v>
      </c>
      <c r="B864" s="6" t="s">
        <v>32</v>
      </c>
      <c r="C864" s="7">
        <v>164608</v>
      </c>
      <c r="D864" s="8">
        <v>8598</v>
      </c>
      <c r="E864" s="9" t="s">
        <v>16</v>
      </c>
      <c r="F864" s="23">
        <v>20</v>
      </c>
      <c r="G864" s="25"/>
      <c r="H864" s="14">
        <f t="shared" si="786"/>
        <v>0.55000000000000004</v>
      </c>
      <c r="I864" s="25">
        <f ca="1">IFERROR(__xludf.DUMMYFUNCTION("ROUND(D864*GOOGLEFINANCE(""RUBKZT"")*H864)"),36902)</f>
        <v>36902</v>
      </c>
      <c r="J864" s="26">
        <f ca="1">IFERROR(__xludf.DUMMYFUNCTION("ROUND(I864*GOOGLEFINANCE(""KZTEUR""))"),77)</f>
        <v>77</v>
      </c>
      <c r="K864" s="26">
        <f t="shared" ca="1" si="787"/>
        <v>3850</v>
      </c>
      <c r="L864" s="26">
        <f t="shared" ca="1" si="788"/>
        <v>731.5</v>
      </c>
      <c r="M864" s="26">
        <f t="shared" ref="M864:N864" si="886">M$3</f>
        <v>500</v>
      </c>
      <c r="N864" s="26">
        <f t="shared" si="886"/>
        <v>500</v>
      </c>
      <c r="O864" s="26">
        <f ca="1">IFERROR(__xludf.DUMMYFUNCTION("ROUND(GOOGLEFINANCE(""Currency:EURKZT"")*K864)"),1838643)</f>
        <v>1838643</v>
      </c>
      <c r="P864" s="26">
        <f ca="1">IFERROR(__xludf.DUMMYFUNCTION("ROUND(GOOGLEFINANCE(""Currency:EURKZT"")*M864)"),238785)</f>
        <v>238785</v>
      </c>
      <c r="Q864" s="26">
        <f ca="1">IFERROR(__xludf.DUMMYFUNCTION("ROUND(GOOGLEFINANCE(""Currency:EURKZT"")*N864)"),238785)</f>
        <v>238785</v>
      </c>
      <c r="R864" s="26">
        <f t="shared" ca="1" si="790"/>
        <v>220637</v>
      </c>
      <c r="S864" s="26">
        <f t="shared" ca="1" si="791"/>
        <v>2536850</v>
      </c>
      <c r="T864" s="26">
        <f ca="1">IFERROR(__xludf.DUMMYFUNCTION("ROUND(GOOGLEFINANCE(""Currency:EURKZT"")*L864+S864)"),2886192)</f>
        <v>2886192</v>
      </c>
      <c r="U864" s="26">
        <f ca="1">IFERROR(__xludf.DUMMYFUNCTION("D864*GOOGLEFINANCE(""RUBKZT"")*1000/F864"),3354734.4740748)</f>
        <v>3354734.4740748</v>
      </c>
      <c r="V864" s="27">
        <f t="shared" ca="1" si="792"/>
        <v>0.16233932949533503</v>
      </c>
    </row>
    <row r="865" spans="1:22" ht="12.75" customHeight="1" x14ac:dyDescent="0.2">
      <c r="A865" s="6" t="s">
        <v>250</v>
      </c>
      <c r="B865" s="6" t="s">
        <v>32</v>
      </c>
      <c r="C865" s="7">
        <v>164790</v>
      </c>
      <c r="D865" s="8">
        <v>16148.4</v>
      </c>
      <c r="E865" s="9" t="s">
        <v>16</v>
      </c>
      <c r="F865" s="23">
        <v>20</v>
      </c>
      <c r="G865" s="25"/>
      <c r="H865" s="14">
        <f t="shared" si="786"/>
        <v>0.55000000000000004</v>
      </c>
      <c r="I865" s="25">
        <f ca="1">IFERROR(__xludf.DUMMYFUNCTION("ROUND(D865*GOOGLEFINANCE(""RUBKZT"")*H865)"),69308)</f>
        <v>69308</v>
      </c>
      <c r="J865" s="26">
        <f ca="1">IFERROR(__xludf.DUMMYFUNCTION("ROUND(I865*GOOGLEFINANCE(""KZTEUR""))"),145)</f>
        <v>145</v>
      </c>
      <c r="K865" s="26">
        <f t="shared" ca="1" si="787"/>
        <v>7250</v>
      </c>
      <c r="L865" s="26">
        <f t="shared" ca="1" si="788"/>
        <v>1377.5</v>
      </c>
      <c r="M865" s="26">
        <f t="shared" ref="M865:N865" si="887">M$3</f>
        <v>500</v>
      </c>
      <c r="N865" s="26">
        <f t="shared" si="887"/>
        <v>500</v>
      </c>
      <c r="O865" s="26">
        <f ca="1">IFERROR(__xludf.DUMMYFUNCTION("ROUND(GOOGLEFINANCE(""Currency:EURKZT"")*K865)"),3462380)</f>
        <v>3462380</v>
      </c>
      <c r="P865" s="26">
        <f ca="1">IFERROR(__xludf.DUMMYFUNCTION("ROUND(GOOGLEFINANCE(""Currency:EURKZT"")*M865)"),238785)</f>
        <v>238785</v>
      </c>
      <c r="Q865" s="26">
        <f ca="1">IFERROR(__xludf.DUMMYFUNCTION("ROUND(GOOGLEFINANCE(""Currency:EURKZT"")*N865)"),238785)</f>
        <v>238785</v>
      </c>
      <c r="R865" s="26">
        <f t="shared" ca="1" si="790"/>
        <v>415486</v>
      </c>
      <c r="S865" s="26">
        <f t="shared" ca="1" si="791"/>
        <v>4355436</v>
      </c>
      <c r="T865" s="26">
        <f ca="1">IFERROR(__xludf.DUMMYFUNCTION("ROUND(GOOGLEFINANCE(""Currency:EURKZT"")*L865+S865)"),5013288)</f>
        <v>5013288</v>
      </c>
      <c r="U865" s="26">
        <f ca="1">IFERROR(__xludf.DUMMYFUNCTION("D865*GOOGLEFINANCE(""RUBKZT"")*1000/F865"),6300720.42116184)</f>
        <v>6300720.4211618397</v>
      </c>
      <c r="V865" s="27">
        <f t="shared" ca="1" si="792"/>
        <v>0.25680400191687364</v>
      </c>
    </row>
    <row r="866" spans="1:22" ht="12.75" customHeight="1" x14ac:dyDescent="0.2">
      <c r="A866" s="6" t="s">
        <v>255</v>
      </c>
      <c r="B866" s="6" t="s">
        <v>32</v>
      </c>
      <c r="C866" s="7">
        <v>164842</v>
      </c>
      <c r="D866" s="8">
        <v>14607.6</v>
      </c>
      <c r="E866" s="9" t="s">
        <v>16</v>
      </c>
      <c r="F866" s="23">
        <v>20</v>
      </c>
      <c r="G866" s="25"/>
      <c r="H866" s="14">
        <f t="shared" si="786"/>
        <v>0.55000000000000004</v>
      </c>
      <c r="I866" s="25">
        <f ca="1">IFERROR(__xludf.DUMMYFUNCTION("ROUND(D866*GOOGLEFINANCE(""RUBKZT"")*H866)"),62695)</f>
        <v>62695</v>
      </c>
      <c r="J866" s="26">
        <f ca="1">IFERROR(__xludf.DUMMYFUNCTION("ROUND(I866*GOOGLEFINANCE(""KZTEUR""))"),131)</f>
        <v>131</v>
      </c>
      <c r="K866" s="26">
        <f t="shared" ca="1" si="787"/>
        <v>6550</v>
      </c>
      <c r="L866" s="26">
        <f t="shared" ca="1" si="788"/>
        <v>1244.5</v>
      </c>
      <c r="M866" s="26">
        <f t="shared" ref="M866:N866" si="888">M$3</f>
        <v>500</v>
      </c>
      <c r="N866" s="26">
        <f t="shared" si="888"/>
        <v>500</v>
      </c>
      <c r="O866" s="26">
        <f ca="1">IFERROR(__xludf.DUMMYFUNCTION("ROUND(GOOGLEFINANCE(""Currency:EURKZT"")*K866)"),3128081)</f>
        <v>3128081</v>
      </c>
      <c r="P866" s="26">
        <f ca="1">IFERROR(__xludf.DUMMYFUNCTION("ROUND(GOOGLEFINANCE(""Currency:EURKZT"")*M866)"),238785)</f>
        <v>238785</v>
      </c>
      <c r="Q866" s="26">
        <f ca="1">IFERROR(__xludf.DUMMYFUNCTION("ROUND(GOOGLEFINANCE(""Currency:EURKZT"")*N866)"),238785)</f>
        <v>238785</v>
      </c>
      <c r="R866" s="26">
        <f t="shared" ca="1" si="790"/>
        <v>375370</v>
      </c>
      <c r="S866" s="26">
        <f t="shared" ca="1" si="791"/>
        <v>3981021</v>
      </c>
      <c r="T866" s="26">
        <f ca="1">IFERROR(__xludf.DUMMYFUNCTION("ROUND(GOOGLEFINANCE(""Currency:EURKZT"")*L866+S866)"),4575356)</f>
        <v>4575356</v>
      </c>
      <c r="U866" s="26">
        <f ca="1">IFERROR(__xludf.DUMMYFUNCTION("D866*GOOGLEFINANCE(""RUBKZT"")*1000/F866"),5699537.02064376)</f>
        <v>5699537.0206437605</v>
      </c>
      <c r="V866" s="27">
        <f t="shared" ca="1" si="792"/>
        <v>0.24570350823930651</v>
      </c>
    </row>
    <row r="867" spans="1:22" ht="12.75" customHeight="1" x14ac:dyDescent="0.2">
      <c r="A867" s="6" t="s">
        <v>257</v>
      </c>
      <c r="B867" s="6" t="s">
        <v>32</v>
      </c>
      <c r="C867" s="7">
        <v>166130</v>
      </c>
      <c r="D867" s="8">
        <v>19700.399999999998</v>
      </c>
      <c r="E867" s="9" t="s">
        <v>16</v>
      </c>
      <c r="F867" s="23">
        <v>20</v>
      </c>
      <c r="G867" s="25"/>
      <c r="H867" s="14">
        <f t="shared" si="786"/>
        <v>0.55000000000000004</v>
      </c>
      <c r="I867" s="25">
        <f ca="1">IFERROR(__xludf.DUMMYFUNCTION("ROUND(D867*GOOGLEFINANCE(""RUBKZT"")*H867)"),84553)</f>
        <v>84553</v>
      </c>
      <c r="J867" s="26">
        <f ca="1">IFERROR(__xludf.DUMMYFUNCTION("ROUND(I867*GOOGLEFINANCE(""KZTEUR""))"),177)</f>
        <v>177</v>
      </c>
      <c r="K867" s="26">
        <f t="shared" ca="1" si="787"/>
        <v>8850</v>
      </c>
      <c r="L867" s="26">
        <f t="shared" ca="1" si="788"/>
        <v>1681.5</v>
      </c>
      <c r="M867" s="26">
        <f t="shared" ref="M867:N867" si="889">M$3</f>
        <v>500</v>
      </c>
      <c r="N867" s="26">
        <f t="shared" si="889"/>
        <v>500</v>
      </c>
      <c r="O867" s="26">
        <f ca="1">IFERROR(__xludf.DUMMYFUNCTION("ROUND(GOOGLEFINANCE(""Currency:EURKZT"")*K867)"),4226491)</f>
        <v>4226491</v>
      </c>
      <c r="P867" s="26">
        <f ca="1">IFERROR(__xludf.DUMMYFUNCTION("ROUND(GOOGLEFINANCE(""Currency:EURKZT"")*M867)"),238785)</f>
        <v>238785</v>
      </c>
      <c r="Q867" s="26">
        <f ca="1">IFERROR(__xludf.DUMMYFUNCTION("ROUND(GOOGLEFINANCE(""Currency:EURKZT"")*N867)"),238785)</f>
        <v>238785</v>
      </c>
      <c r="R867" s="26">
        <f t="shared" ca="1" si="790"/>
        <v>507179</v>
      </c>
      <c r="S867" s="26">
        <f t="shared" ca="1" si="791"/>
        <v>5211240</v>
      </c>
      <c r="T867" s="26">
        <f ca="1">IFERROR(__xludf.DUMMYFUNCTION("ROUND(GOOGLEFINANCE(""Currency:EURKZT"")*L867+S867)"),6014273)</f>
        <v>6014273</v>
      </c>
      <c r="U867" s="26">
        <f ca="1">IFERROR(__xludf.DUMMYFUNCTION("D867*GOOGLEFINANCE(""RUBKZT"")*1000/F867"),7686626.07967704)</f>
        <v>7686626.0796770398</v>
      </c>
      <c r="V867" s="27">
        <f t="shared" ca="1" si="792"/>
        <v>0.27806404525984102</v>
      </c>
    </row>
    <row r="868" spans="1:22" ht="12.75" customHeight="1" x14ac:dyDescent="0.2">
      <c r="A868" s="6" t="s">
        <v>212</v>
      </c>
      <c r="B868" s="6" t="s">
        <v>32</v>
      </c>
      <c r="C868" s="7">
        <v>166181</v>
      </c>
      <c r="D868" s="8">
        <v>11910</v>
      </c>
      <c r="E868" s="9" t="s">
        <v>16</v>
      </c>
      <c r="F868" s="23">
        <v>20</v>
      </c>
      <c r="G868" s="25"/>
      <c r="H868" s="14">
        <f t="shared" si="786"/>
        <v>0.55000000000000004</v>
      </c>
      <c r="I868" s="25">
        <f ca="1">IFERROR(__xludf.DUMMYFUNCTION("ROUND(D868*GOOGLEFINANCE(""RUBKZT"")*H868)"),51117)</f>
        <v>51117</v>
      </c>
      <c r="J868" s="26">
        <f ca="1">IFERROR(__xludf.DUMMYFUNCTION("ROUND(I868*GOOGLEFINANCE(""KZTEUR""))"),107)</f>
        <v>107</v>
      </c>
      <c r="K868" s="26">
        <f t="shared" ca="1" si="787"/>
        <v>5350</v>
      </c>
      <c r="L868" s="26">
        <f t="shared" ca="1" si="788"/>
        <v>1016.5</v>
      </c>
      <c r="M868" s="26">
        <f t="shared" ref="M868:N868" si="890">M$3</f>
        <v>500</v>
      </c>
      <c r="N868" s="26">
        <f t="shared" si="890"/>
        <v>500</v>
      </c>
      <c r="O868" s="26">
        <f ca="1">IFERROR(__xludf.DUMMYFUNCTION("ROUND(GOOGLEFINANCE(""Currency:EURKZT"")*K868)"),2554997)</f>
        <v>2554997</v>
      </c>
      <c r="P868" s="26">
        <f ca="1">IFERROR(__xludf.DUMMYFUNCTION("ROUND(GOOGLEFINANCE(""Currency:EURKZT"")*M868)"),238785)</f>
        <v>238785</v>
      </c>
      <c r="Q868" s="26">
        <f ca="1">IFERROR(__xludf.DUMMYFUNCTION("ROUND(GOOGLEFINANCE(""Currency:EURKZT"")*N868)"),238785)</f>
        <v>238785</v>
      </c>
      <c r="R868" s="26">
        <f t="shared" ca="1" si="790"/>
        <v>306600</v>
      </c>
      <c r="S868" s="26">
        <f t="shared" ca="1" si="791"/>
        <v>3339167</v>
      </c>
      <c r="T868" s="26">
        <f ca="1">IFERROR(__xludf.DUMMYFUNCTION("ROUND(GOOGLEFINANCE(""Currency:EURKZT"")*L868+S868)"),3824617)</f>
        <v>3824617</v>
      </c>
      <c r="U868" s="26">
        <f ca="1">IFERROR(__xludf.DUMMYFUNCTION("D868*GOOGLEFINANCE(""RUBKZT"")*1000/F868"),4646997.858366)</f>
        <v>4646997.8583659995</v>
      </c>
      <c r="V868" s="27">
        <f t="shared" ca="1" si="792"/>
        <v>0.21502306201274521</v>
      </c>
    </row>
    <row r="869" spans="1:22" ht="12.75" customHeight="1" x14ac:dyDescent="0.2">
      <c r="A869" s="6" t="s">
        <v>264</v>
      </c>
      <c r="B869" s="6" t="s">
        <v>32</v>
      </c>
      <c r="C869" s="7">
        <v>168819</v>
      </c>
      <c r="D869" s="8">
        <v>10276.799999999999</v>
      </c>
      <c r="E869" s="9" t="s">
        <v>16</v>
      </c>
      <c r="F869" s="23">
        <v>20</v>
      </c>
      <c r="G869" s="25"/>
      <c r="H869" s="14">
        <f t="shared" si="786"/>
        <v>0.55000000000000004</v>
      </c>
      <c r="I869" s="25">
        <f ca="1">IFERROR(__xludf.DUMMYFUNCTION("ROUND(D869*GOOGLEFINANCE(""RUBKZT"")*H869)"),44107)</f>
        <v>44107</v>
      </c>
      <c r="J869" s="26">
        <f ca="1">IFERROR(__xludf.DUMMYFUNCTION("ROUND(I869*GOOGLEFINANCE(""KZTEUR""))"),92)</f>
        <v>92</v>
      </c>
      <c r="K869" s="26">
        <f t="shared" ca="1" si="787"/>
        <v>4600</v>
      </c>
      <c r="L869" s="26">
        <f t="shared" ca="1" si="788"/>
        <v>874</v>
      </c>
      <c r="M869" s="26">
        <f t="shared" ref="M869:N869" si="891">M$3</f>
        <v>500</v>
      </c>
      <c r="N869" s="26">
        <f t="shared" si="891"/>
        <v>500</v>
      </c>
      <c r="O869" s="26">
        <f ca="1">IFERROR(__xludf.DUMMYFUNCTION("ROUND(GOOGLEFINANCE(""Currency:EURKZT"")*K869)"),2196820)</f>
        <v>2196820</v>
      </c>
      <c r="P869" s="26">
        <f ca="1">IFERROR(__xludf.DUMMYFUNCTION("ROUND(GOOGLEFINANCE(""Currency:EURKZT"")*M869)"),238785)</f>
        <v>238785</v>
      </c>
      <c r="Q869" s="26">
        <f ca="1">IFERROR(__xludf.DUMMYFUNCTION("ROUND(GOOGLEFINANCE(""Currency:EURKZT"")*N869)"),238785)</f>
        <v>238785</v>
      </c>
      <c r="R869" s="26">
        <f t="shared" ca="1" si="790"/>
        <v>263618</v>
      </c>
      <c r="S869" s="26">
        <f t="shared" ca="1" si="791"/>
        <v>2938008</v>
      </c>
      <c r="T869" s="26">
        <f ca="1">IFERROR(__xludf.DUMMYFUNCTION("ROUND(GOOGLEFINANCE(""Currency:EURKZT"")*L869+S869)"),3355404)</f>
        <v>3355404</v>
      </c>
      <c r="U869" s="26">
        <f ca="1">IFERROR(__xludf.DUMMYFUNCTION("D869*GOOGLEFINANCE(""RUBKZT"")*1000/F869"),4009762.18227168)</f>
        <v>4009762.1822716799</v>
      </c>
      <c r="V869" s="27">
        <f t="shared" ca="1" si="792"/>
        <v>0.19501621332980465</v>
      </c>
    </row>
    <row r="870" spans="1:22" ht="12.75" customHeight="1" x14ac:dyDescent="0.2">
      <c r="A870" s="6" t="s">
        <v>217</v>
      </c>
      <c r="B870" s="6" t="s">
        <v>32</v>
      </c>
      <c r="C870" s="7">
        <v>169898</v>
      </c>
      <c r="D870" s="8">
        <v>12468</v>
      </c>
      <c r="E870" s="9" t="s">
        <v>16</v>
      </c>
      <c r="F870" s="23">
        <v>20</v>
      </c>
      <c r="G870" s="25"/>
      <c r="H870" s="14">
        <f t="shared" si="786"/>
        <v>0.55000000000000004</v>
      </c>
      <c r="I870" s="25">
        <f ca="1">IFERROR(__xludf.DUMMYFUNCTION("ROUND(D870*GOOGLEFINANCE(""RUBKZT"")*H870)"),53512)</f>
        <v>53512</v>
      </c>
      <c r="J870" s="26">
        <f ca="1">IFERROR(__xludf.DUMMYFUNCTION("ROUND(I870*GOOGLEFINANCE(""KZTEUR""))"),112)</f>
        <v>112</v>
      </c>
      <c r="K870" s="26">
        <f t="shared" ca="1" si="787"/>
        <v>5600</v>
      </c>
      <c r="L870" s="26">
        <f t="shared" ca="1" si="788"/>
        <v>1064</v>
      </c>
      <c r="M870" s="26">
        <f t="shared" ref="M870:N870" si="892">M$3</f>
        <v>500</v>
      </c>
      <c r="N870" s="26">
        <f t="shared" si="892"/>
        <v>500</v>
      </c>
      <c r="O870" s="26">
        <f ca="1">IFERROR(__xludf.DUMMYFUNCTION("ROUND(GOOGLEFINANCE(""Currency:EURKZT"")*K870)"),2674390)</f>
        <v>2674390</v>
      </c>
      <c r="P870" s="26">
        <f ca="1">IFERROR(__xludf.DUMMYFUNCTION("ROUND(GOOGLEFINANCE(""Currency:EURKZT"")*M870)"),238785)</f>
        <v>238785</v>
      </c>
      <c r="Q870" s="26">
        <f ca="1">IFERROR(__xludf.DUMMYFUNCTION("ROUND(GOOGLEFINANCE(""Currency:EURKZT"")*N870)"),238785)</f>
        <v>238785</v>
      </c>
      <c r="R870" s="26">
        <f t="shared" ca="1" si="790"/>
        <v>320927</v>
      </c>
      <c r="S870" s="26">
        <f t="shared" ca="1" si="791"/>
        <v>3472887</v>
      </c>
      <c r="T870" s="26">
        <f ca="1">IFERROR(__xludf.DUMMYFUNCTION("ROUND(GOOGLEFINANCE(""Currency:EURKZT"")*L870+S870)"),3981021)</f>
        <v>3981021</v>
      </c>
      <c r="U870" s="26">
        <f ca="1">IFERROR(__xludf.DUMMYFUNCTION("D870*GOOGLEFINANCE(""RUBKZT"")*1000/F870"),4864716.1459368)</f>
        <v>4864716.1459368002</v>
      </c>
      <c r="V870" s="27">
        <f t="shared" ca="1" si="792"/>
        <v>0.22197701191146699</v>
      </c>
    </row>
    <row r="871" spans="1:22" ht="12.75" customHeight="1" x14ac:dyDescent="0.2">
      <c r="A871" s="6" t="s">
        <v>265</v>
      </c>
      <c r="B871" s="6" t="s">
        <v>32</v>
      </c>
      <c r="C871" s="7">
        <v>170296</v>
      </c>
      <c r="D871" s="8">
        <v>9067.1999999999989</v>
      </c>
      <c r="E871" s="9" t="s">
        <v>16</v>
      </c>
      <c r="F871" s="23">
        <v>20</v>
      </c>
      <c r="G871" s="25"/>
      <c r="H871" s="14">
        <f t="shared" si="786"/>
        <v>0.55000000000000004</v>
      </c>
      <c r="I871" s="25">
        <f ca="1">IFERROR(__xludf.DUMMYFUNCTION("ROUND(D871*GOOGLEFINANCE(""RUBKZT"")*H871)"),38916)</f>
        <v>38916</v>
      </c>
      <c r="J871" s="26">
        <f ca="1">IFERROR(__xludf.DUMMYFUNCTION("ROUND(I871*GOOGLEFINANCE(""KZTEUR""))"),82)</f>
        <v>82</v>
      </c>
      <c r="K871" s="26">
        <f t="shared" ca="1" si="787"/>
        <v>4100</v>
      </c>
      <c r="L871" s="26">
        <f t="shared" ca="1" si="788"/>
        <v>779</v>
      </c>
      <c r="M871" s="26">
        <f t="shared" ref="M871:N871" si="893">M$3</f>
        <v>500</v>
      </c>
      <c r="N871" s="26">
        <f t="shared" si="893"/>
        <v>500</v>
      </c>
      <c r="O871" s="26">
        <f ca="1">IFERROR(__xludf.DUMMYFUNCTION("ROUND(GOOGLEFINANCE(""Currency:EURKZT"")*K871)"),1958035)</f>
        <v>1958035</v>
      </c>
      <c r="P871" s="26">
        <f ca="1">IFERROR(__xludf.DUMMYFUNCTION("ROUND(GOOGLEFINANCE(""Currency:EURKZT"")*M871)"),238785)</f>
        <v>238785</v>
      </c>
      <c r="Q871" s="26">
        <f ca="1">IFERROR(__xludf.DUMMYFUNCTION("ROUND(GOOGLEFINANCE(""Currency:EURKZT"")*N871)"),238785)</f>
        <v>238785</v>
      </c>
      <c r="R871" s="26">
        <f t="shared" ca="1" si="790"/>
        <v>234964</v>
      </c>
      <c r="S871" s="26">
        <f t="shared" ca="1" si="791"/>
        <v>2670569</v>
      </c>
      <c r="T871" s="26">
        <f ca="1">IFERROR(__xludf.DUMMYFUNCTION("ROUND(GOOGLEFINANCE(""Currency:EURKZT"")*L871+S871)"),3042596)</f>
        <v>3042596</v>
      </c>
      <c r="U871" s="26">
        <f ca="1">IFERROR(__xludf.DUMMYFUNCTION("D871*GOOGLEFINANCE(""RUBKZT"")*1000/F871"),3537805.12018272)</f>
        <v>3537805.12018272</v>
      </c>
      <c r="V871" s="27">
        <f t="shared" ca="1" si="792"/>
        <v>0.16275874949639058</v>
      </c>
    </row>
    <row r="872" spans="1:22" ht="12.75" customHeight="1" x14ac:dyDescent="0.2">
      <c r="A872" s="6" t="s">
        <v>270</v>
      </c>
      <c r="B872" s="6" t="s">
        <v>32</v>
      </c>
      <c r="C872" s="7">
        <v>171270</v>
      </c>
      <c r="D872" s="8">
        <v>30225.599999999999</v>
      </c>
      <c r="E872" s="9" t="s">
        <v>16</v>
      </c>
      <c r="F872" s="23">
        <v>20</v>
      </c>
      <c r="G872" s="25"/>
      <c r="H872" s="14">
        <f t="shared" si="786"/>
        <v>0.55000000000000004</v>
      </c>
      <c r="I872" s="25">
        <f ca="1">IFERROR(__xludf.DUMMYFUNCTION("ROUND(D872*GOOGLEFINANCE(""RUBKZT"")*H872)"),129726)</f>
        <v>129726</v>
      </c>
      <c r="J872" s="26">
        <f ca="1">IFERROR(__xludf.DUMMYFUNCTION("ROUND(I872*GOOGLEFINANCE(""KZTEUR""))"),272)</f>
        <v>272</v>
      </c>
      <c r="K872" s="26">
        <f t="shared" ca="1" si="787"/>
        <v>13600</v>
      </c>
      <c r="L872" s="26">
        <f t="shared" ca="1" si="788"/>
        <v>2584</v>
      </c>
      <c r="M872" s="26">
        <f t="shared" ref="M872:N872" si="894">M$3</f>
        <v>500</v>
      </c>
      <c r="N872" s="26">
        <f t="shared" si="894"/>
        <v>500</v>
      </c>
      <c r="O872" s="26">
        <f ca="1">IFERROR(__xludf.DUMMYFUNCTION("ROUND(GOOGLEFINANCE(""Currency:EURKZT"")*K872)"),6494947)</f>
        <v>6494947</v>
      </c>
      <c r="P872" s="26">
        <f ca="1">IFERROR(__xludf.DUMMYFUNCTION("ROUND(GOOGLEFINANCE(""Currency:EURKZT"")*M872)"),238785)</f>
        <v>238785</v>
      </c>
      <c r="Q872" s="26">
        <f ca="1">IFERROR(__xludf.DUMMYFUNCTION("ROUND(GOOGLEFINANCE(""Currency:EURKZT"")*N872)"),238785)</f>
        <v>238785</v>
      </c>
      <c r="R872" s="26">
        <f t="shared" ca="1" si="790"/>
        <v>779394</v>
      </c>
      <c r="S872" s="26">
        <f t="shared" ca="1" si="791"/>
        <v>7751911</v>
      </c>
      <c r="T872" s="26">
        <f ca="1">IFERROR(__xludf.DUMMYFUNCTION("ROUND(GOOGLEFINANCE(""Currency:EURKZT"")*L872+S872)"),8985951)</f>
        <v>8985951</v>
      </c>
      <c r="U872" s="26">
        <f ca="1">IFERROR(__xludf.DUMMYFUNCTION("D872*GOOGLEFINANCE(""RUBKZT"")*1000/F872"),11793308.0157705)</f>
        <v>11793308.015770501</v>
      </c>
      <c r="V872" s="27">
        <f t="shared" ca="1" si="792"/>
        <v>0.31241623905700139</v>
      </c>
    </row>
    <row r="873" spans="1:22" ht="12.75" customHeight="1" x14ac:dyDescent="0.2">
      <c r="A873" s="6" t="s">
        <v>271</v>
      </c>
      <c r="B873" s="6" t="s">
        <v>32</v>
      </c>
      <c r="C873" s="7">
        <v>171475</v>
      </c>
      <c r="D873" s="8">
        <v>9783.6</v>
      </c>
      <c r="E873" s="9" t="s">
        <v>16</v>
      </c>
      <c r="F873" s="23">
        <v>20</v>
      </c>
      <c r="G873" s="25"/>
      <c r="H873" s="14">
        <f t="shared" si="786"/>
        <v>0.55000000000000004</v>
      </c>
      <c r="I873" s="25">
        <f ca="1">IFERROR(__xludf.DUMMYFUNCTION("ROUND(D873*GOOGLEFINANCE(""RUBKZT"")*H873)"),41991)</f>
        <v>41991</v>
      </c>
      <c r="J873" s="26">
        <f ca="1">IFERROR(__xludf.DUMMYFUNCTION("ROUND(I873*GOOGLEFINANCE(""KZTEUR""))"),88)</f>
        <v>88</v>
      </c>
      <c r="K873" s="26">
        <f t="shared" ca="1" si="787"/>
        <v>4400</v>
      </c>
      <c r="L873" s="26">
        <f t="shared" ca="1" si="788"/>
        <v>836</v>
      </c>
      <c r="M873" s="26">
        <f t="shared" ref="M873:N873" si="895">M$3</f>
        <v>500</v>
      </c>
      <c r="N873" s="26">
        <f t="shared" si="895"/>
        <v>500</v>
      </c>
      <c r="O873" s="26">
        <f ca="1">IFERROR(__xludf.DUMMYFUNCTION("ROUND(GOOGLEFINANCE(""Currency:EURKZT"")*K873)"),2101306)</f>
        <v>2101306</v>
      </c>
      <c r="P873" s="26">
        <f ca="1">IFERROR(__xludf.DUMMYFUNCTION("ROUND(GOOGLEFINANCE(""Currency:EURKZT"")*M873)"),238785)</f>
        <v>238785</v>
      </c>
      <c r="Q873" s="26">
        <f ca="1">IFERROR(__xludf.DUMMYFUNCTION("ROUND(GOOGLEFINANCE(""Currency:EURKZT"")*N873)"),238785)</f>
        <v>238785</v>
      </c>
      <c r="R873" s="26">
        <f t="shared" ca="1" si="790"/>
        <v>252157</v>
      </c>
      <c r="S873" s="26">
        <f t="shared" ca="1" si="791"/>
        <v>2831033</v>
      </c>
      <c r="T873" s="26">
        <f ca="1">IFERROR(__xludf.DUMMYFUNCTION("ROUND(GOOGLEFINANCE(""Currency:EURKZT"")*L873+S873)"),3230281)</f>
        <v>3230281</v>
      </c>
      <c r="U873" s="26">
        <f ca="1">IFERROR(__xludf.DUMMYFUNCTION("D873*GOOGLEFINANCE(""RUBKZT"")*1000/F873"),3817327.30874136)</f>
        <v>3817327.30874136</v>
      </c>
      <c r="V873" s="27">
        <f t="shared" ca="1" si="792"/>
        <v>0.18173227305654213</v>
      </c>
    </row>
    <row r="874" spans="1:22" ht="12.75" customHeight="1" x14ac:dyDescent="0.2">
      <c r="A874" s="6" t="s">
        <v>274</v>
      </c>
      <c r="B874" s="6" t="s">
        <v>32</v>
      </c>
      <c r="C874" s="7">
        <v>174371</v>
      </c>
      <c r="D874" s="8">
        <v>14674.8</v>
      </c>
      <c r="E874" s="9" t="s">
        <v>16</v>
      </c>
      <c r="F874" s="23">
        <v>20</v>
      </c>
      <c r="G874" s="25"/>
      <c r="H874" s="14">
        <f t="shared" si="786"/>
        <v>0.55000000000000004</v>
      </c>
      <c r="I874" s="25">
        <f ca="1">IFERROR(__xludf.DUMMYFUNCTION("ROUND(D874*GOOGLEFINANCE(""RUBKZT"")*H874)"),62983)</f>
        <v>62983</v>
      </c>
      <c r="J874" s="26">
        <f ca="1">IFERROR(__xludf.DUMMYFUNCTION("ROUND(I874*GOOGLEFINANCE(""KZTEUR""))"),132)</f>
        <v>132</v>
      </c>
      <c r="K874" s="26">
        <f t="shared" ca="1" si="787"/>
        <v>6600</v>
      </c>
      <c r="L874" s="26">
        <f t="shared" ca="1" si="788"/>
        <v>1254</v>
      </c>
      <c r="M874" s="26">
        <f t="shared" ref="M874:N874" si="896">M$3</f>
        <v>500</v>
      </c>
      <c r="N874" s="26">
        <f t="shared" si="896"/>
        <v>500</v>
      </c>
      <c r="O874" s="26">
        <f ca="1">IFERROR(__xludf.DUMMYFUNCTION("ROUND(GOOGLEFINANCE(""Currency:EURKZT"")*K874)"),3151959)</f>
        <v>3151959</v>
      </c>
      <c r="P874" s="26">
        <f ca="1">IFERROR(__xludf.DUMMYFUNCTION("ROUND(GOOGLEFINANCE(""Currency:EURKZT"")*M874)"),238785)</f>
        <v>238785</v>
      </c>
      <c r="Q874" s="26">
        <f ca="1">IFERROR(__xludf.DUMMYFUNCTION("ROUND(GOOGLEFINANCE(""Currency:EURKZT"")*N874)"),238785)</f>
        <v>238785</v>
      </c>
      <c r="R874" s="26">
        <f t="shared" ca="1" si="790"/>
        <v>378235</v>
      </c>
      <c r="S874" s="26">
        <f t="shared" ca="1" si="791"/>
        <v>4007764</v>
      </c>
      <c r="T874" s="26">
        <f ca="1">IFERROR(__xludf.DUMMYFUNCTION("ROUND(GOOGLEFINANCE(""Currency:EURKZT"")*L874+S874)"),4606636)</f>
        <v>4606636</v>
      </c>
      <c r="U874" s="26">
        <f ca="1">IFERROR(__xludf.DUMMYFUNCTION("D874*GOOGLEFINANCE(""RUBKZT"")*1000/F874"),5725756.85742648)</f>
        <v>5725756.8574264804</v>
      </c>
      <c r="V874" s="27">
        <f t="shared" ca="1" si="792"/>
        <v>0.24293668035123253</v>
      </c>
    </row>
    <row r="875" spans="1:22" ht="12.75" customHeight="1" x14ac:dyDescent="0.2">
      <c r="A875" s="6" t="s">
        <v>276</v>
      </c>
      <c r="B875" s="6" t="s">
        <v>32</v>
      </c>
      <c r="C875" s="7">
        <v>174389</v>
      </c>
      <c r="D875" s="8">
        <v>30628.799999999999</v>
      </c>
      <c r="E875" s="9" t="s">
        <v>16</v>
      </c>
      <c r="F875" s="23">
        <v>20</v>
      </c>
      <c r="G875" s="25"/>
      <c r="H875" s="14">
        <f t="shared" si="786"/>
        <v>0.55000000000000004</v>
      </c>
      <c r="I875" s="25">
        <f ca="1">IFERROR(__xludf.DUMMYFUNCTION("ROUND(D875*GOOGLEFINANCE(""RUBKZT"")*H875)"),131457)</f>
        <v>131457</v>
      </c>
      <c r="J875" s="26">
        <f ca="1">IFERROR(__xludf.DUMMYFUNCTION("ROUND(I875*GOOGLEFINANCE(""KZTEUR""))"),275)</f>
        <v>275</v>
      </c>
      <c r="K875" s="26">
        <f t="shared" ca="1" si="787"/>
        <v>13750</v>
      </c>
      <c r="L875" s="26">
        <f t="shared" ca="1" si="788"/>
        <v>2612.5</v>
      </c>
      <c r="M875" s="26">
        <f t="shared" ref="M875:N875" si="897">M$3</f>
        <v>500</v>
      </c>
      <c r="N875" s="26">
        <f t="shared" si="897"/>
        <v>500</v>
      </c>
      <c r="O875" s="26">
        <f ca="1">IFERROR(__xludf.DUMMYFUNCTION("ROUND(GOOGLEFINANCE(""Currency:EURKZT"")*K875)"),6566582)</f>
        <v>6566582</v>
      </c>
      <c r="P875" s="26">
        <f ca="1">IFERROR(__xludf.DUMMYFUNCTION("ROUND(GOOGLEFINANCE(""Currency:EURKZT"")*M875)"),238785)</f>
        <v>238785</v>
      </c>
      <c r="Q875" s="26">
        <f ca="1">IFERROR(__xludf.DUMMYFUNCTION("ROUND(GOOGLEFINANCE(""Currency:EURKZT"")*N875)"),238785)</f>
        <v>238785</v>
      </c>
      <c r="R875" s="26">
        <f t="shared" ca="1" si="790"/>
        <v>787990</v>
      </c>
      <c r="S875" s="26">
        <f t="shared" ca="1" si="791"/>
        <v>7832142</v>
      </c>
      <c r="T875" s="26">
        <f ca="1">IFERROR(__xludf.DUMMYFUNCTION("ROUND(GOOGLEFINANCE(""Currency:EURKZT"")*L875+S875)"),9079793)</f>
        <v>9079793</v>
      </c>
      <c r="U875" s="26">
        <f ca="1">IFERROR(__xludf.DUMMYFUNCTION("D875*GOOGLEFINANCE(""RUBKZT"")*1000/F875"),11950627.0364668)</f>
        <v>11950627.0364668</v>
      </c>
      <c r="V875" s="27">
        <f t="shared" ca="1" si="792"/>
        <v>0.31617835742145217</v>
      </c>
    </row>
    <row r="876" spans="1:22" ht="12.75" customHeight="1" x14ac:dyDescent="0.2">
      <c r="A876" s="6" t="s">
        <v>279</v>
      </c>
      <c r="B876" s="6" t="s">
        <v>32</v>
      </c>
      <c r="C876" s="7">
        <v>175405</v>
      </c>
      <c r="D876" s="8">
        <v>20786.399999999998</v>
      </c>
      <c r="E876" s="9" t="s">
        <v>16</v>
      </c>
      <c r="F876" s="23">
        <v>20</v>
      </c>
      <c r="G876" s="25"/>
      <c r="H876" s="14">
        <f t="shared" si="786"/>
        <v>0.55000000000000004</v>
      </c>
      <c r="I876" s="25">
        <f ca="1">IFERROR(__xludf.DUMMYFUNCTION("ROUND(D876*GOOGLEFINANCE(""RUBKZT"")*H876)"),89214)</f>
        <v>89214</v>
      </c>
      <c r="J876" s="26">
        <f ca="1">IFERROR(__xludf.DUMMYFUNCTION("ROUND(I876*GOOGLEFINANCE(""KZTEUR""))"),187)</f>
        <v>187</v>
      </c>
      <c r="K876" s="26">
        <f t="shared" ca="1" si="787"/>
        <v>9350</v>
      </c>
      <c r="L876" s="26">
        <f t="shared" ca="1" si="788"/>
        <v>1776.5</v>
      </c>
      <c r="M876" s="26">
        <f t="shared" ref="M876:N876" si="898">M$3</f>
        <v>500</v>
      </c>
      <c r="N876" s="26">
        <f t="shared" si="898"/>
        <v>500</v>
      </c>
      <c r="O876" s="26">
        <f ca="1">IFERROR(__xludf.DUMMYFUNCTION("ROUND(GOOGLEFINANCE(""Currency:EURKZT"")*K876)"),4465276)</f>
        <v>4465276</v>
      </c>
      <c r="P876" s="26">
        <f ca="1">IFERROR(__xludf.DUMMYFUNCTION("ROUND(GOOGLEFINANCE(""Currency:EURKZT"")*M876)"),238785)</f>
        <v>238785</v>
      </c>
      <c r="Q876" s="26">
        <f ca="1">IFERROR(__xludf.DUMMYFUNCTION("ROUND(GOOGLEFINANCE(""Currency:EURKZT"")*N876)"),238785)</f>
        <v>238785</v>
      </c>
      <c r="R876" s="26">
        <f t="shared" ca="1" si="790"/>
        <v>535833</v>
      </c>
      <c r="S876" s="26">
        <f t="shared" ca="1" si="791"/>
        <v>5478679</v>
      </c>
      <c r="T876" s="26">
        <f ca="1">IFERROR(__xludf.DUMMYFUNCTION("ROUND(GOOGLEFINANCE(""Currency:EURKZT"")*L876+S876)"),6327081)</f>
        <v>6327081</v>
      </c>
      <c r="U876" s="26">
        <f ca="1">IFERROR(__xludf.DUMMYFUNCTION("D876*GOOGLEFINANCE(""RUBKZT"")*1000/F876"),8110357.37054063)</f>
        <v>8110357.3705406301</v>
      </c>
      <c r="V876" s="27">
        <f t="shared" ca="1" si="792"/>
        <v>0.28184819674991202</v>
      </c>
    </row>
    <row r="877" spans="1:22" ht="12.75" customHeight="1" x14ac:dyDescent="0.2">
      <c r="A877" s="6" t="s">
        <v>275</v>
      </c>
      <c r="B877" s="6" t="s">
        <v>32</v>
      </c>
      <c r="C877" s="7">
        <v>175755</v>
      </c>
      <c r="D877" s="8">
        <v>18654</v>
      </c>
      <c r="E877" s="9" t="s">
        <v>16</v>
      </c>
      <c r="F877" s="23">
        <v>20</v>
      </c>
      <c r="G877" s="25"/>
      <c r="H877" s="14">
        <f t="shared" si="786"/>
        <v>0.55000000000000004</v>
      </c>
      <c r="I877" s="25">
        <f ca="1">IFERROR(__xludf.DUMMYFUNCTION("ROUND(D877*GOOGLEFINANCE(""RUBKZT"")*H877)"),80062)</f>
        <v>80062</v>
      </c>
      <c r="J877" s="26">
        <f ca="1">IFERROR(__xludf.DUMMYFUNCTION("ROUND(I877*GOOGLEFINANCE(""KZTEUR""))"),168)</f>
        <v>168</v>
      </c>
      <c r="K877" s="26">
        <f t="shared" ca="1" si="787"/>
        <v>8400</v>
      </c>
      <c r="L877" s="26">
        <f t="shared" ca="1" si="788"/>
        <v>1596</v>
      </c>
      <c r="M877" s="26">
        <f t="shared" ref="M877:N877" si="899">M$3</f>
        <v>500</v>
      </c>
      <c r="N877" s="26">
        <f t="shared" si="899"/>
        <v>500</v>
      </c>
      <c r="O877" s="26">
        <f ca="1">IFERROR(__xludf.DUMMYFUNCTION("ROUND(GOOGLEFINANCE(""Currency:EURKZT"")*K877)"),4011585)</f>
        <v>4011585</v>
      </c>
      <c r="P877" s="26">
        <f ca="1">IFERROR(__xludf.DUMMYFUNCTION("ROUND(GOOGLEFINANCE(""Currency:EURKZT"")*M877)"),238785)</f>
        <v>238785</v>
      </c>
      <c r="Q877" s="26">
        <f ca="1">IFERROR(__xludf.DUMMYFUNCTION("ROUND(GOOGLEFINANCE(""Currency:EURKZT"")*N877)"),238785)</f>
        <v>238785</v>
      </c>
      <c r="R877" s="26">
        <f t="shared" ca="1" si="790"/>
        <v>481390</v>
      </c>
      <c r="S877" s="26">
        <f t="shared" ca="1" si="791"/>
        <v>4970545</v>
      </c>
      <c r="T877" s="26">
        <f ca="1">IFERROR(__xludf.DUMMYFUNCTION("ROUND(GOOGLEFINANCE(""Currency:EURKZT"")*L877+S877)"),5732746)</f>
        <v>5732746</v>
      </c>
      <c r="U877" s="26">
        <f ca="1">IFERROR(__xludf.DUMMYFUNCTION("D877*GOOGLEFINANCE(""RUBKZT"")*1000/F877"),7278345.7640604)</f>
        <v>7278345.7640604004</v>
      </c>
      <c r="V877" s="27">
        <f t="shared" ca="1" si="792"/>
        <v>0.26960897344141888</v>
      </c>
    </row>
    <row r="878" spans="1:22" ht="12.75" customHeight="1" x14ac:dyDescent="0.2">
      <c r="A878" s="6" t="s">
        <v>286</v>
      </c>
      <c r="B878" s="6" t="s">
        <v>32</v>
      </c>
      <c r="C878" s="7">
        <v>180949</v>
      </c>
      <c r="D878" s="8">
        <v>45818.400000000001</v>
      </c>
      <c r="E878" s="9" t="s">
        <v>16</v>
      </c>
      <c r="F878" s="23">
        <v>20</v>
      </c>
      <c r="G878" s="25"/>
      <c r="H878" s="14">
        <f t="shared" si="786"/>
        <v>0.55000000000000004</v>
      </c>
      <c r="I878" s="25">
        <f ca="1">IFERROR(__xludf.DUMMYFUNCTION("ROUND(D878*GOOGLEFINANCE(""RUBKZT"")*H878)"),196650)</f>
        <v>196650</v>
      </c>
      <c r="J878" s="26">
        <f ca="1">IFERROR(__xludf.DUMMYFUNCTION("ROUND(I878*GOOGLEFINANCE(""KZTEUR""))"),412)</f>
        <v>412</v>
      </c>
      <c r="K878" s="26">
        <f t="shared" ca="1" si="787"/>
        <v>20600</v>
      </c>
      <c r="L878" s="26">
        <f t="shared" ca="1" si="788"/>
        <v>3914</v>
      </c>
      <c r="M878" s="26">
        <f t="shared" ref="M878:N878" si="900">M$3</f>
        <v>500</v>
      </c>
      <c r="N878" s="26">
        <f t="shared" si="900"/>
        <v>500</v>
      </c>
      <c r="O878" s="26">
        <f ca="1">IFERROR(__xludf.DUMMYFUNCTION("ROUND(GOOGLEFINANCE(""Currency:EURKZT"")*K878)"),9837934)</f>
        <v>9837934</v>
      </c>
      <c r="P878" s="26">
        <f ca="1">IFERROR(__xludf.DUMMYFUNCTION("ROUND(GOOGLEFINANCE(""Currency:EURKZT"")*M878)"),238785)</f>
        <v>238785</v>
      </c>
      <c r="Q878" s="26">
        <f ca="1">IFERROR(__xludf.DUMMYFUNCTION("ROUND(GOOGLEFINANCE(""Currency:EURKZT"")*N878)"),238785)</f>
        <v>238785</v>
      </c>
      <c r="R878" s="26">
        <f t="shared" ca="1" si="790"/>
        <v>1180552</v>
      </c>
      <c r="S878" s="26">
        <f t="shared" ca="1" si="791"/>
        <v>11496056</v>
      </c>
      <c r="T878" s="26">
        <f ca="1">IFERROR(__xludf.DUMMYFUNCTION("ROUND(GOOGLEFINANCE(""Currency:EURKZT"")*L878+S878)"),13365263)</f>
        <v>13365263</v>
      </c>
      <c r="U878" s="26">
        <f ca="1">IFERROR(__xludf.DUMMYFUNCTION("D878*GOOGLEFINANCE(""RUBKZT"")*1000/F878"),17877246.5721038)</f>
        <v>17877246.572103798</v>
      </c>
      <c r="V878" s="27">
        <f t="shared" ca="1" si="792"/>
        <v>0.33759033190022514</v>
      </c>
    </row>
    <row r="879" spans="1:22" ht="12.75" customHeight="1" x14ac:dyDescent="0.2">
      <c r="A879" s="6" t="s">
        <v>285</v>
      </c>
      <c r="B879" s="6" t="s">
        <v>32</v>
      </c>
      <c r="C879" s="7">
        <v>181710</v>
      </c>
      <c r="D879" s="8">
        <v>14006.4</v>
      </c>
      <c r="E879" s="9" t="s">
        <v>16</v>
      </c>
      <c r="F879" s="23">
        <v>20</v>
      </c>
      <c r="G879" s="25"/>
      <c r="H879" s="14">
        <f t="shared" si="786"/>
        <v>0.55000000000000004</v>
      </c>
      <c r="I879" s="25">
        <f ca="1">IFERROR(__xludf.DUMMYFUNCTION("ROUND(D879*GOOGLEFINANCE(""RUBKZT"")*H879)"),60115)</f>
        <v>60115</v>
      </c>
      <c r="J879" s="26">
        <f ca="1">IFERROR(__xludf.DUMMYFUNCTION("ROUND(I879*GOOGLEFINANCE(""KZTEUR""))"),126)</f>
        <v>126</v>
      </c>
      <c r="K879" s="26">
        <f t="shared" ca="1" si="787"/>
        <v>6300</v>
      </c>
      <c r="L879" s="26">
        <f t="shared" ca="1" si="788"/>
        <v>1197</v>
      </c>
      <c r="M879" s="26">
        <f t="shared" ref="M879:N879" si="901">M$3</f>
        <v>500</v>
      </c>
      <c r="N879" s="26">
        <f t="shared" si="901"/>
        <v>500</v>
      </c>
      <c r="O879" s="26">
        <f ca="1">IFERROR(__xludf.DUMMYFUNCTION("ROUND(GOOGLEFINANCE(""Currency:EURKZT"")*K879)"),3008689)</f>
        <v>3008689</v>
      </c>
      <c r="P879" s="26">
        <f ca="1">IFERROR(__xludf.DUMMYFUNCTION("ROUND(GOOGLEFINANCE(""Currency:EURKZT"")*M879)"),238785)</f>
        <v>238785</v>
      </c>
      <c r="Q879" s="26">
        <f ca="1">IFERROR(__xludf.DUMMYFUNCTION("ROUND(GOOGLEFINANCE(""Currency:EURKZT"")*N879)"),238785)</f>
        <v>238785</v>
      </c>
      <c r="R879" s="26">
        <f t="shared" ca="1" si="790"/>
        <v>361043</v>
      </c>
      <c r="S879" s="26">
        <f t="shared" ca="1" si="791"/>
        <v>3847302</v>
      </c>
      <c r="T879" s="26">
        <f ca="1">IFERROR(__xludf.DUMMYFUNCTION("ROUND(GOOGLEFINANCE(""Currency:EURKZT"")*L879+S879)"),4418953)</f>
        <v>4418953</v>
      </c>
      <c r="U879" s="26">
        <f ca="1">IFERROR(__xludf.DUMMYFUNCTION("D879*GOOGLEFINANCE(""RUBKZT"")*1000/F879"),5464963.12371264)</f>
        <v>5464963.1237126403</v>
      </c>
      <c r="V879" s="27">
        <f t="shared" ca="1" si="792"/>
        <v>0.23670994548089563</v>
      </c>
    </row>
    <row r="880" spans="1:22" ht="12.75" customHeight="1" x14ac:dyDescent="0.2">
      <c r="A880" s="6" t="s">
        <v>288</v>
      </c>
      <c r="B880" s="6" t="s">
        <v>32</v>
      </c>
      <c r="C880" s="7">
        <v>182022</v>
      </c>
      <c r="D880" s="8">
        <v>10207.199999999999</v>
      </c>
      <c r="E880" s="9" t="s">
        <v>16</v>
      </c>
      <c r="F880" s="23">
        <v>20</v>
      </c>
      <c r="G880" s="25"/>
      <c r="H880" s="14">
        <f t="shared" si="786"/>
        <v>0.55000000000000004</v>
      </c>
      <c r="I880" s="25">
        <f ca="1">IFERROR(__xludf.DUMMYFUNCTION("ROUND(D880*GOOGLEFINANCE(""RUBKZT"")*H880)"),43809)</f>
        <v>43809</v>
      </c>
      <c r="J880" s="26">
        <f ca="1">IFERROR(__xludf.DUMMYFUNCTION("ROUND(I880*GOOGLEFINANCE(""KZTEUR""))"),92)</f>
        <v>92</v>
      </c>
      <c r="K880" s="26">
        <f t="shared" ca="1" si="787"/>
        <v>4600</v>
      </c>
      <c r="L880" s="26">
        <f t="shared" ca="1" si="788"/>
        <v>874</v>
      </c>
      <c r="M880" s="26">
        <f t="shared" ref="M880:N880" si="902">M$3</f>
        <v>500</v>
      </c>
      <c r="N880" s="26">
        <f t="shared" si="902"/>
        <v>500</v>
      </c>
      <c r="O880" s="26">
        <f ca="1">IFERROR(__xludf.DUMMYFUNCTION("ROUND(GOOGLEFINANCE(""Currency:EURKZT"")*K880)"),2196820)</f>
        <v>2196820</v>
      </c>
      <c r="P880" s="26">
        <f ca="1">IFERROR(__xludf.DUMMYFUNCTION("ROUND(GOOGLEFINANCE(""Currency:EURKZT"")*M880)"),238785)</f>
        <v>238785</v>
      </c>
      <c r="Q880" s="26">
        <f ca="1">IFERROR(__xludf.DUMMYFUNCTION("ROUND(GOOGLEFINANCE(""Currency:EURKZT"")*N880)"),238785)</f>
        <v>238785</v>
      </c>
      <c r="R880" s="26">
        <f t="shared" ca="1" si="790"/>
        <v>263618</v>
      </c>
      <c r="S880" s="26">
        <f t="shared" ca="1" si="791"/>
        <v>2938008</v>
      </c>
      <c r="T880" s="26">
        <f ca="1">IFERROR(__xludf.DUMMYFUNCTION("ROUND(GOOGLEFINANCE(""Currency:EURKZT"")*L880+S880)"),3355404)</f>
        <v>3355404</v>
      </c>
      <c r="U880" s="26">
        <f ca="1">IFERROR(__xludf.DUMMYFUNCTION("D880*GOOGLEFINANCE(""RUBKZT"")*1000/F880"),3982605.92274671)</f>
        <v>3982605.92274671</v>
      </c>
      <c r="V880" s="27">
        <f t="shared" ca="1" si="792"/>
        <v>0.18692292276778297</v>
      </c>
    </row>
    <row r="881" spans="1:22" ht="12.75" customHeight="1" x14ac:dyDescent="0.2">
      <c r="A881" s="6" t="s">
        <v>302</v>
      </c>
      <c r="B881" s="6" t="s">
        <v>32</v>
      </c>
      <c r="C881" s="7">
        <v>183632</v>
      </c>
      <c r="D881" s="8">
        <v>10476</v>
      </c>
      <c r="E881" s="9" t="s">
        <v>16</v>
      </c>
      <c r="F881" s="23">
        <v>20</v>
      </c>
      <c r="G881" s="25"/>
      <c r="H881" s="14">
        <f t="shared" si="786"/>
        <v>0.55000000000000004</v>
      </c>
      <c r="I881" s="25">
        <f ca="1">IFERROR(__xludf.DUMMYFUNCTION("ROUND(D881*GOOGLEFINANCE(""RUBKZT"")*H881)"),44962)</f>
        <v>44962</v>
      </c>
      <c r="J881" s="26">
        <f ca="1">IFERROR(__xludf.DUMMYFUNCTION("ROUND(I881*GOOGLEFINANCE(""KZTEUR""))"),94)</f>
        <v>94</v>
      </c>
      <c r="K881" s="26">
        <f t="shared" ca="1" si="787"/>
        <v>4700</v>
      </c>
      <c r="L881" s="26">
        <f t="shared" ca="1" si="788"/>
        <v>893</v>
      </c>
      <c r="M881" s="26">
        <f t="shared" ref="M881:N881" si="903">M$3</f>
        <v>500</v>
      </c>
      <c r="N881" s="26">
        <f t="shared" si="903"/>
        <v>500</v>
      </c>
      <c r="O881" s="26">
        <f ca="1">IFERROR(__xludf.DUMMYFUNCTION("ROUND(GOOGLEFINANCE(""Currency:EURKZT"")*K881)"),2244577)</f>
        <v>2244577</v>
      </c>
      <c r="P881" s="26">
        <f ca="1">IFERROR(__xludf.DUMMYFUNCTION("ROUND(GOOGLEFINANCE(""Currency:EURKZT"")*M881)"),238785)</f>
        <v>238785</v>
      </c>
      <c r="Q881" s="26">
        <f ca="1">IFERROR(__xludf.DUMMYFUNCTION("ROUND(GOOGLEFINANCE(""Currency:EURKZT"")*N881)"),238785)</f>
        <v>238785</v>
      </c>
      <c r="R881" s="26">
        <f t="shared" ca="1" si="790"/>
        <v>269349</v>
      </c>
      <c r="S881" s="26">
        <f t="shared" ca="1" si="791"/>
        <v>2991496</v>
      </c>
      <c r="T881" s="26">
        <f ca="1">IFERROR(__xludf.DUMMYFUNCTION("ROUND(GOOGLEFINANCE(""Currency:EURKZT"")*L881+S881)"),3417966)</f>
        <v>3417966</v>
      </c>
      <c r="U881" s="26">
        <f ca="1">IFERROR(__xludf.DUMMYFUNCTION("D881*GOOGLEFINANCE(""RUBKZT"")*1000/F881"),4087485.2698776)</f>
        <v>4087485.2698776</v>
      </c>
      <c r="V881" s="27">
        <f t="shared" ca="1" si="792"/>
        <v>0.195882366845545</v>
      </c>
    </row>
    <row r="882" spans="1:22" ht="12.75" customHeight="1" x14ac:dyDescent="0.2">
      <c r="A882" s="6" t="s">
        <v>308</v>
      </c>
      <c r="B882" s="6" t="s">
        <v>32</v>
      </c>
      <c r="C882" s="7">
        <v>186856</v>
      </c>
      <c r="D882" s="8">
        <v>21164.399999999998</v>
      </c>
      <c r="E882" s="9" t="s">
        <v>16</v>
      </c>
      <c r="F882" s="23">
        <v>20</v>
      </c>
      <c r="G882" s="25"/>
      <c r="H882" s="14">
        <f t="shared" si="786"/>
        <v>0.55000000000000004</v>
      </c>
      <c r="I882" s="25">
        <f ca="1">IFERROR(__xludf.DUMMYFUNCTION("ROUND(D882*GOOGLEFINANCE(""RUBKZT"")*H882)"),90836)</f>
        <v>90836</v>
      </c>
      <c r="J882" s="26">
        <f ca="1">IFERROR(__xludf.DUMMYFUNCTION("ROUND(I882*GOOGLEFINANCE(""KZTEUR""))"),190)</f>
        <v>190</v>
      </c>
      <c r="K882" s="26">
        <f t="shared" ca="1" si="787"/>
        <v>9500</v>
      </c>
      <c r="L882" s="26">
        <f t="shared" ca="1" si="788"/>
        <v>1805</v>
      </c>
      <c r="M882" s="26">
        <f t="shared" ref="M882:N882" si="904">M$3</f>
        <v>500</v>
      </c>
      <c r="N882" s="26">
        <f t="shared" si="904"/>
        <v>500</v>
      </c>
      <c r="O882" s="26">
        <f ca="1">IFERROR(__xludf.DUMMYFUNCTION("ROUND(GOOGLEFINANCE(""Currency:EURKZT"")*K882)"),4536911)</f>
        <v>4536911</v>
      </c>
      <c r="P882" s="26">
        <f ca="1">IFERROR(__xludf.DUMMYFUNCTION("ROUND(GOOGLEFINANCE(""Currency:EURKZT"")*M882)"),238785)</f>
        <v>238785</v>
      </c>
      <c r="Q882" s="26">
        <f ca="1">IFERROR(__xludf.DUMMYFUNCTION("ROUND(GOOGLEFINANCE(""Currency:EURKZT"")*N882)"),238785)</f>
        <v>238785</v>
      </c>
      <c r="R882" s="26">
        <f t="shared" ca="1" si="790"/>
        <v>544429</v>
      </c>
      <c r="S882" s="26">
        <f t="shared" ca="1" si="791"/>
        <v>5558910</v>
      </c>
      <c r="T882" s="26">
        <f ca="1">IFERROR(__xludf.DUMMYFUNCTION("ROUND(GOOGLEFINANCE(""Currency:EURKZT"")*L882+S882)"),6420923)</f>
        <v>6420923</v>
      </c>
      <c r="U882" s="26">
        <f ca="1">IFERROR(__xludf.DUMMYFUNCTION("D882*GOOGLEFINANCE(""RUBKZT"")*1000/F882"),8257843.95244343)</f>
        <v>8257843.9524434302</v>
      </c>
      <c r="V882" s="27">
        <f t="shared" ca="1" si="792"/>
        <v>0.28608362885576266</v>
      </c>
    </row>
    <row r="883" spans="1:22" ht="12.75" customHeight="1" x14ac:dyDescent="0.2">
      <c r="A883" s="6" t="s">
        <v>317</v>
      </c>
      <c r="B883" s="6" t="s">
        <v>32</v>
      </c>
      <c r="C883" s="7">
        <v>188257</v>
      </c>
      <c r="D883" s="8">
        <v>10249.199999999999</v>
      </c>
      <c r="E883" s="9" t="s">
        <v>16</v>
      </c>
      <c r="F883" s="23">
        <v>20</v>
      </c>
      <c r="G883" s="25"/>
      <c r="H883" s="14">
        <f t="shared" si="786"/>
        <v>0.55000000000000004</v>
      </c>
      <c r="I883" s="25">
        <f ca="1">IFERROR(__xludf.DUMMYFUNCTION("ROUND(D883*GOOGLEFINANCE(""RUBKZT"")*H883)"),43989)</f>
        <v>43989</v>
      </c>
      <c r="J883" s="26">
        <f ca="1">IFERROR(__xludf.DUMMYFUNCTION("ROUND(I883*GOOGLEFINANCE(""KZTEUR""))"),92)</f>
        <v>92</v>
      </c>
      <c r="K883" s="26">
        <f t="shared" ca="1" si="787"/>
        <v>4600</v>
      </c>
      <c r="L883" s="26">
        <f t="shared" ca="1" si="788"/>
        <v>874</v>
      </c>
      <c r="M883" s="26">
        <f t="shared" ref="M883:N883" si="905">M$3</f>
        <v>500</v>
      </c>
      <c r="N883" s="26">
        <f t="shared" si="905"/>
        <v>500</v>
      </c>
      <c r="O883" s="26">
        <f ca="1">IFERROR(__xludf.DUMMYFUNCTION("ROUND(GOOGLEFINANCE(""Currency:EURKZT"")*K883)"),2196820)</f>
        <v>2196820</v>
      </c>
      <c r="P883" s="26">
        <f ca="1">IFERROR(__xludf.DUMMYFUNCTION("ROUND(GOOGLEFINANCE(""Currency:EURKZT"")*M883)"),238785)</f>
        <v>238785</v>
      </c>
      <c r="Q883" s="26">
        <f ca="1">IFERROR(__xludf.DUMMYFUNCTION("ROUND(GOOGLEFINANCE(""Currency:EURKZT"")*N883)"),238785)</f>
        <v>238785</v>
      </c>
      <c r="R883" s="26">
        <f t="shared" ca="1" si="790"/>
        <v>263618</v>
      </c>
      <c r="S883" s="26">
        <f t="shared" ca="1" si="791"/>
        <v>2938008</v>
      </c>
      <c r="T883" s="26">
        <f ca="1">IFERROR(__xludf.DUMMYFUNCTION("ROUND(GOOGLEFINANCE(""Currency:EURKZT"")*L883+S883)"),3355404)</f>
        <v>3355404</v>
      </c>
      <c r="U883" s="26">
        <f ca="1">IFERROR(__xludf.DUMMYFUNCTION("D883*GOOGLEFINANCE(""RUBKZT"")*1000/F883"),3998993.32073592)</f>
        <v>3998993.3207359202</v>
      </c>
      <c r="V883" s="27">
        <f t="shared" ca="1" si="792"/>
        <v>0.19180680500348699</v>
      </c>
    </row>
    <row r="884" spans="1:22" ht="12.75" customHeight="1" x14ac:dyDescent="0.2">
      <c r="A884" s="6" t="s">
        <v>323</v>
      </c>
      <c r="B884" s="6" t="s">
        <v>32</v>
      </c>
      <c r="C884" s="7">
        <v>189239</v>
      </c>
      <c r="D884" s="8">
        <v>10100.4</v>
      </c>
      <c r="E884" s="9" t="s">
        <v>16</v>
      </c>
      <c r="F884" s="23">
        <v>20</v>
      </c>
      <c r="G884" s="25"/>
      <c r="H884" s="14">
        <f t="shared" si="786"/>
        <v>0.55000000000000004</v>
      </c>
      <c r="I884" s="25">
        <f ca="1">IFERROR(__xludf.DUMMYFUNCTION("ROUND(D884*GOOGLEFINANCE(""RUBKZT"")*H884)"),43350)</f>
        <v>43350</v>
      </c>
      <c r="J884" s="26">
        <f ca="1">IFERROR(__xludf.DUMMYFUNCTION("ROUND(I884*GOOGLEFINANCE(""KZTEUR""))"),91)</f>
        <v>91</v>
      </c>
      <c r="K884" s="26">
        <f t="shared" ca="1" si="787"/>
        <v>4550</v>
      </c>
      <c r="L884" s="26">
        <f t="shared" ca="1" si="788"/>
        <v>864.5</v>
      </c>
      <c r="M884" s="26">
        <f t="shared" ref="M884:N884" si="906">M$3</f>
        <v>500</v>
      </c>
      <c r="N884" s="26">
        <f t="shared" si="906"/>
        <v>500</v>
      </c>
      <c r="O884" s="26">
        <f ca="1">IFERROR(__xludf.DUMMYFUNCTION("ROUND(GOOGLEFINANCE(""Currency:EURKZT"")*K884)"),2172942)</f>
        <v>2172942</v>
      </c>
      <c r="P884" s="26">
        <f ca="1">IFERROR(__xludf.DUMMYFUNCTION("ROUND(GOOGLEFINANCE(""Currency:EURKZT"")*M884)"),238785)</f>
        <v>238785</v>
      </c>
      <c r="Q884" s="26">
        <f ca="1">IFERROR(__xludf.DUMMYFUNCTION("ROUND(GOOGLEFINANCE(""Currency:EURKZT"")*N884)"),238785)</f>
        <v>238785</v>
      </c>
      <c r="R884" s="26">
        <f t="shared" ca="1" si="790"/>
        <v>260753</v>
      </c>
      <c r="S884" s="26">
        <f t="shared" ca="1" si="791"/>
        <v>2911265</v>
      </c>
      <c r="T884" s="26">
        <f ca="1">IFERROR(__xludf.DUMMYFUNCTION("ROUND(GOOGLEFINANCE(""Currency:EURKZT"")*L884+S884)"),3324124)</f>
        <v>3324124</v>
      </c>
      <c r="U884" s="26">
        <f ca="1">IFERROR(__xludf.DUMMYFUNCTION("D884*GOOGLEFINANCE(""RUBKZT"")*1000/F884"),3940935.11071703)</f>
        <v>3940935.1107170298</v>
      </c>
      <c r="V884" s="27">
        <f t="shared" ca="1" si="792"/>
        <v>0.18555598729681258</v>
      </c>
    </row>
    <row r="885" spans="1:22" ht="12.75" customHeight="1" x14ac:dyDescent="0.2">
      <c r="A885" s="6" t="s">
        <v>324</v>
      </c>
      <c r="B885" s="6" t="s">
        <v>32</v>
      </c>
      <c r="C885" s="7">
        <v>189338</v>
      </c>
      <c r="D885" s="8">
        <v>31660.799999999999</v>
      </c>
      <c r="E885" s="9" t="s">
        <v>16</v>
      </c>
      <c r="F885" s="23">
        <v>20</v>
      </c>
      <c r="G885" s="25"/>
      <c r="H885" s="14">
        <f t="shared" si="786"/>
        <v>0.55000000000000004</v>
      </c>
      <c r="I885" s="25">
        <f ca="1">IFERROR(__xludf.DUMMYFUNCTION("ROUND(D885*GOOGLEFINANCE(""RUBKZT"")*H885)"),135886)</f>
        <v>135886</v>
      </c>
      <c r="J885" s="26">
        <f ca="1">IFERROR(__xludf.DUMMYFUNCTION("ROUND(I885*GOOGLEFINANCE(""KZTEUR""))"),285)</f>
        <v>285</v>
      </c>
      <c r="K885" s="26">
        <f t="shared" ca="1" si="787"/>
        <v>14250</v>
      </c>
      <c r="L885" s="26">
        <f t="shared" ca="1" si="788"/>
        <v>2707.5</v>
      </c>
      <c r="M885" s="26">
        <f t="shared" ref="M885:N885" si="907">M$3</f>
        <v>500</v>
      </c>
      <c r="N885" s="26">
        <f t="shared" si="907"/>
        <v>500</v>
      </c>
      <c r="O885" s="26">
        <f ca="1">IFERROR(__xludf.DUMMYFUNCTION("ROUND(GOOGLEFINANCE(""Currency:EURKZT"")*K885)"),6805367)</f>
        <v>6805367</v>
      </c>
      <c r="P885" s="26">
        <f ca="1">IFERROR(__xludf.DUMMYFUNCTION("ROUND(GOOGLEFINANCE(""Currency:EURKZT"")*M885)"),238785)</f>
        <v>238785</v>
      </c>
      <c r="Q885" s="26">
        <f ca="1">IFERROR(__xludf.DUMMYFUNCTION("ROUND(GOOGLEFINANCE(""Currency:EURKZT"")*N885)"),238785)</f>
        <v>238785</v>
      </c>
      <c r="R885" s="26">
        <f t="shared" ca="1" si="790"/>
        <v>816644</v>
      </c>
      <c r="S885" s="26">
        <f t="shared" ca="1" si="791"/>
        <v>8099581</v>
      </c>
      <c r="T885" s="26">
        <f ca="1">IFERROR(__xludf.DUMMYFUNCTION("ROUND(GOOGLEFINANCE(""Currency:EURKZT"")*L885+S885)"),9392601)</f>
        <v>9392601</v>
      </c>
      <c r="U885" s="26">
        <f ca="1">IFERROR(__xludf.DUMMYFUNCTION("D885*GOOGLEFINANCE(""RUBKZT"")*1000/F885"),12353288.81563)</f>
        <v>12353288.81563</v>
      </c>
      <c r="V885" s="27">
        <f t="shared" ca="1" si="792"/>
        <v>0.3152149032658792</v>
      </c>
    </row>
    <row r="886" spans="1:22" ht="12.75" customHeight="1" x14ac:dyDescent="0.2">
      <c r="A886" s="6" t="s">
        <v>327</v>
      </c>
      <c r="B886" s="6" t="s">
        <v>32</v>
      </c>
      <c r="C886" s="7">
        <v>190483</v>
      </c>
      <c r="D886" s="8">
        <v>20162.399999999998</v>
      </c>
      <c r="E886" s="9" t="s">
        <v>16</v>
      </c>
      <c r="F886" s="23">
        <v>20</v>
      </c>
      <c r="G886" s="25"/>
      <c r="H886" s="14">
        <f t="shared" si="786"/>
        <v>0.55000000000000004</v>
      </c>
      <c r="I886" s="25">
        <f ca="1">IFERROR(__xludf.DUMMYFUNCTION("ROUND(D886*GOOGLEFINANCE(""RUBKZT"")*H886)"),86536)</f>
        <v>86536</v>
      </c>
      <c r="J886" s="26">
        <f ca="1">IFERROR(__xludf.DUMMYFUNCTION("ROUND(I886*GOOGLEFINANCE(""KZTEUR""))"),181)</f>
        <v>181</v>
      </c>
      <c r="K886" s="26">
        <f t="shared" ca="1" si="787"/>
        <v>9050</v>
      </c>
      <c r="L886" s="26">
        <f t="shared" ca="1" si="788"/>
        <v>1719.5</v>
      </c>
      <c r="M886" s="26">
        <f t="shared" ref="M886:N886" si="908">M$3</f>
        <v>500</v>
      </c>
      <c r="N886" s="26">
        <f t="shared" si="908"/>
        <v>500</v>
      </c>
      <c r="O886" s="26">
        <f ca="1">IFERROR(__xludf.DUMMYFUNCTION("ROUND(GOOGLEFINANCE(""Currency:EURKZT"")*K886)"),4322005)</f>
        <v>4322005</v>
      </c>
      <c r="P886" s="26">
        <f ca="1">IFERROR(__xludf.DUMMYFUNCTION("ROUND(GOOGLEFINANCE(""Currency:EURKZT"")*M886)"),238785)</f>
        <v>238785</v>
      </c>
      <c r="Q886" s="26">
        <f ca="1">IFERROR(__xludf.DUMMYFUNCTION("ROUND(GOOGLEFINANCE(""Currency:EURKZT"")*N886)"),238785)</f>
        <v>238785</v>
      </c>
      <c r="R886" s="26">
        <f t="shared" ca="1" si="790"/>
        <v>518641</v>
      </c>
      <c r="S886" s="26">
        <f t="shared" ca="1" si="791"/>
        <v>5318216</v>
      </c>
      <c r="T886" s="26">
        <f ca="1">IFERROR(__xludf.DUMMYFUNCTION("ROUND(GOOGLEFINANCE(""Currency:EURKZT"")*L886+S886)"),6139397)</f>
        <v>6139397</v>
      </c>
      <c r="U886" s="26">
        <f ca="1">IFERROR(__xludf.DUMMYFUNCTION("D886*GOOGLEFINANCE(""RUBKZT"")*1000/F886"),7866887.45755823)</f>
        <v>7866887.4575582296</v>
      </c>
      <c r="V886" s="27">
        <f t="shared" ca="1" si="792"/>
        <v>0.28137787107727835</v>
      </c>
    </row>
    <row r="887" spans="1:22" ht="12.75" customHeight="1" x14ac:dyDescent="0.2">
      <c r="A887" s="6" t="s">
        <v>328</v>
      </c>
      <c r="B887" s="6" t="s">
        <v>32</v>
      </c>
      <c r="C887" s="7">
        <v>190486</v>
      </c>
      <c r="D887" s="8">
        <v>22527.599999999999</v>
      </c>
      <c r="E887" s="9" t="s">
        <v>16</v>
      </c>
      <c r="F887" s="23">
        <v>20</v>
      </c>
      <c r="G887" s="25"/>
      <c r="H887" s="14">
        <f t="shared" si="786"/>
        <v>0.55000000000000004</v>
      </c>
      <c r="I887" s="25">
        <f ca="1">IFERROR(__xludf.DUMMYFUNCTION("ROUND(D887*GOOGLEFINANCE(""RUBKZT"")*H887)"),96687)</f>
        <v>96687</v>
      </c>
      <c r="J887" s="26">
        <f ca="1">IFERROR(__xludf.DUMMYFUNCTION("ROUND(I887*GOOGLEFINANCE(""KZTEUR""))"),202)</f>
        <v>202</v>
      </c>
      <c r="K887" s="26">
        <f t="shared" ca="1" si="787"/>
        <v>10100</v>
      </c>
      <c r="L887" s="26">
        <f t="shared" ca="1" si="788"/>
        <v>1919</v>
      </c>
      <c r="M887" s="26">
        <f t="shared" ref="M887:N887" si="909">M$3</f>
        <v>500</v>
      </c>
      <c r="N887" s="26">
        <f t="shared" si="909"/>
        <v>500</v>
      </c>
      <c r="O887" s="26">
        <f ca="1">IFERROR(__xludf.DUMMYFUNCTION("ROUND(GOOGLEFINANCE(""Currency:EURKZT"")*K887)"),4823453)</f>
        <v>4823453</v>
      </c>
      <c r="P887" s="26">
        <f ca="1">IFERROR(__xludf.DUMMYFUNCTION("ROUND(GOOGLEFINANCE(""Currency:EURKZT"")*M887)"),238785)</f>
        <v>238785</v>
      </c>
      <c r="Q887" s="26">
        <f ca="1">IFERROR(__xludf.DUMMYFUNCTION("ROUND(GOOGLEFINANCE(""Currency:EURKZT"")*N887)"),238785)</f>
        <v>238785</v>
      </c>
      <c r="R887" s="26">
        <f t="shared" ca="1" si="790"/>
        <v>578814</v>
      </c>
      <c r="S887" s="26">
        <f t="shared" ca="1" si="791"/>
        <v>5879837</v>
      </c>
      <c r="T887" s="26">
        <f ca="1">IFERROR(__xludf.DUMMYFUNCTION("ROUND(GOOGLEFINANCE(""Currency:EURKZT"")*L887+S887)"),6796293)</f>
        <v>6796293</v>
      </c>
      <c r="U887" s="26">
        <f ca="1">IFERROR(__xludf.DUMMYFUNCTION("D887*GOOGLEFINANCE(""RUBKZT"")*1000/F887"),8789732.07003576)</f>
        <v>8789732.0700357594</v>
      </c>
      <c r="V887" s="27">
        <f t="shared" ca="1" si="792"/>
        <v>0.29331270297436551</v>
      </c>
    </row>
    <row r="888" spans="1:22" ht="12.75" customHeight="1" x14ac:dyDescent="0.2">
      <c r="A888" s="6" t="s">
        <v>331</v>
      </c>
      <c r="B888" s="6" t="s">
        <v>32</v>
      </c>
      <c r="C888" s="7">
        <v>190503</v>
      </c>
      <c r="D888" s="8">
        <v>13381.199999999999</v>
      </c>
      <c r="E888" s="9" t="s">
        <v>16</v>
      </c>
      <c r="F888" s="23">
        <v>20</v>
      </c>
      <c r="G888" s="25"/>
      <c r="H888" s="14">
        <f t="shared" si="786"/>
        <v>0.55000000000000004</v>
      </c>
      <c r="I888" s="25">
        <f ca="1">IFERROR(__xludf.DUMMYFUNCTION("ROUND(D888*GOOGLEFINANCE(""RUBKZT"")*H888)"),57431)</f>
        <v>57431</v>
      </c>
      <c r="J888" s="26">
        <f ca="1">IFERROR(__xludf.DUMMYFUNCTION("ROUND(I888*GOOGLEFINANCE(""KZTEUR""))"),120)</f>
        <v>120</v>
      </c>
      <c r="K888" s="26">
        <f t="shared" ca="1" si="787"/>
        <v>6000</v>
      </c>
      <c r="L888" s="26">
        <f t="shared" ca="1" si="788"/>
        <v>1140</v>
      </c>
      <c r="M888" s="26">
        <f t="shared" ref="M888:N888" si="910">M$3</f>
        <v>500</v>
      </c>
      <c r="N888" s="26">
        <f t="shared" si="910"/>
        <v>500</v>
      </c>
      <c r="O888" s="26">
        <f ca="1">IFERROR(__xludf.DUMMYFUNCTION("ROUND(GOOGLEFINANCE(""Currency:EURKZT"")*K888)"),2865418)</f>
        <v>2865418</v>
      </c>
      <c r="P888" s="26">
        <f ca="1">IFERROR(__xludf.DUMMYFUNCTION("ROUND(GOOGLEFINANCE(""Currency:EURKZT"")*M888)"),238785)</f>
        <v>238785</v>
      </c>
      <c r="Q888" s="26">
        <f ca="1">IFERROR(__xludf.DUMMYFUNCTION("ROUND(GOOGLEFINANCE(""Currency:EURKZT"")*N888)"),238785)</f>
        <v>238785</v>
      </c>
      <c r="R888" s="26">
        <f t="shared" ca="1" si="790"/>
        <v>343850</v>
      </c>
      <c r="S888" s="26">
        <f t="shared" ca="1" si="791"/>
        <v>3686838</v>
      </c>
      <c r="T888" s="26">
        <f ca="1">IFERROR(__xludf.DUMMYFUNCTION("ROUND(GOOGLEFINANCE(""Currency:EURKZT"")*L888+S888)"),4231267)</f>
        <v>4231267</v>
      </c>
      <c r="U888" s="26">
        <f ca="1">IFERROR(__xludf.DUMMYFUNCTION("D888*GOOGLEFINANCE(""RUBKZT"")*1000/F888"),5221024.99935912)</f>
        <v>5221024.9993591197</v>
      </c>
      <c r="V888" s="27">
        <f t="shared" ca="1" si="792"/>
        <v>0.23391527865273443</v>
      </c>
    </row>
    <row r="889" spans="1:22" ht="12.75" customHeight="1" x14ac:dyDescent="0.2">
      <c r="A889" s="6" t="s">
        <v>332</v>
      </c>
      <c r="B889" s="6" t="s">
        <v>32</v>
      </c>
      <c r="C889" s="7">
        <v>190507</v>
      </c>
      <c r="D889" s="8">
        <v>12847.199999999999</v>
      </c>
      <c r="E889" s="9" t="s">
        <v>16</v>
      </c>
      <c r="F889" s="23">
        <v>20</v>
      </c>
      <c r="G889" s="25"/>
      <c r="H889" s="14">
        <f t="shared" si="786"/>
        <v>0.55000000000000004</v>
      </c>
      <c r="I889" s="25">
        <f ca="1">IFERROR(__xludf.DUMMYFUNCTION("ROUND(D889*GOOGLEFINANCE(""RUBKZT"")*H889)"),55139)</f>
        <v>55139</v>
      </c>
      <c r="J889" s="26">
        <f ca="1">IFERROR(__xludf.DUMMYFUNCTION("ROUND(I889*GOOGLEFINANCE(""KZTEUR""))"),115)</f>
        <v>115</v>
      </c>
      <c r="K889" s="26">
        <f t="shared" ca="1" si="787"/>
        <v>5750</v>
      </c>
      <c r="L889" s="26">
        <f t="shared" ca="1" si="788"/>
        <v>1092.5</v>
      </c>
      <c r="M889" s="26">
        <f t="shared" ref="M889:N889" si="911">M$3</f>
        <v>500</v>
      </c>
      <c r="N889" s="26">
        <f t="shared" si="911"/>
        <v>500</v>
      </c>
      <c r="O889" s="26">
        <f ca="1">IFERROR(__xludf.DUMMYFUNCTION("ROUND(GOOGLEFINANCE(""Currency:EURKZT"")*K889)"),2746025)</f>
        <v>2746025</v>
      </c>
      <c r="P889" s="26">
        <f ca="1">IFERROR(__xludf.DUMMYFUNCTION("ROUND(GOOGLEFINANCE(""Currency:EURKZT"")*M889)"),238785)</f>
        <v>238785</v>
      </c>
      <c r="Q889" s="26">
        <f ca="1">IFERROR(__xludf.DUMMYFUNCTION("ROUND(GOOGLEFINANCE(""Currency:EURKZT"")*N889)"),238785)</f>
        <v>238785</v>
      </c>
      <c r="R889" s="26">
        <f t="shared" ca="1" si="790"/>
        <v>329523</v>
      </c>
      <c r="S889" s="26">
        <f t="shared" ca="1" si="791"/>
        <v>3553118</v>
      </c>
      <c r="T889" s="26">
        <f ca="1">IFERROR(__xludf.DUMMYFUNCTION("ROUND(GOOGLEFINANCE(""Currency:EURKZT"")*L889+S889)"),4074863)</f>
        <v>4074863</v>
      </c>
      <c r="U889" s="26">
        <f ca="1">IFERROR(__xludf.DUMMYFUNCTION("D889*GOOGLEFINANCE(""RUBKZT"")*1000/F889"),5012670.93921072)</f>
        <v>5012670.9392107204</v>
      </c>
      <c r="V889" s="27">
        <f t="shared" ca="1" si="792"/>
        <v>0.23014465497630726</v>
      </c>
    </row>
    <row r="890" spans="1:22" ht="12.75" customHeight="1" x14ac:dyDescent="0.2">
      <c r="A890" s="6" t="s">
        <v>333</v>
      </c>
      <c r="B890" s="6" t="s">
        <v>32</v>
      </c>
      <c r="C890" s="7">
        <v>190540</v>
      </c>
      <c r="D890" s="8">
        <v>23528.399999999998</v>
      </c>
      <c r="E890" s="9" t="s">
        <v>16</v>
      </c>
      <c r="F890" s="23">
        <v>20</v>
      </c>
      <c r="G890" s="25"/>
      <c r="H890" s="14">
        <f t="shared" si="786"/>
        <v>0.55000000000000004</v>
      </c>
      <c r="I890" s="25">
        <f ca="1">IFERROR(__xludf.DUMMYFUNCTION("ROUND(D890*GOOGLEFINANCE(""RUBKZT"")*H890)"),100982)</f>
        <v>100982</v>
      </c>
      <c r="J890" s="26">
        <f ca="1">IFERROR(__xludf.DUMMYFUNCTION("ROUND(I890*GOOGLEFINANCE(""KZTEUR""))"),211)</f>
        <v>211</v>
      </c>
      <c r="K890" s="26">
        <f t="shared" ca="1" si="787"/>
        <v>10550</v>
      </c>
      <c r="L890" s="26">
        <f t="shared" ca="1" si="788"/>
        <v>2004.5</v>
      </c>
      <c r="M890" s="26">
        <f t="shared" ref="M890:N890" si="912">M$3</f>
        <v>500</v>
      </c>
      <c r="N890" s="26">
        <f t="shared" si="912"/>
        <v>500</v>
      </c>
      <c r="O890" s="26">
        <f ca="1">IFERROR(__xludf.DUMMYFUNCTION("ROUND(GOOGLEFINANCE(""Currency:EURKZT"")*K890)"),5038359)</f>
        <v>5038359</v>
      </c>
      <c r="P890" s="26">
        <f ca="1">IFERROR(__xludf.DUMMYFUNCTION("ROUND(GOOGLEFINANCE(""Currency:EURKZT"")*M890)"),238785)</f>
        <v>238785</v>
      </c>
      <c r="Q890" s="26">
        <f ca="1">IFERROR(__xludf.DUMMYFUNCTION("ROUND(GOOGLEFINANCE(""Currency:EURKZT"")*N890)"),238785)</f>
        <v>238785</v>
      </c>
      <c r="R890" s="26">
        <f t="shared" ca="1" si="790"/>
        <v>604603</v>
      </c>
      <c r="S890" s="26">
        <f t="shared" ca="1" si="791"/>
        <v>6120532</v>
      </c>
      <c r="T890" s="26">
        <f ca="1">IFERROR(__xludf.DUMMYFUNCTION("ROUND(GOOGLEFINANCE(""Currency:EURKZT"")*L890+S890)"),7077820)</f>
        <v>7077820</v>
      </c>
      <c r="U890" s="26">
        <f ca="1">IFERROR(__xludf.DUMMYFUNCTION("D890*GOOGLEFINANCE(""RUBKZT"")*1000/F890"),9180220.35354984)</f>
        <v>9180220.3535498399</v>
      </c>
      <c r="V890" s="27">
        <f t="shared" ca="1" si="792"/>
        <v>0.29704066415221636</v>
      </c>
    </row>
    <row r="891" spans="1:22" ht="12.75" customHeight="1" x14ac:dyDescent="0.2">
      <c r="A891" s="6" t="s">
        <v>334</v>
      </c>
      <c r="B891" s="6" t="s">
        <v>32</v>
      </c>
      <c r="C891" s="7">
        <v>190543</v>
      </c>
      <c r="D891" s="8">
        <v>25570.799999999999</v>
      </c>
      <c r="E891" s="9" t="s">
        <v>16</v>
      </c>
      <c r="F891" s="23">
        <v>20</v>
      </c>
      <c r="G891" s="25"/>
      <c r="H891" s="14">
        <f t="shared" si="786"/>
        <v>0.55000000000000004</v>
      </c>
      <c r="I891" s="25">
        <f ca="1">IFERROR(__xludf.DUMMYFUNCTION("ROUND(D891*GOOGLEFINANCE(""RUBKZT"")*H891)"),109748)</f>
        <v>109748</v>
      </c>
      <c r="J891" s="26">
        <f ca="1">IFERROR(__xludf.DUMMYFUNCTION("ROUND(I891*GOOGLEFINANCE(""KZTEUR""))"),230)</f>
        <v>230</v>
      </c>
      <c r="K891" s="26">
        <f t="shared" ca="1" si="787"/>
        <v>11500</v>
      </c>
      <c r="L891" s="26">
        <f t="shared" ca="1" si="788"/>
        <v>2185</v>
      </c>
      <c r="M891" s="26">
        <f t="shared" ref="M891:N891" si="913">M$3</f>
        <v>500</v>
      </c>
      <c r="N891" s="26">
        <f t="shared" si="913"/>
        <v>500</v>
      </c>
      <c r="O891" s="26">
        <f ca="1">IFERROR(__xludf.DUMMYFUNCTION("ROUND(GOOGLEFINANCE(""Currency:EURKZT"")*K891)"),5492051)</f>
        <v>5492051</v>
      </c>
      <c r="P891" s="26">
        <f ca="1">IFERROR(__xludf.DUMMYFUNCTION("ROUND(GOOGLEFINANCE(""Currency:EURKZT"")*M891)"),238785)</f>
        <v>238785</v>
      </c>
      <c r="Q891" s="26">
        <f ca="1">IFERROR(__xludf.DUMMYFUNCTION("ROUND(GOOGLEFINANCE(""Currency:EURKZT"")*N891)"),238785)</f>
        <v>238785</v>
      </c>
      <c r="R891" s="26">
        <f t="shared" ca="1" si="790"/>
        <v>659046</v>
      </c>
      <c r="S891" s="26">
        <f t="shared" ca="1" si="791"/>
        <v>6628667</v>
      </c>
      <c r="T891" s="26">
        <f ca="1">IFERROR(__xludf.DUMMYFUNCTION("ROUND(GOOGLEFINANCE(""Currency:EURKZT"")*L891+S891)"),7672157)</f>
        <v>7672157</v>
      </c>
      <c r="U891" s="26">
        <f ca="1">IFERROR(__xludf.DUMMYFUNCTION("D891*GOOGLEFINANCE(""RUBKZT"")*1000/F891"),9977116.10719608)</f>
        <v>9977116.1071960796</v>
      </c>
      <c r="V891" s="27">
        <f t="shared" ca="1" si="792"/>
        <v>0.30043169179098911</v>
      </c>
    </row>
    <row r="892" spans="1:22" ht="12.75" customHeight="1" x14ac:dyDescent="0.2">
      <c r="A892" s="6" t="s">
        <v>335</v>
      </c>
      <c r="B892" s="6" t="s">
        <v>32</v>
      </c>
      <c r="C892" s="7">
        <v>190546</v>
      </c>
      <c r="D892" s="8">
        <v>12772.8</v>
      </c>
      <c r="E892" s="9" t="s">
        <v>16</v>
      </c>
      <c r="F892" s="23">
        <v>20</v>
      </c>
      <c r="G892" s="25"/>
      <c r="H892" s="14">
        <f t="shared" si="786"/>
        <v>0.55000000000000004</v>
      </c>
      <c r="I892" s="25">
        <f ca="1">IFERROR(__xludf.DUMMYFUNCTION("ROUND(D892*GOOGLEFINANCE(""RUBKZT"")*H892)"),54820)</f>
        <v>54820</v>
      </c>
      <c r="J892" s="26">
        <f ca="1">IFERROR(__xludf.DUMMYFUNCTION("ROUND(I892*GOOGLEFINANCE(""KZTEUR""))"),115)</f>
        <v>115</v>
      </c>
      <c r="K892" s="26">
        <f t="shared" ca="1" si="787"/>
        <v>5750</v>
      </c>
      <c r="L892" s="26">
        <f t="shared" ca="1" si="788"/>
        <v>1092.5</v>
      </c>
      <c r="M892" s="26">
        <f t="shared" ref="M892:N892" si="914">M$3</f>
        <v>500</v>
      </c>
      <c r="N892" s="26">
        <f t="shared" si="914"/>
        <v>500</v>
      </c>
      <c r="O892" s="26">
        <f ca="1">IFERROR(__xludf.DUMMYFUNCTION("ROUND(GOOGLEFINANCE(""Currency:EURKZT"")*K892)"),2746025)</f>
        <v>2746025</v>
      </c>
      <c r="P892" s="26">
        <f ca="1">IFERROR(__xludf.DUMMYFUNCTION("ROUND(GOOGLEFINANCE(""Currency:EURKZT"")*M892)"),238785)</f>
        <v>238785</v>
      </c>
      <c r="Q892" s="26">
        <f ca="1">IFERROR(__xludf.DUMMYFUNCTION("ROUND(GOOGLEFINANCE(""Currency:EURKZT"")*N892)"),238785)</f>
        <v>238785</v>
      </c>
      <c r="R892" s="26">
        <f t="shared" ca="1" si="790"/>
        <v>329523</v>
      </c>
      <c r="S892" s="26">
        <f t="shared" ca="1" si="791"/>
        <v>3553118</v>
      </c>
      <c r="T892" s="26">
        <f ca="1">IFERROR(__xludf.DUMMYFUNCTION("ROUND(GOOGLEFINANCE(""Currency:EURKZT"")*L892+S892)"),4074863)</f>
        <v>4074863</v>
      </c>
      <c r="U892" s="26">
        <f ca="1">IFERROR(__xludf.DUMMYFUNCTION("D892*GOOGLEFINANCE(""RUBKZT"")*1000/F892"),4983641.83420128)</f>
        <v>4983641.83420128</v>
      </c>
      <c r="V892" s="27">
        <f t="shared" ca="1" si="792"/>
        <v>0.22302070872107357</v>
      </c>
    </row>
    <row r="893" spans="1:22" ht="12.75" customHeight="1" x14ac:dyDescent="0.2">
      <c r="A893" s="6" t="s">
        <v>336</v>
      </c>
      <c r="B893" s="6" t="s">
        <v>32</v>
      </c>
      <c r="C893" s="7">
        <v>190550</v>
      </c>
      <c r="D893" s="8">
        <v>12859.199999999999</v>
      </c>
      <c r="E893" s="9" t="s">
        <v>16</v>
      </c>
      <c r="F893" s="23">
        <v>20</v>
      </c>
      <c r="G893" s="25"/>
      <c r="H893" s="14">
        <f t="shared" si="786"/>
        <v>0.55000000000000004</v>
      </c>
      <c r="I893" s="25">
        <f ca="1">IFERROR(__xludf.DUMMYFUNCTION("ROUND(D893*GOOGLEFINANCE(""RUBKZT"")*H893)"),55191)</f>
        <v>55191</v>
      </c>
      <c r="J893" s="26">
        <f ca="1">IFERROR(__xludf.DUMMYFUNCTION("ROUND(I893*GOOGLEFINANCE(""KZTEUR""))"),116)</f>
        <v>116</v>
      </c>
      <c r="K893" s="26">
        <f t="shared" ca="1" si="787"/>
        <v>5800</v>
      </c>
      <c r="L893" s="26">
        <f t="shared" ca="1" si="788"/>
        <v>1102</v>
      </c>
      <c r="M893" s="26">
        <f t="shared" ref="M893:N893" si="915">M$3</f>
        <v>500</v>
      </c>
      <c r="N893" s="26">
        <f t="shared" si="915"/>
        <v>500</v>
      </c>
      <c r="O893" s="26">
        <f ca="1">IFERROR(__xludf.DUMMYFUNCTION("ROUND(GOOGLEFINANCE(""Currency:EURKZT"")*K893)"),2769904)</f>
        <v>2769904</v>
      </c>
      <c r="P893" s="26">
        <f ca="1">IFERROR(__xludf.DUMMYFUNCTION("ROUND(GOOGLEFINANCE(""Currency:EURKZT"")*M893)"),238785)</f>
        <v>238785</v>
      </c>
      <c r="Q893" s="26">
        <f ca="1">IFERROR(__xludf.DUMMYFUNCTION("ROUND(GOOGLEFINANCE(""Currency:EURKZT"")*N893)"),238785)</f>
        <v>238785</v>
      </c>
      <c r="R893" s="26">
        <f t="shared" ca="1" si="790"/>
        <v>332388</v>
      </c>
      <c r="S893" s="26">
        <f t="shared" ca="1" si="791"/>
        <v>3579862</v>
      </c>
      <c r="T893" s="26">
        <f ca="1">IFERROR(__xludf.DUMMYFUNCTION("ROUND(GOOGLEFINANCE(""Currency:EURKZT"")*L893+S893)"),4106144)</f>
        <v>4106144</v>
      </c>
      <c r="U893" s="26">
        <f ca="1">IFERROR(__xludf.DUMMYFUNCTION("D893*GOOGLEFINANCE(""RUBKZT"")*1000/F893"),5017353.05292191)</f>
        <v>5017353.0529219098</v>
      </c>
      <c r="V893" s="27">
        <f t="shared" ca="1" si="792"/>
        <v>0.22191356487300734</v>
      </c>
    </row>
    <row r="894" spans="1:22" ht="12.75" customHeight="1" x14ac:dyDescent="0.2">
      <c r="A894" s="6" t="s">
        <v>337</v>
      </c>
      <c r="B894" s="6" t="s">
        <v>32</v>
      </c>
      <c r="C894" s="7">
        <v>190571</v>
      </c>
      <c r="D894" s="8">
        <v>10249.199999999999</v>
      </c>
      <c r="E894" s="9" t="s">
        <v>16</v>
      </c>
      <c r="F894" s="23">
        <v>20</v>
      </c>
      <c r="G894" s="25"/>
      <c r="H894" s="14">
        <f t="shared" si="786"/>
        <v>0.55000000000000004</v>
      </c>
      <c r="I894" s="25">
        <f ca="1">IFERROR(__xludf.DUMMYFUNCTION("ROUND(D894*GOOGLEFINANCE(""RUBKZT"")*H894)"),43989)</f>
        <v>43989</v>
      </c>
      <c r="J894" s="26">
        <f ca="1">IFERROR(__xludf.DUMMYFUNCTION("ROUND(I894*GOOGLEFINANCE(""KZTEUR""))"),92)</f>
        <v>92</v>
      </c>
      <c r="K894" s="26">
        <f t="shared" ca="1" si="787"/>
        <v>4600</v>
      </c>
      <c r="L894" s="26">
        <f t="shared" ca="1" si="788"/>
        <v>874</v>
      </c>
      <c r="M894" s="26">
        <f t="shared" ref="M894:N894" si="916">M$3</f>
        <v>500</v>
      </c>
      <c r="N894" s="26">
        <f t="shared" si="916"/>
        <v>500</v>
      </c>
      <c r="O894" s="26">
        <f ca="1">IFERROR(__xludf.DUMMYFUNCTION("ROUND(GOOGLEFINANCE(""Currency:EURKZT"")*K894)"),2196820)</f>
        <v>2196820</v>
      </c>
      <c r="P894" s="26">
        <f ca="1">IFERROR(__xludf.DUMMYFUNCTION("ROUND(GOOGLEFINANCE(""Currency:EURKZT"")*M894)"),238785)</f>
        <v>238785</v>
      </c>
      <c r="Q894" s="26">
        <f ca="1">IFERROR(__xludf.DUMMYFUNCTION("ROUND(GOOGLEFINANCE(""Currency:EURKZT"")*N894)"),238785)</f>
        <v>238785</v>
      </c>
      <c r="R894" s="26">
        <f t="shared" ca="1" si="790"/>
        <v>263618</v>
      </c>
      <c r="S894" s="26">
        <f t="shared" ca="1" si="791"/>
        <v>2938008</v>
      </c>
      <c r="T894" s="26">
        <f ca="1">IFERROR(__xludf.DUMMYFUNCTION("ROUND(GOOGLEFINANCE(""Currency:EURKZT"")*L894+S894)"),3355404)</f>
        <v>3355404</v>
      </c>
      <c r="U894" s="26">
        <f ca="1">IFERROR(__xludf.DUMMYFUNCTION("D894*GOOGLEFINANCE(""RUBKZT"")*1000/F894"),3998993.32073592)</f>
        <v>3998993.3207359202</v>
      </c>
      <c r="V894" s="27">
        <f t="shared" ca="1" si="792"/>
        <v>0.19180680500348699</v>
      </c>
    </row>
    <row r="895" spans="1:22" ht="12.75" customHeight="1" x14ac:dyDescent="0.2">
      <c r="A895" s="6" t="s">
        <v>338</v>
      </c>
      <c r="B895" s="6" t="s">
        <v>32</v>
      </c>
      <c r="C895" s="7">
        <v>190574</v>
      </c>
      <c r="D895" s="8">
        <v>16008</v>
      </c>
      <c r="E895" s="9" t="s">
        <v>16</v>
      </c>
      <c r="F895" s="23">
        <v>20</v>
      </c>
      <c r="G895" s="25"/>
      <c r="H895" s="14">
        <f t="shared" si="786"/>
        <v>0.55000000000000004</v>
      </c>
      <c r="I895" s="25">
        <f ca="1">IFERROR(__xludf.DUMMYFUNCTION("ROUND(D895*GOOGLEFINANCE(""RUBKZT"")*H895)"),68705)</f>
        <v>68705</v>
      </c>
      <c r="J895" s="26">
        <f ca="1">IFERROR(__xludf.DUMMYFUNCTION("ROUND(I895*GOOGLEFINANCE(""KZTEUR""))"),144)</f>
        <v>144</v>
      </c>
      <c r="K895" s="26">
        <f t="shared" ca="1" si="787"/>
        <v>7200</v>
      </c>
      <c r="L895" s="26">
        <f t="shared" ca="1" si="788"/>
        <v>1368</v>
      </c>
      <c r="M895" s="26">
        <f t="shared" ref="M895:N895" si="917">M$3</f>
        <v>500</v>
      </c>
      <c r="N895" s="26">
        <f t="shared" si="917"/>
        <v>500</v>
      </c>
      <c r="O895" s="26">
        <f ca="1">IFERROR(__xludf.DUMMYFUNCTION("ROUND(GOOGLEFINANCE(""Currency:EURKZT"")*K895)"),3438501)</f>
        <v>3438501</v>
      </c>
      <c r="P895" s="26">
        <f ca="1">IFERROR(__xludf.DUMMYFUNCTION("ROUND(GOOGLEFINANCE(""Currency:EURKZT"")*M895)"),238785)</f>
        <v>238785</v>
      </c>
      <c r="Q895" s="26">
        <f ca="1">IFERROR(__xludf.DUMMYFUNCTION("ROUND(GOOGLEFINANCE(""Currency:EURKZT"")*N895)"),238785)</f>
        <v>238785</v>
      </c>
      <c r="R895" s="26">
        <f t="shared" ca="1" si="790"/>
        <v>412620</v>
      </c>
      <c r="S895" s="26">
        <f t="shared" ca="1" si="791"/>
        <v>4328691</v>
      </c>
      <c r="T895" s="26">
        <f ca="1">IFERROR(__xludf.DUMMYFUNCTION("ROUND(GOOGLEFINANCE(""Currency:EURKZT"")*L895+S895)"),4982006)</f>
        <v>4982006</v>
      </c>
      <c r="U895" s="26">
        <f ca="1">IFERROR(__xludf.DUMMYFUNCTION("D895*GOOGLEFINANCE(""RUBKZT"")*1000/F895"),6245939.69074079)</f>
        <v>6245939.6907407902</v>
      </c>
      <c r="V895" s="27">
        <f t="shared" ca="1" si="792"/>
        <v>0.25369975281860163</v>
      </c>
    </row>
    <row r="896" spans="1:22" ht="12.75" customHeight="1" x14ac:dyDescent="0.2">
      <c r="A896" s="6" t="s">
        <v>339</v>
      </c>
      <c r="B896" s="6" t="s">
        <v>32</v>
      </c>
      <c r="C896" s="7">
        <v>190578</v>
      </c>
      <c r="D896" s="8">
        <v>15946.8</v>
      </c>
      <c r="E896" s="9" t="s">
        <v>16</v>
      </c>
      <c r="F896" s="23">
        <v>20</v>
      </c>
      <c r="G896" s="25"/>
      <c r="H896" s="14">
        <f t="shared" si="786"/>
        <v>0.55000000000000004</v>
      </c>
      <c r="I896" s="25">
        <f ca="1">IFERROR(__xludf.DUMMYFUNCTION("ROUND(D896*GOOGLEFINANCE(""RUBKZT"")*H896)"),68443)</f>
        <v>68443</v>
      </c>
      <c r="J896" s="26">
        <f ca="1">IFERROR(__xludf.DUMMYFUNCTION("ROUND(I896*GOOGLEFINANCE(""KZTEUR""))"),143)</f>
        <v>143</v>
      </c>
      <c r="K896" s="26">
        <f t="shared" ca="1" si="787"/>
        <v>7150</v>
      </c>
      <c r="L896" s="26">
        <f t="shared" ca="1" si="788"/>
        <v>1358.5</v>
      </c>
      <c r="M896" s="26">
        <f t="shared" ref="M896:N896" si="918">M$3</f>
        <v>500</v>
      </c>
      <c r="N896" s="26">
        <f t="shared" si="918"/>
        <v>500</v>
      </c>
      <c r="O896" s="26">
        <f ca="1">IFERROR(__xludf.DUMMYFUNCTION("ROUND(GOOGLEFINANCE(""Currency:EURKZT"")*K896)"),3414623)</f>
        <v>3414623</v>
      </c>
      <c r="P896" s="26">
        <f ca="1">IFERROR(__xludf.DUMMYFUNCTION("ROUND(GOOGLEFINANCE(""Currency:EURKZT"")*M896)"),238785)</f>
        <v>238785</v>
      </c>
      <c r="Q896" s="26">
        <f ca="1">IFERROR(__xludf.DUMMYFUNCTION("ROUND(GOOGLEFINANCE(""Currency:EURKZT"")*N896)"),238785)</f>
        <v>238785</v>
      </c>
      <c r="R896" s="26">
        <f t="shared" ca="1" si="790"/>
        <v>409755</v>
      </c>
      <c r="S896" s="26">
        <f t="shared" ca="1" si="791"/>
        <v>4301948</v>
      </c>
      <c r="T896" s="26">
        <f ca="1">IFERROR(__xludf.DUMMYFUNCTION("ROUND(GOOGLEFINANCE(""Currency:EURKZT"")*L896+S896)"),4950726)</f>
        <v>4950726</v>
      </c>
      <c r="U896" s="26">
        <f ca="1">IFERROR(__xludf.DUMMYFUNCTION("D896*GOOGLEFINANCE(""RUBKZT"")*1000/F896"),6222060.91081368)</f>
        <v>6222060.9108136799</v>
      </c>
      <c r="V896" s="27">
        <f t="shared" ca="1" si="792"/>
        <v>0.25679767185937574</v>
      </c>
    </row>
    <row r="897" spans="1:22" ht="12.75" customHeight="1" x14ac:dyDescent="0.2">
      <c r="A897" s="6" t="s">
        <v>340</v>
      </c>
      <c r="B897" s="6" t="s">
        <v>32</v>
      </c>
      <c r="C897" s="7">
        <v>190581</v>
      </c>
      <c r="D897" s="8">
        <v>16159.199999999999</v>
      </c>
      <c r="E897" s="9" t="s">
        <v>16</v>
      </c>
      <c r="F897" s="23">
        <v>20</v>
      </c>
      <c r="G897" s="25"/>
      <c r="H897" s="14">
        <f t="shared" si="786"/>
        <v>0.55000000000000004</v>
      </c>
      <c r="I897" s="25">
        <f ca="1">IFERROR(__xludf.DUMMYFUNCTION("ROUND(D897*GOOGLEFINANCE(""RUBKZT"")*H897)"),69354)</f>
        <v>69354</v>
      </c>
      <c r="J897" s="26">
        <f ca="1">IFERROR(__xludf.DUMMYFUNCTION("ROUND(I897*GOOGLEFINANCE(""KZTEUR""))"),145)</f>
        <v>145</v>
      </c>
      <c r="K897" s="26">
        <f t="shared" ca="1" si="787"/>
        <v>7250</v>
      </c>
      <c r="L897" s="26">
        <f t="shared" ca="1" si="788"/>
        <v>1377.5</v>
      </c>
      <c r="M897" s="26">
        <f t="shared" ref="M897:N897" si="919">M$3</f>
        <v>500</v>
      </c>
      <c r="N897" s="26">
        <f t="shared" si="919"/>
        <v>500</v>
      </c>
      <c r="O897" s="26">
        <f ca="1">IFERROR(__xludf.DUMMYFUNCTION("ROUND(GOOGLEFINANCE(""Currency:EURKZT"")*K897)"),3462380)</f>
        <v>3462380</v>
      </c>
      <c r="P897" s="26">
        <f ca="1">IFERROR(__xludf.DUMMYFUNCTION("ROUND(GOOGLEFINANCE(""Currency:EURKZT"")*M897)"),238785)</f>
        <v>238785</v>
      </c>
      <c r="Q897" s="26">
        <f ca="1">IFERROR(__xludf.DUMMYFUNCTION("ROUND(GOOGLEFINANCE(""Currency:EURKZT"")*N897)"),238785)</f>
        <v>238785</v>
      </c>
      <c r="R897" s="26">
        <f t="shared" ca="1" si="790"/>
        <v>415486</v>
      </c>
      <c r="S897" s="26">
        <f t="shared" ca="1" si="791"/>
        <v>4355436</v>
      </c>
      <c r="T897" s="26">
        <f ca="1">IFERROR(__xludf.DUMMYFUNCTION("ROUND(GOOGLEFINANCE(""Currency:EURKZT"")*L897+S897)"),5013288)</f>
        <v>5013288</v>
      </c>
      <c r="U897" s="26">
        <f ca="1">IFERROR(__xludf.DUMMYFUNCTION("D897*GOOGLEFINANCE(""RUBKZT"")*1000/F897"),6304934.32350192)</f>
        <v>6304934.3235019203</v>
      </c>
      <c r="V897" s="27">
        <f t="shared" ca="1" si="792"/>
        <v>0.25764454854816249</v>
      </c>
    </row>
    <row r="898" spans="1:22" ht="12.75" customHeight="1" x14ac:dyDescent="0.2">
      <c r="A898" s="6" t="s">
        <v>341</v>
      </c>
      <c r="B898" s="6" t="s">
        <v>32</v>
      </c>
      <c r="C898" s="7">
        <v>190583</v>
      </c>
      <c r="D898" s="8">
        <v>16363.199999999999</v>
      </c>
      <c r="E898" s="9" t="s">
        <v>16</v>
      </c>
      <c r="F898" s="23">
        <v>20</v>
      </c>
      <c r="G898" s="25"/>
      <c r="H898" s="14">
        <f t="shared" si="786"/>
        <v>0.55000000000000004</v>
      </c>
      <c r="I898" s="25">
        <f ca="1">IFERROR(__xludf.DUMMYFUNCTION("ROUND(D898*GOOGLEFINANCE(""RUBKZT"")*H898)"),70230)</f>
        <v>70230</v>
      </c>
      <c r="J898" s="26">
        <f ca="1">IFERROR(__xludf.DUMMYFUNCTION("ROUND(I898*GOOGLEFINANCE(""KZTEUR""))"),147)</f>
        <v>147</v>
      </c>
      <c r="K898" s="26">
        <f t="shared" ca="1" si="787"/>
        <v>7350</v>
      </c>
      <c r="L898" s="26">
        <f t="shared" ca="1" si="788"/>
        <v>1396.5</v>
      </c>
      <c r="M898" s="26">
        <f t="shared" ref="M898:N898" si="920">M$3</f>
        <v>500</v>
      </c>
      <c r="N898" s="26">
        <f t="shared" si="920"/>
        <v>500</v>
      </c>
      <c r="O898" s="26">
        <f ca="1">IFERROR(__xludf.DUMMYFUNCTION("ROUND(GOOGLEFINANCE(""Currency:EURKZT"")*K898)"),3510137)</f>
        <v>3510137</v>
      </c>
      <c r="P898" s="26">
        <f ca="1">IFERROR(__xludf.DUMMYFUNCTION("ROUND(GOOGLEFINANCE(""Currency:EURKZT"")*M898)"),238785)</f>
        <v>238785</v>
      </c>
      <c r="Q898" s="26">
        <f ca="1">IFERROR(__xludf.DUMMYFUNCTION("ROUND(GOOGLEFINANCE(""Currency:EURKZT"")*N898)"),238785)</f>
        <v>238785</v>
      </c>
      <c r="R898" s="26">
        <f t="shared" ca="1" si="790"/>
        <v>421216</v>
      </c>
      <c r="S898" s="26">
        <f t="shared" ca="1" si="791"/>
        <v>4408923</v>
      </c>
      <c r="T898" s="26">
        <f ca="1">IFERROR(__xludf.DUMMYFUNCTION("ROUND(GOOGLEFINANCE(""Currency:EURKZT"")*L898+S898)"),5075849)</f>
        <v>5075849</v>
      </c>
      <c r="U898" s="26">
        <f ca="1">IFERROR(__xludf.DUMMYFUNCTION("D898*GOOGLEFINANCE(""RUBKZT"")*1000/F898"),6384530.25659232)</f>
        <v>6384530.2565923203</v>
      </c>
      <c r="V898" s="27">
        <f t="shared" ca="1" si="792"/>
        <v>0.25782509617451588</v>
      </c>
    </row>
    <row r="899" spans="1:22" ht="12.75" customHeight="1" x14ac:dyDescent="0.2">
      <c r="A899" s="6" t="s">
        <v>342</v>
      </c>
      <c r="B899" s="6" t="s">
        <v>32</v>
      </c>
      <c r="C899" s="7">
        <v>190587</v>
      </c>
      <c r="D899" s="8">
        <v>17020.8</v>
      </c>
      <c r="E899" s="9" t="s">
        <v>16</v>
      </c>
      <c r="F899" s="23">
        <v>20</v>
      </c>
      <c r="G899" s="25"/>
      <c r="H899" s="14">
        <f t="shared" si="786"/>
        <v>0.55000000000000004</v>
      </c>
      <c r="I899" s="25">
        <f ca="1">IFERROR(__xludf.DUMMYFUNCTION("ROUND(D899*GOOGLEFINANCE(""RUBKZT"")*H899)"),73052)</f>
        <v>73052</v>
      </c>
      <c r="J899" s="26">
        <f ca="1">IFERROR(__xludf.DUMMYFUNCTION("ROUND(I899*GOOGLEFINANCE(""KZTEUR""))"),153)</f>
        <v>153</v>
      </c>
      <c r="K899" s="26">
        <f t="shared" ca="1" si="787"/>
        <v>7650</v>
      </c>
      <c r="L899" s="26">
        <f t="shared" ca="1" si="788"/>
        <v>1453.5</v>
      </c>
      <c r="M899" s="26">
        <f t="shared" ref="M899:N899" si="921">M$3</f>
        <v>500</v>
      </c>
      <c r="N899" s="26">
        <f t="shared" si="921"/>
        <v>500</v>
      </c>
      <c r="O899" s="26">
        <f ca="1">IFERROR(__xludf.DUMMYFUNCTION("ROUND(GOOGLEFINANCE(""Currency:EURKZT"")*K899)"),3653408)</f>
        <v>3653408</v>
      </c>
      <c r="P899" s="26">
        <f ca="1">IFERROR(__xludf.DUMMYFUNCTION("ROUND(GOOGLEFINANCE(""Currency:EURKZT"")*M899)"),238785)</f>
        <v>238785</v>
      </c>
      <c r="Q899" s="26">
        <f ca="1">IFERROR(__xludf.DUMMYFUNCTION("ROUND(GOOGLEFINANCE(""Currency:EURKZT"")*N899)"),238785)</f>
        <v>238785</v>
      </c>
      <c r="R899" s="26">
        <f t="shared" ca="1" si="790"/>
        <v>438409</v>
      </c>
      <c r="S899" s="26">
        <f t="shared" ca="1" si="791"/>
        <v>4569387</v>
      </c>
      <c r="T899" s="26">
        <f ca="1">IFERROR(__xludf.DUMMYFUNCTION("ROUND(GOOGLEFINANCE(""Currency:EURKZT"")*L899+S899)"),5263534)</f>
        <v>5263534</v>
      </c>
      <c r="U899" s="26">
        <f ca="1">IFERROR(__xludf.DUMMYFUNCTION("D899*GOOGLEFINANCE(""RUBKZT"")*1000/F899"),6641110.08796608)</f>
        <v>6641110.0879660798</v>
      </c>
      <c r="V899" s="27">
        <f t="shared" ca="1" si="792"/>
        <v>0.26172075414846374</v>
      </c>
    </row>
    <row r="900" spans="1:22" ht="12.75" customHeight="1" x14ac:dyDescent="0.2">
      <c r="A900" s="6" t="s">
        <v>343</v>
      </c>
      <c r="B900" s="6" t="s">
        <v>32</v>
      </c>
      <c r="C900" s="7">
        <v>190589</v>
      </c>
      <c r="D900" s="8">
        <v>18512.399999999998</v>
      </c>
      <c r="E900" s="9" t="s">
        <v>16</v>
      </c>
      <c r="F900" s="23">
        <v>20</v>
      </c>
      <c r="G900" s="25"/>
      <c r="H900" s="14">
        <f t="shared" si="786"/>
        <v>0.55000000000000004</v>
      </c>
      <c r="I900" s="25">
        <f ca="1">IFERROR(__xludf.DUMMYFUNCTION("ROUND(D900*GOOGLEFINANCE(""RUBKZT"")*H900)"),79454)</f>
        <v>79454</v>
      </c>
      <c r="J900" s="26">
        <f ca="1">IFERROR(__xludf.DUMMYFUNCTION("ROUND(I900*GOOGLEFINANCE(""KZTEUR""))"),166)</f>
        <v>166</v>
      </c>
      <c r="K900" s="26">
        <f t="shared" ca="1" si="787"/>
        <v>8300</v>
      </c>
      <c r="L900" s="26">
        <f t="shared" ca="1" si="788"/>
        <v>1577</v>
      </c>
      <c r="M900" s="26">
        <f t="shared" ref="M900:N900" si="922">M$3</f>
        <v>500</v>
      </c>
      <c r="N900" s="26">
        <f t="shared" si="922"/>
        <v>500</v>
      </c>
      <c r="O900" s="26">
        <f ca="1">IFERROR(__xludf.DUMMYFUNCTION("ROUND(GOOGLEFINANCE(""Currency:EURKZT"")*K900)"),3963828)</f>
        <v>3963828</v>
      </c>
      <c r="P900" s="26">
        <f ca="1">IFERROR(__xludf.DUMMYFUNCTION("ROUND(GOOGLEFINANCE(""Currency:EURKZT"")*M900)"),238785)</f>
        <v>238785</v>
      </c>
      <c r="Q900" s="26">
        <f ca="1">IFERROR(__xludf.DUMMYFUNCTION("ROUND(GOOGLEFINANCE(""Currency:EURKZT"")*N900)"),238785)</f>
        <v>238785</v>
      </c>
      <c r="R900" s="26">
        <f t="shared" ca="1" si="790"/>
        <v>475659</v>
      </c>
      <c r="S900" s="26">
        <f t="shared" ca="1" si="791"/>
        <v>4917057</v>
      </c>
      <c r="T900" s="26">
        <f ca="1">IFERROR(__xludf.DUMMYFUNCTION("ROUND(GOOGLEFINANCE(""Currency:EURKZT"")*L900+S900)"),5670184)</f>
        <v>5670184</v>
      </c>
      <c r="U900" s="26">
        <f ca="1">IFERROR(__xludf.DUMMYFUNCTION("D900*GOOGLEFINANCE(""RUBKZT"")*1000/F900"),7223096.82226823)</f>
        <v>7223096.8222682299</v>
      </c>
      <c r="V900" s="27">
        <f t="shared" ca="1" si="792"/>
        <v>0.27387344436586714</v>
      </c>
    </row>
    <row r="901" spans="1:22" ht="12.75" customHeight="1" x14ac:dyDescent="0.2">
      <c r="A901" s="6" t="s">
        <v>344</v>
      </c>
      <c r="B901" s="6" t="s">
        <v>32</v>
      </c>
      <c r="C901" s="7">
        <v>190592</v>
      </c>
      <c r="D901" s="8">
        <v>26632.799999999999</v>
      </c>
      <c r="E901" s="9" t="s">
        <v>16</v>
      </c>
      <c r="F901" s="23">
        <v>20</v>
      </c>
      <c r="G901" s="25"/>
      <c r="H901" s="14">
        <f t="shared" si="786"/>
        <v>0.55000000000000004</v>
      </c>
      <c r="I901" s="25">
        <f ca="1">IFERROR(__xludf.DUMMYFUNCTION("ROUND(D901*GOOGLEFINANCE(""RUBKZT"")*H901)"),114306)</f>
        <v>114306</v>
      </c>
      <c r="J901" s="26">
        <f ca="1">IFERROR(__xludf.DUMMYFUNCTION("ROUND(I901*GOOGLEFINANCE(""KZTEUR""))"),239)</f>
        <v>239</v>
      </c>
      <c r="K901" s="26">
        <f t="shared" ca="1" si="787"/>
        <v>11950</v>
      </c>
      <c r="L901" s="26">
        <f t="shared" ca="1" si="788"/>
        <v>2270.5</v>
      </c>
      <c r="M901" s="26">
        <f t="shared" ref="M901:N901" si="923">M$3</f>
        <v>500</v>
      </c>
      <c r="N901" s="26">
        <f t="shared" si="923"/>
        <v>500</v>
      </c>
      <c r="O901" s="26">
        <f ca="1">IFERROR(__xludf.DUMMYFUNCTION("ROUND(GOOGLEFINANCE(""Currency:EURKZT"")*K901)"),5706957)</f>
        <v>5706957</v>
      </c>
      <c r="P901" s="26">
        <f ca="1">IFERROR(__xludf.DUMMYFUNCTION("ROUND(GOOGLEFINANCE(""Currency:EURKZT"")*M901)"),238785)</f>
        <v>238785</v>
      </c>
      <c r="Q901" s="26">
        <f ca="1">IFERROR(__xludf.DUMMYFUNCTION("ROUND(GOOGLEFINANCE(""Currency:EURKZT"")*N901)"),238785)</f>
        <v>238785</v>
      </c>
      <c r="R901" s="26">
        <f t="shared" ca="1" si="790"/>
        <v>684835</v>
      </c>
      <c r="S901" s="26">
        <f t="shared" ca="1" si="791"/>
        <v>6869362</v>
      </c>
      <c r="T901" s="26">
        <f ca="1">IFERROR(__xludf.DUMMYFUNCTION("ROUND(GOOGLEFINANCE(""Currency:EURKZT"")*L901+S901)"),7953684)</f>
        <v>7953684</v>
      </c>
      <c r="U901" s="26">
        <f ca="1">IFERROR(__xludf.DUMMYFUNCTION("D901*GOOGLEFINANCE(""RUBKZT"")*1000/F901"),10391483.1706372)</f>
        <v>10391483.1706372</v>
      </c>
      <c r="V901" s="27">
        <f t="shared" ca="1" si="792"/>
        <v>0.30649937445807496</v>
      </c>
    </row>
    <row r="902" spans="1:22" ht="12.75" customHeight="1" x14ac:dyDescent="0.2">
      <c r="A902" s="6" t="s">
        <v>345</v>
      </c>
      <c r="B902" s="6" t="s">
        <v>32</v>
      </c>
      <c r="C902" s="7">
        <v>190594</v>
      </c>
      <c r="D902" s="8">
        <v>29095.200000000001</v>
      </c>
      <c r="E902" s="9" t="s">
        <v>16</v>
      </c>
      <c r="F902" s="23">
        <v>20</v>
      </c>
      <c r="G902" s="25"/>
      <c r="H902" s="14">
        <f t="shared" si="786"/>
        <v>0.55000000000000004</v>
      </c>
      <c r="I902" s="25">
        <f ca="1">IFERROR(__xludf.DUMMYFUNCTION("ROUND(D902*GOOGLEFINANCE(""RUBKZT"")*H902)"),124875)</f>
        <v>124875</v>
      </c>
      <c r="J902" s="26">
        <f ca="1">IFERROR(__xludf.DUMMYFUNCTION("ROUND(I902*GOOGLEFINANCE(""KZTEUR""))"),262)</f>
        <v>262</v>
      </c>
      <c r="K902" s="26">
        <f t="shared" ca="1" si="787"/>
        <v>13100</v>
      </c>
      <c r="L902" s="26">
        <f t="shared" ca="1" si="788"/>
        <v>2489</v>
      </c>
      <c r="M902" s="26">
        <f t="shared" ref="M902:N902" si="924">M$3</f>
        <v>500</v>
      </c>
      <c r="N902" s="26">
        <f t="shared" si="924"/>
        <v>500</v>
      </c>
      <c r="O902" s="26">
        <f ca="1">IFERROR(__xludf.DUMMYFUNCTION("ROUND(GOOGLEFINANCE(""Currency:EURKZT"")*K902)"),6256162)</f>
        <v>6256162</v>
      </c>
      <c r="P902" s="26">
        <f ca="1">IFERROR(__xludf.DUMMYFUNCTION("ROUND(GOOGLEFINANCE(""Currency:EURKZT"")*M902)"),238785)</f>
        <v>238785</v>
      </c>
      <c r="Q902" s="26">
        <f ca="1">IFERROR(__xludf.DUMMYFUNCTION("ROUND(GOOGLEFINANCE(""Currency:EURKZT"")*N902)"),238785)</f>
        <v>238785</v>
      </c>
      <c r="R902" s="26">
        <f t="shared" ca="1" si="790"/>
        <v>750739</v>
      </c>
      <c r="S902" s="26">
        <f t="shared" ca="1" si="791"/>
        <v>7484471</v>
      </c>
      <c r="T902" s="26">
        <f ca="1">IFERROR(__xludf.DUMMYFUNCTION("ROUND(GOOGLEFINANCE(""Currency:EURKZT"")*L902+S902)"),8673142)</f>
        <v>8673142</v>
      </c>
      <c r="U902" s="26">
        <f ca="1">IFERROR(__xludf.DUMMYFUNCTION("D902*GOOGLEFINANCE(""RUBKZT"")*1000/F902"),11352252.9041755)</f>
        <v>11352252.904175499</v>
      </c>
      <c r="V902" s="27">
        <f t="shared" ca="1" si="792"/>
        <v>0.30889738737997136</v>
      </c>
    </row>
    <row r="903" spans="1:22" ht="12.75" customHeight="1" x14ac:dyDescent="0.2">
      <c r="A903" s="6" t="s">
        <v>346</v>
      </c>
      <c r="B903" s="6" t="s">
        <v>32</v>
      </c>
      <c r="C903" s="7">
        <v>190639</v>
      </c>
      <c r="D903" s="8">
        <v>33502.799999999996</v>
      </c>
      <c r="E903" s="9" t="s">
        <v>16</v>
      </c>
      <c r="F903" s="23">
        <v>20</v>
      </c>
      <c r="G903" s="25"/>
      <c r="H903" s="14">
        <f t="shared" si="786"/>
        <v>0.55000000000000004</v>
      </c>
      <c r="I903" s="25">
        <f ca="1">IFERROR(__xludf.DUMMYFUNCTION("ROUND(D903*GOOGLEFINANCE(""RUBKZT"")*H903)"),143792)</f>
        <v>143792</v>
      </c>
      <c r="J903" s="26">
        <f ca="1">IFERROR(__xludf.DUMMYFUNCTION("ROUND(I903*GOOGLEFINANCE(""KZTEUR""))"),301)</f>
        <v>301</v>
      </c>
      <c r="K903" s="26">
        <f t="shared" ca="1" si="787"/>
        <v>15050</v>
      </c>
      <c r="L903" s="26">
        <f t="shared" ca="1" si="788"/>
        <v>2859.5</v>
      </c>
      <c r="M903" s="26">
        <f t="shared" ref="M903:N903" si="925">M$3</f>
        <v>500</v>
      </c>
      <c r="N903" s="26">
        <f t="shared" si="925"/>
        <v>500</v>
      </c>
      <c r="O903" s="26">
        <f ca="1">IFERROR(__xludf.DUMMYFUNCTION("ROUND(GOOGLEFINANCE(""Currency:EURKZT"")*K903)"),7187423)</f>
        <v>7187423</v>
      </c>
      <c r="P903" s="26">
        <f ca="1">IFERROR(__xludf.DUMMYFUNCTION("ROUND(GOOGLEFINANCE(""Currency:EURKZT"")*M903)"),238785)</f>
        <v>238785</v>
      </c>
      <c r="Q903" s="26">
        <f ca="1">IFERROR(__xludf.DUMMYFUNCTION("ROUND(GOOGLEFINANCE(""Currency:EURKZT"")*N903)"),238785)</f>
        <v>238785</v>
      </c>
      <c r="R903" s="26">
        <f t="shared" ca="1" si="790"/>
        <v>862491</v>
      </c>
      <c r="S903" s="26">
        <f t="shared" ca="1" si="791"/>
        <v>8527484</v>
      </c>
      <c r="T903" s="26">
        <f ca="1">IFERROR(__xludf.DUMMYFUNCTION("ROUND(GOOGLEFINANCE(""Currency:EURKZT"")*L903+S903)"),9893094)</f>
        <v>9893094</v>
      </c>
      <c r="U903" s="26">
        <f ca="1">IFERROR(__xludf.DUMMYFUNCTION("D903*GOOGLEFINANCE(""RUBKZT"")*1000/F903"),13071993.2702992)</f>
        <v>13071993.2702992</v>
      </c>
      <c r="V903" s="27">
        <f t="shared" ca="1" si="792"/>
        <v>0.32132508498344398</v>
      </c>
    </row>
    <row r="904" spans="1:22" ht="12.75" customHeight="1" x14ac:dyDescent="0.2">
      <c r="A904" s="6" t="s">
        <v>348</v>
      </c>
      <c r="B904" s="6" t="s">
        <v>32</v>
      </c>
      <c r="C904" s="7">
        <v>190654</v>
      </c>
      <c r="D904" s="8">
        <v>15771.599999999999</v>
      </c>
      <c r="E904" s="9" t="s">
        <v>16</v>
      </c>
      <c r="F904" s="23">
        <v>20</v>
      </c>
      <c r="G904" s="25"/>
      <c r="H904" s="14">
        <f t="shared" si="786"/>
        <v>0.55000000000000004</v>
      </c>
      <c r="I904" s="25">
        <f ca="1">IFERROR(__xludf.DUMMYFUNCTION("ROUND(D904*GOOGLEFINANCE(""RUBKZT"")*H904)"),67691)</f>
        <v>67691</v>
      </c>
      <c r="J904" s="26">
        <f ca="1">IFERROR(__xludf.DUMMYFUNCTION("ROUND(I904*GOOGLEFINANCE(""KZTEUR""))"),142)</f>
        <v>142</v>
      </c>
      <c r="K904" s="26">
        <f t="shared" ca="1" si="787"/>
        <v>7100</v>
      </c>
      <c r="L904" s="26">
        <f t="shared" ca="1" si="788"/>
        <v>1349</v>
      </c>
      <c r="M904" s="26">
        <f t="shared" ref="M904:N904" si="926">M$3</f>
        <v>500</v>
      </c>
      <c r="N904" s="26">
        <f t="shared" si="926"/>
        <v>500</v>
      </c>
      <c r="O904" s="26">
        <f ca="1">IFERROR(__xludf.DUMMYFUNCTION("ROUND(GOOGLEFINANCE(""Currency:EURKZT"")*K904)"),3390744)</f>
        <v>3390744</v>
      </c>
      <c r="P904" s="26">
        <f ca="1">IFERROR(__xludf.DUMMYFUNCTION("ROUND(GOOGLEFINANCE(""Currency:EURKZT"")*M904)"),238785)</f>
        <v>238785</v>
      </c>
      <c r="Q904" s="26">
        <f ca="1">IFERROR(__xludf.DUMMYFUNCTION("ROUND(GOOGLEFINANCE(""Currency:EURKZT"")*N904)"),238785)</f>
        <v>238785</v>
      </c>
      <c r="R904" s="26">
        <f t="shared" ca="1" si="790"/>
        <v>406889</v>
      </c>
      <c r="S904" s="26">
        <f t="shared" ca="1" si="791"/>
        <v>4275203</v>
      </c>
      <c r="T904" s="26">
        <f ca="1">IFERROR(__xludf.DUMMYFUNCTION("ROUND(GOOGLEFINANCE(""Currency:EURKZT"")*L904+S904)"),4919444)</f>
        <v>4919444</v>
      </c>
      <c r="U904" s="26">
        <f ca="1">IFERROR(__xludf.DUMMYFUNCTION("D904*GOOGLEFINANCE(""RUBKZT"")*1000/F904"),6153702.05063016)</f>
        <v>6153702.0506301597</v>
      </c>
      <c r="V904" s="27">
        <f t="shared" ca="1" si="792"/>
        <v>0.25089381048552634</v>
      </c>
    </row>
    <row r="905" spans="1:22" ht="12.75" customHeight="1" x14ac:dyDescent="0.2">
      <c r="A905" s="6" t="s">
        <v>351</v>
      </c>
      <c r="B905" s="6" t="s">
        <v>32</v>
      </c>
      <c r="C905" s="7">
        <v>194215</v>
      </c>
      <c r="D905" s="8">
        <v>19806</v>
      </c>
      <c r="E905" s="9" t="s">
        <v>16</v>
      </c>
      <c r="F905" s="23">
        <v>20</v>
      </c>
      <c r="G905" s="25"/>
      <c r="H905" s="14">
        <f t="shared" si="786"/>
        <v>0.55000000000000004</v>
      </c>
      <c r="I905" s="25">
        <f ca="1">IFERROR(__xludf.DUMMYFUNCTION("ROUND(D905*GOOGLEFINANCE(""RUBKZT"")*H905)"),85006)</f>
        <v>85006</v>
      </c>
      <c r="J905" s="26">
        <f ca="1">IFERROR(__xludf.DUMMYFUNCTION("ROUND(I905*GOOGLEFINANCE(""KZTEUR""))"),178)</f>
        <v>178</v>
      </c>
      <c r="K905" s="26">
        <f t="shared" ca="1" si="787"/>
        <v>8900</v>
      </c>
      <c r="L905" s="26">
        <f t="shared" ca="1" si="788"/>
        <v>1691</v>
      </c>
      <c r="M905" s="26">
        <f t="shared" ref="M905:N905" si="927">M$3</f>
        <v>500</v>
      </c>
      <c r="N905" s="26">
        <f t="shared" si="927"/>
        <v>500</v>
      </c>
      <c r="O905" s="26">
        <f ca="1">IFERROR(__xludf.DUMMYFUNCTION("ROUND(GOOGLEFINANCE(""Currency:EURKZT"")*K905)"),4250370)</f>
        <v>4250370</v>
      </c>
      <c r="P905" s="26">
        <f ca="1">IFERROR(__xludf.DUMMYFUNCTION("ROUND(GOOGLEFINANCE(""Currency:EURKZT"")*M905)"),238785)</f>
        <v>238785</v>
      </c>
      <c r="Q905" s="26">
        <f ca="1">IFERROR(__xludf.DUMMYFUNCTION("ROUND(GOOGLEFINANCE(""Currency:EURKZT"")*N905)"),238785)</f>
        <v>238785</v>
      </c>
      <c r="R905" s="26">
        <f t="shared" ca="1" si="790"/>
        <v>510044</v>
      </c>
      <c r="S905" s="26">
        <f t="shared" ca="1" si="791"/>
        <v>5237984</v>
      </c>
      <c r="T905" s="26">
        <f ca="1">IFERROR(__xludf.DUMMYFUNCTION("ROUND(GOOGLEFINANCE(""Currency:EURKZT"")*L905+S905)"),6045554)</f>
        <v>6045554</v>
      </c>
      <c r="U905" s="26">
        <f ca="1">IFERROR(__xludf.DUMMYFUNCTION("D905*GOOGLEFINANCE(""RUBKZT"")*1000/F905"),7727828.6803356)</f>
        <v>7727828.6803355999</v>
      </c>
      <c r="V905" s="27">
        <f t="shared" ca="1" si="792"/>
        <v>0.27826642195828538</v>
      </c>
    </row>
    <row r="906" spans="1:22" ht="12.75" customHeight="1" x14ac:dyDescent="0.2">
      <c r="A906" s="6" t="s">
        <v>232</v>
      </c>
      <c r="B906" s="6" t="s">
        <v>32</v>
      </c>
      <c r="C906" s="7">
        <v>194713</v>
      </c>
      <c r="D906" s="8">
        <v>9312</v>
      </c>
      <c r="E906" s="9" t="s">
        <v>16</v>
      </c>
      <c r="F906" s="23">
        <v>20</v>
      </c>
      <c r="G906" s="25"/>
      <c r="H906" s="14">
        <f t="shared" si="786"/>
        <v>0.55000000000000004</v>
      </c>
      <c r="I906" s="25">
        <f ca="1">IFERROR(__xludf.DUMMYFUNCTION("ROUND(D906*GOOGLEFINANCE(""RUBKZT"")*H906)"),39967)</f>
        <v>39967</v>
      </c>
      <c r="J906" s="26">
        <f ca="1">IFERROR(__xludf.DUMMYFUNCTION("ROUND(I906*GOOGLEFINANCE(""KZTEUR""))"),84)</f>
        <v>84</v>
      </c>
      <c r="K906" s="26">
        <f t="shared" ca="1" si="787"/>
        <v>4200</v>
      </c>
      <c r="L906" s="26">
        <f t="shared" ca="1" si="788"/>
        <v>798</v>
      </c>
      <c r="M906" s="26">
        <f t="shared" ref="M906:N906" si="928">M$3</f>
        <v>500</v>
      </c>
      <c r="N906" s="26">
        <f t="shared" si="928"/>
        <v>500</v>
      </c>
      <c r="O906" s="26">
        <f ca="1">IFERROR(__xludf.DUMMYFUNCTION("ROUND(GOOGLEFINANCE(""Currency:EURKZT"")*K906)"),2005792)</f>
        <v>2005792</v>
      </c>
      <c r="P906" s="26">
        <f ca="1">IFERROR(__xludf.DUMMYFUNCTION("ROUND(GOOGLEFINANCE(""Currency:EURKZT"")*M906)"),238785)</f>
        <v>238785</v>
      </c>
      <c r="Q906" s="26">
        <f ca="1">IFERROR(__xludf.DUMMYFUNCTION("ROUND(GOOGLEFINANCE(""Currency:EURKZT"")*N906)"),238785)</f>
        <v>238785</v>
      </c>
      <c r="R906" s="26">
        <f t="shared" ca="1" si="790"/>
        <v>240695</v>
      </c>
      <c r="S906" s="26">
        <f t="shared" ca="1" si="791"/>
        <v>2724057</v>
      </c>
      <c r="T906" s="26">
        <f ca="1">IFERROR(__xludf.DUMMYFUNCTION("ROUND(GOOGLEFINANCE(""Currency:EURKZT"")*L906+S906)"),3105158)</f>
        <v>3105158</v>
      </c>
      <c r="U906" s="26">
        <f ca="1">IFERROR(__xludf.DUMMYFUNCTION("D906*GOOGLEFINANCE(""RUBKZT"")*1000/F906"),3633320.2398912)</f>
        <v>3633320.2398911999</v>
      </c>
      <c r="V906" s="27">
        <f t="shared" ca="1" si="792"/>
        <v>0.17009190511117303</v>
      </c>
    </row>
    <row r="907" spans="1:22" ht="12.75" customHeight="1" x14ac:dyDescent="0.2">
      <c r="A907" s="6" t="s">
        <v>357</v>
      </c>
      <c r="B907" s="6" t="s">
        <v>32</v>
      </c>
      <c r="C907" s="7">
        <v>194786</v>
      </c>
      <c r="D907" s="8">
        <v>13413.6</v>
      </c>
      <c r="E907" s="9" t="s">
        <v>7</v>
      </c>
      <c r="F907" s="23">
        <v>20</v>
      </c>
      <c r="G907" s="25"/>
      <c r="H907" s="14">
        <f t="shared" si="786"/>
        <v>0.55000000000000004</v>
      </c>
      <c r="I907" s="25">
        <f ca="1">IFERROR(__xludf.DUMMYFUNCTION("ROUND(D907*GOOGLEFINANCE(""RUBKZT"")*H907)"),57570)</f>
        <v>57570</v>
      </c>
      <c r="J907" s="26">
        <f ca="1">IFERROR(__xludf.DUMMYFUNCTION("ROUND(I907*GOOGLEFINANCE(""KZTEUR""))"),121)</f>
        <v>121</v>
      </c>
      <c r="K907" s="26">
        <f t="shared" ca="1" si="787"/>
        <v>6050</v>
      </c>
      <c r="L907" s="26">
        <f t="shared" ca="1" si="788"/>
        <v>1149.5</v>
      </c>
      <c r="M907" s="26">
        <f t="shared" ref="M907:N907" si="929">M$3</f>
        <v>500</v>
      </c>
      <c r="N907" s="26">
        <f t="shared" si="929"/>
        <v>500</v>
      </c>
      <c r="O907" s="26">
        <f ca="1">IFERROR(__xludf.DUMMYFUNCTION("ROUND(GOOGLEFINANCE(""Currency:EURKZT"")*K907)"),2889296)</f>
        <v>2889296</v>
      </c>
      <c r="P907" s="26">
        <f ca="1">IFERROR(__xludf.DUMMYFUNCTION("ROUND(GOOGLEFINANCE(""Currency:EURKZT"")*M907)"),238785)</f>
        <v>238785</v>
      </c>
      <c r="Q907" s="26">
        <f ca="1">IFERROR(__xludf.DUMMYFUNCTION("ROUND(GOOGLEFINANCE(""Currency:EURKZT"")*N907)"),238785)</f>
        <v>238785</v>
      </c>
      <c r="R907" s="26">
        <f t="shared" ca="1" si="790"/>
        <v>346716</v>
      </c>
      <c r="S907" s="26">
        <f t="shared" ca="1" si="791"/>
        <v>3713582</v>
      </c>
      <c r="T907" s="26">
        <f ca="1">IFERROR(__xludf.DUMMYFUNCTION("ROUND(GOOGLEFINANCE(""Currency:EURKZT"")*L907+S907)"),4262548)</f>
        <v>4262548</v>
      </c>
      <c r="U907" s="26">
        <f ca="1">IFERROR(__xludf.DUMMYFUNCTION("D907*GOOGLEFINANCE(""RUBKZT"")*1000/F907"),5233666.70637936)</f>
        <v>5233666.7063793596</v>
      </c>
      <c r="V907" s="27">
        <f t="shared" ca="1" si="792"/>
        <v>0.22782586996776566</v>
      </c>
    </row>
    <row r="908" spans="1:22" ht="12.75" customHeight="1" x14ac:dyDescent="0.2">
      <c r="A908" s="6" t="s">
        <v>358</v>
      </c>
      <c r="B908" s="6" t="s">
        <v>32</v>
      </c>
      <c r="C908" s="7">
        <v>194799</v>
      </c>
      <c r="D908" s="8">
        <v>12278.4</v>
      </c>
      <c r="E908" s="9" t="s">
        <v>7</v>
      </c>
      <c r="F908" s="23">
        <v>20</v>
      </c>
      <c r="G908" s="25"/>
      <c r="H908" s="14">
        <f t="shared" si="786"/>
        <v>0.55000000000000004</v>
      </c>
      <c r="I908" s="25">
        <f ca="1">IFERROR(__xludf.DUMMYFUNCTION("ROUND(D908*GOOGLEFINANCE(""RUBKZT"")*H908)"),52698)</f>
        <v>52698</v>
      </c>
      <c r="J908" s="26">
        <f ca="1">IFERROR(__xludf.DUMMYFUNCTION("ROUND(I908*GOOGLEFINANCE(""KZTEUR""))"),110)</f>
        <v>110</v>
      </c>
      <c r="K908" s="26">
        <f t="shared" ca="1" si="787"/>
        <v>5500</v>
      </c>
      <c r="L908" s="26">
        <f t="shared" ca="1" si="788"/>
        <v>1045</v>
      </c>
      <c r="M908" s="26">
        <f t="shared" ref="M908:N908" si="930">M$3</f>
        <v>500</v>
      </c>
      <c r="N908" s="26">
        <f t="shared" si="930"/>
        <v>500</v>
      </c>
      <c r="O908" s="26">
        <f ca="1">IFERROR(__xludf.DUMMYFUNCTION("ROUND(GOOGLEFINANCE(""Currency:EURKZT"")*K908)"),2626633)</f>
        <v>2626633</v>
      </c>
      <c r="P908" s="26">
        <f ca="1">IFERROR(__xludf.DUMMYFUNCTION("ROUND(GOOGLEFINANCE(""Currency:EURKZT"")*M908)"),238785)</f>
        <v>238785</v>
      </c>
      <c r="Q908" s="26">
        <f ca="1">IFERROR(__xludf.DUMMYFUNCTION("ROUND(GOOGLEFINANCE(""Currency:EURKZT"")*N908)"),238785)</f>
        <v>238785</v>
      </c>
      <c r="R908" s="26">
        <f t="shared" ca="1" si="790"/>
        <v>315196</v>
      </c>
      <c r="S908" s="26">
        <f t="shared" ca="1" si="791"/>
        <v>3419399</v>
      </c>
      <c r="T908" s="26">
        <f ca="1">IFERROR(__xludf.DUMMYFUNCTION("ROUND(GOOGLEFINANCE(""Currency:EURKZT"")*L908+S908)"),3918459)</f>
        <v>3918459</v>
      </c>
      <c r="U908" s="26">
        <f ca="1">IFERROR(__xludf.DUMMYFUNCTION("D908*GOOGLEFINANCE(""RUBKZT"")*1000/F908"),4790738.74929984)</f>
        <v>4790738.7492998401</v>
      </c>
      <c r="V908" s="27">
        <f t="shared" ca="1" si="792"/>
        <v>0.22260785408239311</v>
      </c>
    </row>
    <row r="909" spans="1:22" ht="12.75" customHeight="1" x14ac:dyDescent="0.2">
      <c r="A909" s="6" t="s">
        <v>325</v>
      </c>
      <c r="B909" s="6" t="s">
        <v>32</v>
      </c>
      <c r="C909" s="7">
        <v>196439</v>
      </c>
      <c r="D909" s="8">
        <v>10857.6</v>
      </c>
      <c r="E909" s="9" t="s">
        <v>16</v>
      </c>
      <c r="F909" s="23">
        <v>20</v>
      </c>
      <c r="G909" s="25"/>
      <c r="H909" s="14">
        <f t="shared" si="786"/>
        <v>0.55000000000000004</v>
      </c>
      <c r="I909" s="25">
        <f ca="1">IFERROR(__xludf.DUMMYFUNCTION("ROUND(D909*GOOGLEFINANCE(""RUBKZT"")*H909)"),46600)</f>
        <v>46600</v>
      </c>
      <c r="J909" s="26">
        <f ca="1">IFERROR(__xludf.DUMMYFUNCTION("ROUND(I909*GOOGLEFINANCE(""KZTEUR""))"),98)</f>
        <v>98</v>
      </c>
      <c r="K909" s="26">
        <f t="shared" ca="1" si="787"/>
        <v>4900</v>
      </c>
      <c r="L909" s="26">
        <f t="shared" ca="1" si="788"/>
        <v>931</v>
      </c>
      <c r="M909" s="26">
        <f t="shared" ref="M909:N909" si="931">M$3</f>
        <v>500</v>
      </c>
      <c r="N909" s="26">
        <f t="shared" si="931"/>
        <v>500</v>
      </c>
      <c r="O909" s="26">
        <f ca="1">IFERROR(__xludf.DUMMYFUNCTION("ROUND(GOOGLEFINANCE(""Currency:EURKZT"")*K909)"),2340091)</f>
        <v>2340091</v>
      </c>
      <c r="P909" s="26">
        <f ca="1">IFERROR(__xludf.DUMMYFUNCTION("ROUND(GOOGLEFINANCE(""Currency:EURKZT"")*M909)"),238785)</f>
        <v>238785</v>
      </c>
      <c r="Q909" s="26">
        <f ca="1">IFERROR(__xludf.DUMMYFUNCTION("ROUND(GOOGLEFINANCE(""Currency:EURKZT"")*N909)"),238785)</f>
        <v>238785</v>
      </c>
      <c r="R909" s="26">
        <f t="shared" ca="1" si="790"/>
        <v>280811</v>
      </c>
      <c r="S909" s="26">
        <f t="shared" ca="1" si="791"/>
        <v>3098472</v>
      </c>
      <c r="T909" s="26">
        <f ca="1">IFERROR(__xludf.DUMMYFUNCTION("ROUND(GOOGLEFINANCE(""Currency:EURKZT"")*L909+S909)"),3543089)</f>
        <v>3543089</v>
      </c>
      <c r="U909" s="26">
        <f ca="1">IFERROR(__xludf.DUMMYFUNCTION("D909*GOOGLEFINANCE(""RUBKZT"")*1000/F909"),4236376.48589376)</f>
        <v>4236376.4858937599</v>
      </c>
      <c r="V909" s="27">
        <f t="shared" ca="1" si="792"/>
        <v>0.19567317837450876</v>
      </c>
    </row>
    <row r="910" spans="1:22" ht="12.75" customHeight="1" x14ac:dyDescent="0.2">
      <c r="A910" s="6" t="s">
        <v>374</v>
      </c>
      <c r="B910" s="6" t="s">
        <v>32</v>
      </c>
      <c r="C910" s="7">
        <v>196616</v>
      </c>
      <c r="D910" s="8">
        <v>33094.799999999996</v>
      </c>
      <c r="E910" s="9" t="s">
        <v>16</v>
      </c>
      <c r="F910" s="23">
        <v>20</v>
      </c>
      <c r="G910" s="25"/>
      <c r="H910" s="14">
        <f t="shared" si="786"/>
        <v>0.55000000000000004</v>
      </c>
      <c r="I910" s="25">
        <f ca="1">IFERROR(__xludf.DUMMYFUNCTION("ROUND(D910*GOOGLEFINANCE(""RUBKZT"")*H910)"),142041)</f>
        <v>142041</v>
      </c>
      <c r="J910" s="26">
        <f ca="1">IFERROR(__xludf.DUMMYFUNCTION("ROUND(I910*GOOGLEFINANCE(""KZTEUR""))"),297)</f>
        <v>297</v>
      </c>
      <c r="K910" s="26">
        <f t="shared" ca="1" si="787"/>
        <v>14850</v>
      </c>
      <c r="L910" s="26">
        <f t="shared" ca="1" si="788"/>
        <v>2821.5</v>
      </c>
      <c r="M910" s="26">
        <f t="shared" ref="M910:N910" si="932">M$3</f>
        <v>500</v>
      </c>
      <c r="N910" s="26">
        <f t="shared" si="932"/>
        <v>500</v>
      </c>
      <c r="O910" s="26">
        <f ca="1">IFERROR(__xludf.DUMMYFUNCTION("ROUND(GOOGLEFINANCE(""Currency:EURKZT"")*K910)"),7091909)</f>
        <v>7091909</v>
      </c>
      <c r="P910" s="26">
        <f ca="1">IFERROR(__xludf.DUMMYFUNCTION("ROUND(GOOGLEFINANCE(""Currency:EURKZT"")*M910)"),238785)</f>
        <v>238785</v>
      </c>
      <c r="Q910" s="26">
        <f ca="1">IFERROR(__xludf.DUMMYFUNCTION("ROUND(GOOGLEFINANCE(""Currency:EURKZT"")*N910)"),238785)</f>
        <v>238785</v>
      </c>
      <c r="R910" s="26">
        <f t="shared" ca="1" si="790"/>
        <v>851029</v>
      </c>
      <c r="S910" s="26">
        <f t="shared" ca="1" si="791"/>
        <v>8420508</v>
      </c>
      <c r="T910" s="26">
        <f ca="1">IFERROR(__xludf.DUMMYFUNCTION("ROUND(GOOGLEFINANCE(""Currency:EURKZT"")*L910+S910)"),9767971)</f>
        <v>9767971</v>
      </c>
      <c r="U910" s="26">
        <f ca="1">IFERROR(__xludf.DUMMYFUNCTION("D910*GOOGLEFINANCE(""RUBKZT"")*1000/F910"),12912801.4041184)</f>
        <v>12912801.4041184</v>
      </c>
      <c r="V910" s="27">
        <f t="shared" ca="1" si="792"/>
        <v>0.32195329041398668</v>
      </c>
    </row>
    <row r="911" spans="1:22" ht="12.75" customHeight="1" x14ac:dyDescent="0.2">
      <c r="A911" s="6" t="s">
        <v>377</v>
      </c>
      <c r="B911" s="6" t="s">
        <v>32</v>
      </c>
      <c r="C911" s="7">
        <v>197732</v>
      </c>
      <c r="D911" s="8">
        <v>12166.8</v>
      </c>
      <c r="E911" s="9" t="s">
        <v>16</v>
      </c>
      <c r="F911" s="23">
        <v>20</v>
      </c>
      <c r="G911" s="25"/>
      <c r="H911" s="14">
        <f t="shared" si="786"/>
        <v>0.55000000000000004</v>
      </c>
      <c r="I911" s="25">
        <f ca="1">IFERROR(__xludf.DUMMYFUNCTION("ROUND(D911*GOOGLEFINANCE(""RUBKZT"")*H911)"),52219)</f>
        <v>52219</v>
      </c>
      <c r="J911" s="26">
        <f ca="1">IFERROR(__xludf.DUMMYFUNCTION("ROUND(I911*GOOGLEFINANCE(""KZTEUR""))"),109)</f>
        <v>109</v>
      </c>
      <c r="K911" s="26">
        <f t="shared" ca="1" si="787"/>
        <v>5450</v>
      </c>
      <c r="L911" s="26">
        <f t="shared" ca="1" si="788"/>
        <v>1035.5</v>
      </c>
      <c r="M911" s="26">
        <f t="shared" ref="M911:N911" si="933">M$3</f>
        <v>500</v>
      </c>
      <c r="N911" s="26">
        <f t="shared" si="933"/>
        <v>500</v>
      </c>
      <c r="O911" s="26">
        <f ca="1">IFERROR(__xludf.DUMMYFUNCTION("ROUND(GOOGLEFINANCE(""Currency:EURKZT"")*K911)"),2602754)</f>
        <v>2602754</v>
      </c>
      <c r="P911" s="26">
        <f ca="1">IFERROR(__xludf.DUMMYFUNCTION("ROUND(GOOGLEFINANCE(""Currency:EURKZT"")*M911)"),238785)</f>
        <v>238785</v>
      </c>
      <c r="Q911" s="26">
        <f ca="1">IFERROR(__xludf.DUMMYFUNCTION("ROUND(GOOGLEFINANCE(""Currency:EURKZT"")*N911)"),238785)</f>
        <v>238785</v>
      </c>
      <c r="R911" s="26">
        <f t="shared" ca="1" si="790"/>
        <v>312330</v>
      </c>
      <c r="S911" s="26">
        <f t="shared" ca="1" si="791"/>
        <v>3392654</v>
      </c>
      <c r="T911" s="26">
        <f ca="1">IFERROR(__xludf.DUMMYFUNCTION("ROUND(GOOGLEFINANCE(""Currency:EURKZT"")*L911+S911)"),3887177)</f>
        <v>3887177</v>
      </c>
      <c r="U911" s="26">
        <f ca="1">IFERROR(__xludf.DUMMYFUNCTION("D911*GOOGLEFINANCE(""RUBKZT"")*1000/F911"),4747195.09178568)</f>
        <v>4747195.0917856796</v>
      </c>
      <c r="V911" s="27">
        <f t="shared" ca="1" si="792"/>
        <v>0.22124490132187949</v>
      </c>
    </row>
    <row r="912" spans="1:22" ht="12.75" customHeight="1" x14ac:dyDescent="0.2">
      <c r="A912" s="6" t="s">
        <v>395</v>
      </c>
      <c r="B912" s="6" t="s">
        <v>32</v>
      </c>
      <c r="C912" s="7">
        <v>199507</v>
      </c>
      <c r="D912" s="8">
        <v>23689.200000000001</v>
      </c>
      <c r="E912" s="9" t="s">
        <v>16</v>
      </c>
      <c r="F912" s="23">
        <v>20</v>
      </c>
      <c r="G912" s="25"/>
      <c r="H912" s="14">
        <f t="shared" si="786"/>
        <v>0.55000000000000004</v>
      </c>
      <c r="I912" s="25">
        <f ca="1">IFERROR(__xludf.DUMMYFUNCTION("ROUND(D912*GOOGLEFINANCE(""RUBKZT"")*H912)"),101673)</f>
        <v>101673</v>
      </c>
      <c r="J912" s="26">
        <f ca="1">IFERROR(__xludf.DUMMYFUNCTION("ROUND(I912*GOOGLEFINANCE(""KZTEUR""))"),213)</f>
        <v>213</v>
      </c>
      <c r="K912" s="26">
        <f t="shared" ca="1" si="787"/>
        <v>10650</v>
      </c>
      <c r="L912" s="26">
        <f t="shared" ca="1" si="788"/>
        <v>2023.5</v>
      </c>
      <c r="M912" s="26">
        <f t="shared" ref="M912:N912" si="934">M$3</f>
        <v>500</v>
      </c>
      <c r="N912" s="26">
        <f t="shared" si="934"/>
        <v>500</v>
      </c>
      <c r="O912" s="26">
        <f ca="1">IFERROR(__xludf.DUMMYFUNCTION("ROUND(GOOGLEFINANCE(""Currency:EURKZT"")*K912)"),5086116)</f>
        <v>5086116</v>
      </c>
      <c r="P912" s="26">
        <f ca="1">IFERROR(__xludf.DUMMYFUNCTION("ROUND(GOOGLEFINANCE(""Currency:EURKZT"")*M912)"),238785)</f>
        <v>238785</v>
      </c>
      <c r="Q912" s="26">
        <f ca="1">IFERROR(__xludf.DUMMYFUNCTION("ROUND(GOOGLEFINANCE(""Currency:EURKZT"")*N912)"),238785)</f>
        <v>238785</v>
      </c>
      <c r="R912" s="26">
        <f t="shared" ca="1" si="790"/>
        <v>610334</v>
      </c>
      <c r="S912" s="26">
        <f t="shared" ca="1" si="791"/>
        <v>6174020</v>
      </c>
      <c r="T912" s="26">
        <f ca="1">IFERROR(__xludf.DUMMYFUNCTION("ROUND(GOOGLEFINANCE(""Currency:EURKZT"")*L912+S912)"),7140382)</f>
        <v>7140382</v>
      </c>
      <c r="U912" s="26">
        <f ca="1">IFERROR(__xludf.DUMMYFUNCTION("D912*GOOGLEFINANCE(""RUBKZT"")*1000/F912"),9242960.67727992)</f>
        <v>9242960.6772799194</v>
      </c>
      <c r="V912" s="27">
        <f t="shared" ca="1" si="792"/>
        <v>0.29446305215602181</v>
      </c>
    </row>
    <row r="913" spans="1:22" ht="12.75" customHeight="1" x14ac:dyDescent="0.2">
      <c r="A913" s="6" t="s">
        <v>397</v>
      </c>
      <c r="B913" s="6" t="s">
        <v>32</v>
      </c>
      <c r="C913" s="7">
        <v>199636</v>
      </c>
      <c r="D913" s="8">
        <v>25947.599999999999</v>
      </c>
      <c r="E913" s="9" t="s">
        <v>16</v>
      </c>
      <c r="F913" s="23">
        <v>20</v>
      </c>
      <c r="G913" s="25"/>
      <c r="H913" s="14">
        <f t="shared" si="786"/>
        <v>0.55000000000000004</v>
      </c>
      <c r="I913" s="25">
        <f ca="1">IFERROR(__xludf.DUMMYFUNCTION("ROUND(D913*GOOGLEFINANCE(""RUBKZT"")*H913)"),111365)</f>
        <v>111365</v>
      </c>
      <c r="J913" s="26">
        <f ca="1">IFERROR(__xludf.DUMMYFUNCTION("ROUND(I913*GOOGLEFINANCE(""KZTEUR""))"),233)</f>
        <v>233</v>
      </c>
      <c r="K913" s="26">
        <f t="shared" ca="1" si="787"/>
        <v>11650</v>
      </c>
      <c r="L913" s="26">
        <f t="shared" ca="1" si="788"/>
        <v>2213.5</v>
      </c>
      <c r="M913" s="26">
        <f t="shared" ref="M913:N913" si="935">M$3</f>
        <v>500</v>
      </c>
      <c r="N913" s="26">
        <f t="shared" si="935"/>
        <v>500</v>
      </c>
      <c r="O913" s="26">
        <f ca="1">IFERROR(__xludf.DUMMYFUNCTION("ROUND(GOOGLEFINANCE(""Currency:EURKZT"")*K913)"),5563686)</f>
        <v>5563686</v>
      </c>
      <c r="P913" s="26">
        <f ca="1">IFERROR(__xludf.DUMMYFUNCTION("ROUND(GOOGLEFINANCE(""Currency:EURKZT"")*M913)"),238785)</f>
        <v>238785</v>
      </c>
      <c r="Q913" s="26">
        <f ca="1">IFERROR(__xludf.DUMMYFUNCTION("ROUND(GOOGLEFINANCE(""Currency:EURKZT"")*N913)"),238785)</f>
        <v>238785</v>
      </c>
      <c r="R913" s="26">
        <f t="shared" ca="1" si="790"/>
        <v>667642</v>
      </c>
      <c r="S913" s="26">
        <f t="shared" ca="1" si="791"/>
        <v>6708898</v>
      </c>
      <c r="T913" s="26">
        <f ca="1">IFERROR(__xludf.DUMMYFUNCTION("ROUND(GOOGLEFINANCE(""Currency:EURKZT"")*L913+S913)"),7765998)</f>
        <v>7765998</v>
      </c>
      <c r="U913" s="26">
        <f ca="1">IFERROR(__xludf.DUMMYFUNCTION("D913*GOOGLEFINANCE(""RUBKZT"")*1000/F913"),10124134.4777277)</f>
        <v>10124134.4777277</v>
      </c>
      <c r="V913" s="27">
        <f t="shared" ca="1" si="792"/>
        <v>0.30364886492730231</v>
      </c>
    </row>
    <row r="914" spans="1:22" ht="12.75" customHeight="1" x14ac:dyDescent="0.2">
      <c r="A914" s="6" t="s">
        <v>398</v>
      </c>
      <c r="B914" s="6" t="s">
        <v>32</v>
      </c>
      <c r="C914" s="7">
        <v>199642</v>
      </c>
      <c r="D914" s="8">
        <v>26985.599999999999</v>
      </c>
      <c r="E914" s="9" t="s">
        <v>16</v>
      </c>
      <c r="F914" s="23">
        <v>20</v>
      </c>
      <c r="G914" s="25"/>
      <c r="H914" s="14">
        <f t="shared" si="786"/>
        <v>0.55000000000000004</v>
      </c>
      <c r="I914" s="25">
        <f ca="1">IFERROR(__xludf.DUMMYFUNCTION("ROUND(D914*GOOGLEFINANCE(""RUBKZT"")*H914)"),115821)</f>
        <v>115821</v>
      </c>
      <c r="J914" s="26">
        <f ca="1">IFERROR(__xludf.DUMMYFUNCTION("ROUND(I914*GOOGLEFINANCE(""KZTEUR""))"),243)</f>
        <v>243</v>
      </c>
      <c r="K914" s="26">
        <f t="shared" ca="1" si="787"/>
        <v>12150</v>
      </c>
      <c r="L914" s="26">
        <f t="shared" ca="1" si="788"/>
        <v>2308.5</v>
      </c>
      <c r="M914" s="26">
        <f t="shared" ref="M914:N914" si="936">M$3</f>
        <v>500</v>
      </c>
      <c r="N914" s="26">
        <f t="shared" si="936"/>
        <v>500</v>
      </c>
      <c r="O914" s="26">
        <f ca="1">IFERROR(__xludf.DUMMYFUNCTION("ROUND(GOOGLEFINANCE(""Currency:EURKZT"")*K914)"),5802471)</f>
        <v>5802471</v>
      </c>
      <c r="P914" s="26">
        <f ca="1">IFERROR(__xludf.DUMMYFUNCTION("ROUND(GOOGLEFINANCE(""Currency:EURKZT"")*M914)"),238785)</f>
        <v>238785</v>
      </c>
      <c r="Q914" s="26">
        <f ca="1">IFERROR(__xludf.DUMMYFUNCTION("ROUND(GOOGLEFINANCE(""Currency:EURKZT"")*N914)"),238785)</f>
        <v>238785</v>
      </c>
      <c r="R914" s="26">
        <f t="shared" ca="1" si="790"/>
        <v>696297</v>
      </c>
      <c r="S914" s="26">
        <f t="shared" ca="1" si="791"/>
        <v>6976338</v>
      </c>
      <c r="T914" s="26">
        <f ca="1">IFERROR(__xludf.DUMMYFUNCTION("ROUND(GOOGLEFINANCE(""Currency:EURKZT"")*L914+S914)"),8078807)</f>
        <v>8078807</v>
      </c>
      <c r="U914" s="26">
        <f ca="1">IFERROR(__xludf.DUMMYFUNCTION("D914*GOOGLEFINANCE(""RUBKZT"")*1000/F914"),10529137.3137465)</f>
        <v>10529137.313746501</v>
      </c>
      <c r="V914" s="27">
        <f t="shared" ca="1" si="792"/>
        <v>0.30330348450538558</v>
      </c>
    </row>
    <row r="915" spans="1:22" ht="12.75" customHeight="1" x14ac:dyDescent="0.2">
      <c r="A915" s="6" t="s">
        <v>399</v>
      </c>
      <c r="B915" s="6" t="s">
        <v>32</v>
      </c>
      <c r="C915" s="7">
        <v>199649</v>
      </c>
      <c r="D915" s="8">
        <v>22214.399999999998</v>
      </c>
      <c r="E915" s="9" t="s">
        <v>16</v>
      </c>
      <c r="F915" s="23">
        <v>20</v>
      </c>
      <c r="G915" s="25"/>
      <c r="H915" s="14">
        <f t="shared" si="786"/>
        <v>0.55000000000000004</v>
      </c>
      <c r="I915" s="25">
        <f ca="1">IFERROR(__xludf.DUMMYFUNCTION("ROUND(D915*GOOGLEFINANCE(""RUBKZT"")*H915)"),95343)</f>
        <v>95343</v>
      </c>
      <c r="J915" s="26">
        <f ca="1">IFERROR(__xludf.DUMMYFUNCTION("ROUND(I915*GOOGLEFINANCE(""KZTEUR""))"),200)</f>
        <v>200</v>
      </c>
      <c r="K915" s="26">
        <f t="shared" ca="1" si="787"/>
        <v>10000</v>
      </c>
      <c r="L915" s="26">
        <f t="shared" ca="1" si="788"/>
        <v>1900</v>
      </c>
      <c r="M915" s="26">
        <f t="shared" ref="M915:N915" si="937">M$3</f>
        <v>500</v>
      </c>
      <c r="N915" s="26">
        <f t="shared" si="937"/>
        <v>500</v>
      </c>
      <c r="O915" s="26">
        <f ca="1">IFERROR(__xludf.DUMMYFUNCTION("ROUND(GOOGLEFINANCE(""Currency:EURKZT"")*K915)"),4775696)</f>
        <v>4775696</v>
      </c>
      <c r="P915" s="26">
        <f ca="1">IFERROR(__xludf.DUMMYFUNCTION("ROUND(GOOGLEFINANCE(""Currency:EURKZT"")*M915)"),238785)</f>
        <v>238785</v>
      </c>
      <c r="Q915" s="26">
        <f ca="1">IFERROR(__xludf.DUMMYFUNCTION("ROUND(GOOGLEFINANCE(""Currency:EURKZT"")*N915)"),238785)</f>
        <v>238785</v>
      </c>
      <c r="R915" s="26">
        <f t="shared" ca="1" si="790"/>
        <v>573084</v>
      </c>
      <c r="S915" s="26">
        <f t="shared" ca="1" si="791"/>
        <v>5826350</v>
      </c>
      <c r="T915" s="26">
        <f ca="1">IFERROR(__xludf.DUMMYFUNCTION("ROUND(GOOGLEFINANCE(""Currency:EURKZT"")*L915+S915)"),6733732)</f>
        <v>6733732</v>
      </c>
      <c r="U915" s="26">
        <f ca="1">IFERROR(__xludf.DUMMYFUNCTION("D915*GOOGLEFINANCE(""RUBKZT"")*1000/F915"),8667528.90217344)</f>
        <v>8667528.9021734409</v>
      </c>
      <c r="V915" s="27">
        <f t="shared" ca="1" si="792"/>
        <v>0.28718055636509454</v>
      </c>
    </row>
    <row r="916" spans="1:22" ht="12.75" customHeight="1" x14ac:dyDescent="0.2">
      <c r="A916" s="6" t="s">
        <v>400</v>
      </c>
      <c r="B916" s="6" t="s">
        <v>32</v>
      </c>
      <c r="C916" s="7">
        <v>199664</v>
      </c>
      <c r="D916" s="8">
        <v>27218.399999999998</v>
      </c>
      <c r="E916" s="9" t="s">
        <v>16</v>
      </c>
      <c r="F916" s="23">
        <v>20</v>
      </c>
      <c r="G916" s="25"/>
      <c r="H916" s="14">
        <f t="shared" si="786"/>
        <v>0.55000000000000004</v>
      </c>
      <c r="I916" s="25">
        <f ca="1">IFERROR(__xludf.DUMMYFUNCTION("ROUND(D916*GOOGLEFINANCE(""RUBKZT"")*H916)"),116820)</f>
        <v>116820</v>
      </c>
      <c r="J916" s="26">
        <f ca="1">IFERROR(__xludf.DUMMYFUNCTION("ROUND(I916*GOOGLEFINANCE(""KZTEUR""))"),245)</f>
        <v>245</v>
      </c>
      <c r="K916" s="26">
        <f t="shared" ca="1" si="787"/>
        <v>12250</v>
      </c>
      <c r="L916" s="26">
        <f t="shared" ca="1" si="788"/>
        <v>2327.5</v>
      </c>
      <c r="M916" s="26">
        <f t="shared" ref="M916:N916" si="938">M$3</f>
        <v>500</v>
      </c>
      <c r="N916" s="26">
        <f t="shared" si="938"/>
        <v>500</v>
      </c>
      <c r="O916" s="26">
        <f ca="1">IFERROR(__xludf.DUMMYFUNCTION("ROUND(GOOGLEFINANCE(""Currency:EURKZT"")*K916)"),5850228)</f>
        <v>5850228</v>
      </c>
      <c r="P916" s="26">
        <f ca="1">IFERROR(__xludf.DUMMYFUNCTION("ROUND(GOOGLEFINANCE(""Currency:EURKZT"")*M916)"),238785)</f>
        <v>238785</v>
      </c>
      <c r="Q916" s="26">
        <f ca="1">IFERROR(__xludf.DUMMYFUNCTION("ROUND(GOOGLEFINANCE(""Currency:EURKZT"")*N916)"),238785)</f>
        <v>238785</v>
      </c>
      <c r="R916" s="26">
        <f t="shared" ca="1" si="790"/>
        <v>702027</v>
      </c>
      <c r="S916" s="26">
        <f t="shared" ca="1" si="791"/>
        <v>7029825</v>
      </c>
      <c r="T916" s="26">
        <f ca="1">IFERROR(__xludf.DUMMYFUNCTION("ROUND(GOOGLEFINANCE(""Currency:EURKZT"")*L916+S916)"),8141368)</f>
        <v>8141368</v>
      </c>
      <c r="U916" s="26">
        <f ca="1">IFERROR(__xludf.DUMMYFUNCTION("D916*GOOGLEFINANCE(""RUBKZT"")*1000/F916"),10619970.3197438)</f>
        <v>10619970.319743801</v>
      </c>
      <c r="V916" s="27">
        <f t="shared" ca="1" si="792"/>
        <v>0.30444543469154089</v>
      </c>
    </row>
    <row r="917" spans="1:22" ht="12.75" customHeight="1" x14ac:dyDescent="0.2">
      <c r="A917" s="6" t="s">
        <v>401</v>
      </c>
      <c r="B917" s="6" t="s">
        <v>32</v>
      </c>
      <c r="C917" s="7">
        <v>199673</v>
      </c>
      <c r="D917" s="8">
        <v>22824</v>
      </c>
      <c r="E917" s="9" t="s">
        <v>16</v>
      </c>
      <c r="F917" s="23">
        <v>20</v>
      </c>
      <c r="G917" s="25"/>
      <c r="H917" s="14">
        <f t="shared" si="786"/>
        <v>0.55000000000000004</v>
      </c>
      <c r="I917" s="25">
        <f ca="1">IFERROR(__xludf.DUMMYFUNCTION("ROUND(D917*GOOGLEFINANCE(""RUBKZT"")*H917)"),97959)</f>
        <v>97959</v>
      </c>
      <c r="J917" s="26">
        <f ca="1">IFERROR(__xludf.DUMMYFUNCTION("ROUND(I917*GOOGLEFINANCE(""KZTEUR""))"),205)</f>
        <v>205</v>
      </c>
      <c r="K917" s="26">
        <f t="shared" ca="1" si="787"/>
        <v>10250</v>
      </c>
      <c r="L917" s="26">
        <f t="shared" ca="1" si="788"/>
        <v>1947.5</v>
      </c>
      <c r="M917" s="26">
        <f t="shared" ref="M917:N917" si="939">M$3</f>
        <v>500</v>
      </c>
      <c r="N917" s="26">
        <f t="shared" si="939"/>
        <v>500</v>
      </c>
      <c r="O917" s="26">
        <f ca="1">IFERROR(__xludf.DUMMYFUNCTION("ROUND(GOOGLEFINANCE(""Currency:EURKZT"")*K917)"),4895089)</f>
        <v>4895089</v>
      </c>
      <c r="P917" s="26">
        <f ca="1">IFERROR(__xludf.DUMMYFUNCTION("ROUND(GOOGLEFINANCE(""Currency:EURKZT"")*M917)"),238785)</f>
        <v>238785</v>
      </c>
      <c r="Q917" s="26">
        <f ca="1">IFERROR(__xludf.DUMMYFUNCTION("ROUND(GOOGLEFINANCE(""Currency:EURKZT"")*N917)"),238785)</f>
        <v>238785</v>
      </c>
      <c r="R917" s="26">
        <f t="shared" ca="1" si="790"/>
        <v>587411</v>
      </c>
      <c r="S917" s="26">
        <f t="shared" ca="1" si="791"/>
        <v>5960070</v>
      </c>
      <c r="T917" s="26">
        <f ca="1">IFERROR(__xludf.DUMMYFUNCTION("ROUND(GOOGLEFINANCE(""Currency:EURKZT"")*L917+S917)"),6890137)</f>
        <v>6890137</v>
      </c>
      <c r="U917" s="26">
        <f ca="1">IFERROR(__xludf.DUMMYFUNCTION("D917*GOOGLEFINANCE(""RUBKZT"")*1000/F917"),8905380.2787024)</f>
        <v>8905380.2787024006</v>
      </c>
      <c r="V917" s="27">
        <f t="shared" ca="1" si="792"/>
        <v>0.29248232345777747</v>
      </c>
    </row>
    <row r="918" spans="1:22" ht="12.75" customHeight="1" x14ac:dyDescent="0.2">
      <c r="A918" s="6" t="s">
        <v>373</v>
      </c>
      <c r="B918" s="6" t="s">
        <v>32</v>
      </c>
      <c r="C918" s="7">
        <v>199760</v>
      </c>
      <c r="D918" s="8">
        <v>10896</v>
      </c>
      <c r="E918" s="9" t="s">
        <v>16</v>
      </c>
      <c r="F918" s="23">
        <v>20</v>
      </c>
      <c r="G918" s="25"/>
      <c r="H918" s="14">
        <f t="shared" si="786"/>
        <v>0.55000000000000004</v>
      </c>
      <c r="I918" s="25">
        <f ca="1">IFERROR(__xludf.DUMMYFUNCTION("ROUND(D918*GOOGLEFINANCE(""RUBKZT"")*H918)"),46765)</f>
        <v>46765</v>
      </c>
      <c r="J918" s="26">
        <f ca="1">IFERROR(__xludf.DUMMYFUNCTION("ROUND(I918*GOOGLEFINANCE(""KZTEUR""))"),98)</f>
        <v>98</v>
      </c>
      <c r="K918" s="26">
        <f t="shared" ca="1" si="787"/>
        <v>4900</v>
      </c>
      <c r="L918" s="26">
        <f t="shared" ca="1" si="788"/>
        <v>931</v>
      </c>
      <c r="M918" s="26">
        <f t="shared" ref="M918:N918" si="940">M$3</f>
        <v>500</v>
      </c>
      <c r="N918" s="26">
        <f t="shared" si="940"/>
        <v>500</v>
      </c>
      <c r="O918" s="26">
        <f ca="1">IFERROR(__xludf.DUMMYFUNCTION("ROUND(GOOGLEFINANCE(""Currency:EURKZT"")*K918)"),2340091)</f>
        <v>2340091</v>
      </c>
      <c r="P918" s="26">
        <f ca="1">IFERROR(__xludf.DUMMYFUNCTION("ROUND(GOOGLEFINANCE(""Currency:EURKZT"")*M918)"),238785)</f>
        <v>238785</v>
      </c>
      <c r="Q918" s="26">
        <f ca="1">IFERROR(__xludf.DUMMYFUNCTION("ROUND(GOOGLEFINANCE(""Currency:EURKZT"")*N918)"),238785)</f>
        <v>238785</v>
      </c>
      <c r="R918" s="26">
        <f t="shared" ca="1" si="790"/>
        <v>280811</v>
      </c>
      <c r="S918" s="26">
        <f t="shared" ca="1" si="791"/>
        <v>3098472</v>
      </c>
      <c r="T918" s="26">
        <f ca="1">IFERROR(__xludf.DUMMYFUNCTION("ROUND(GOOGLEFINANCE(""Currency:EURKZT"")*L918+S918)"),3543089)</f>
        <v>3543089</v>
      </c>
      <c r="U918" s="26">
        <f ca="1">IFERROR(__xludf.DUMMYFUNCTION("D918*GOOGLEFINANCE(""RUBKZT"")*1000/F918"),4251359.2497696)</f>
        <v>4251359.2497696001</v>
      </c>
      <c r="V918" s="27">
        <f t="shared" ca="1" si="792"/>
        <v>0.19990190756416226</v>
      </c>
    </row>
    <row r="919" spans="1:22" ht="12.75" customHeight="1" x14ac:dyDescent="0.2">
      <c r="A919" s="6" t="s">
        <v>408</v>
      </c>
      <c r="B919" s="6" t="s">
        <v>32</v>
      </c>
      <c r="C919" s="7">
        <v>201271</v>
      </c>
      <c r="D919" s="8">
        <v>14599.199999999999</v>
      </c>
      <c r="E919" s="9" t="s">
        <v>16</v>
      </c>
      <c r="F919" s="23">
        <v>20</v>
      </c>
      <c r="G919" s="25"/>
      <c r="H919" s="14">
        <f t="shared" si="786"/>
        <v>0.55000000000000004</v>
      </c>
      <c r="I919" s="25">
        <f ca="1">IFERROR(__xludf.DUMMYFUNCTION("ROUND(D919*GOOGLEFINANCE(""RUBKZT"")*H919)"),62659)</f>
        <v>62659</v>
      </c>
      <c r="J919" s="26">
        <f ca="1">IFERROR(__xludf.DUMMYFUNCTION("ROUND(I919*GOOGLEFINANCE(""KZTEUR""))"),131)</f>
        <v>131</v>
      </c>
      <c r="K919" s="26">
        <f t="shared" ca="1" si="787"/>
        <v>6550</v>
      </c>
      <c r="L919" s="26">
        <f t="shared" ca="1" si="788"/>
        <v>1244.5</v>
      </c>
      <c r="M919" s="26">
        <f t="shared" ref="M919:N919" si="941">M$3</f>
        <v>500</v>
      </c>
      <c r="N919" s="26">
        <f t="shared" si="941"/>
        <v>500</v>
      </c>
      <c r="O919" s="26">
        <f ca="1">IFERROR(__xludf.DUMMYFUNCTION("ROUND(GOOGLEFINANCE(""Currency:EURKZT"")*K919)"),3128081)</f>
        <v>3128081</v>
      </c>
      <c r="P919" s="26">
        <f ca="1">IFERROR(__xludf.DUMMYFUNCTION("ROUND(GOOGLEFINANCE(""Currency:EURKZT"")*M919)"),238785)</f>
        <v>238785</v>
      </c>
      <c r="Q919" s="26">
        <f ca="1">IFERROR(__xludf.DUMMYFUNCTION("ROUND(GOOGLEFINANCE(""Currency:EURKZT"")*N919)"),238785)</f>
        <v>238785</v>
      </c>
      <c r="R919" s="26">
        <f t="shared" ca="1" si="790"/>
        <v>375370</v>
      </c>
      <c r="S919" s="26">
        <f t="shared" ca="1" si="791"/>
        <v>3981021</v>
      </c>
      <c r="T919" s="26">
        <f ca="1">IFERROR(__xludf.DUMMYFUNCTION("ROUND(GOOGLEFINANCE(""Currency:EURKZT"")*L919+S919)"),4575356)</f>
        <v>4575356</v>
      </c>
      <c r="U919" s="26">
        <f ca="1">IFERROR(__xludf.DUMMYFUNCTION("D919*GOOGLEFINANCE(""RUBKZT"")*1000/F919"),5696259.54104592)</f>
        <v>5696259.54104592</v>
      </c>
      <c r="V919" s="27">
        <f t="shared" ca="1" si="792"/>
        <v>0.24498717499707565</v>
      </c>
    </row>
    <row r="920" spans="1:22" ht="12.75" customHeight="1" x14ac:dyDescent="0.2">
      <c r="A920" s="6" t="s">
        <v>413</v>
      </c>
      <c r="B920" s="6" t="s">
        <v>32</v>
      </c>
      <c r="C920" s="7">
        <v>201515</v>
      </c>
      <c r="D920" s="8">
        <v>8850</v>
      </c>
      <c r="E920" s="9" t="s">
        <v>16</v>
      </c>
      <c r="F920" s="23">
        <v>20</v>
      </c>
      <c r="G920" s="25"/>
      <c r="H920" s="14">
        <f t="shared" si="786"/>
        <v>0.55000000000000004</v>
      </c>
      <c r="I920" s="25">
        <f ca="1">IFERROR(__xludf.DUMMYFUNCTION("ROUND(D920*GOOGLEFINANCE(""RUBKZT"")*H920)"),37984)</f>
        <v>37984</v>
      </c>
      <c r="J920" s="26">
        <f ca="1">IFERROR(__xludf.DUMMYFUNCTION("ROUND(I920*GOOGLEFINANCE(""KZTEUR""))"),80)</f>
        <v>80</v>
      </c>
      <c r="K920" s="26">
        <f t="shared" ca="1" si="787"/>
        <v>4000</v>
      </c>
      <c r="L920" s="26">
        <f t="shared" ca="1" si="788"/>
        <v>760</v>
      </c>
      <c r="M920" s="26">
        <f t="shared" ref="M920:N920" si="942">M$3</f>
        <v>500</v>
      </c>
      <c r="N920" s="26">
        <f t="shared" si="942"/>
        <v>500</v>
      </c>
      <c r="O920" s="26">
        <f ca="1">IFERROR(__xludf.DUMMYFUNCTION("ROUND(GOOGLEFINANCE(""Currency:EURKZT"")*K920)"),1910278)</f>
        <v>1910278</v>
      </c>
      <c r="P920" s="26">
        <f ca="1">IFERROR(__xludf.DUMMYFUNCTION("ROUND(GOOGLEFINANCE(""Currency:EURKZT"")*M920)"),238785)</f>
        <v>238785</v>
      </c>
      <c r="Q920" s="26">
        <f ca="1">IFERROR(__xludf.DUMMYFUNCTION("ROUND(GOOGLEFINANCE(""Currency:EURKZT"")*N920)"),238785)</f>
        <v>238785</v>
      </c>
      <c r="R920" s="26">
        <f t="shared" ca="1" si="790"/>
        <v>229233</v>
      </c>
      <c r="S920" s="26">
        <f t="shared" ca="1" si="791"/>
        <v>2617081</v>
      </c>
      <c r="T920" s="26">
        <f ca="1">IFERROR(__xludf.DUMMYFUNCTION("ROUND(GOOGLEFINANCE(""Currency:EURKZT"")*L920+S920)"),2980034)</f>
        <v>2980034</v>
      </c>
      <c r="U920" s="26">
        <f ca="1">IFERROR(__xludf.DUMMYFUNCTION("D920*GOOGLEFINANCE(""RUBKZT"")*1000/F920"),3453058.86201)</f>
        <v>3453058.8620099998</v>
      </c>
      <c r="V920" s="27">
        <f t="shared" ca="1" si="792"/>
        <v>0.15873136414215402</v>
      </c>
    </row>
    <row r="921" spans="1:22" ht="12.75" customHeight="1" x14ac:dyDescent="0.2">
      <c r="A921" s="6" t="s">
        <v>415</v>
      </c>
      <c r="B921" s="6" t="s">
        <v>32</v>
      </c>
      <c r="C921" s="7">
        <v>201529</v>
      </c>
      <c r="D921" s="8">
        <v>80136</v>
      </c>
      <c r="E921" s="9" t="s">
        <v>16</v>
      </c>
      <c r="F921" s="23">
        <v>20</v>
      </c>
      <c r="G921" s="25"/>
      <c r="H921" s="14">
        <f t="shared" si="786"/>
        <v>0.55000000000000004</v>
      </c>
      <c r="I921" s="25">
        <f ca="1">IFERROR(__xludf.DUMMYFUNCTION("ROUND(D921*GOOGLEFINANCE(""RUBKZT"")*H921)"),343939)</f>
        <v>343939</v>
      </c>
      <c r="J921" s="26">
        <f ca="1">IFERROR(__xludf.DUMMYFUNCTION("ROUND(I921*GOOGLEFINANCE(""KZTEUR""))"),720)</f>
        <v>720</v>
      </c>
      <c r="K921" s="26">
        <f t="shared" ca="1" si="787"/>
        <v>36000</v>
      </c>
      <c r="L921" s="26">
        <f t="shared" ca="1" si="788"/>
        <v>6840</v>
      </c>
      <c r="M921" s="26">
        <f t="shared" ref="M921:N921" si="943">M$3</f>
        <v>500</v>
      </c>
      <c r="N921" s="26">
        <f t="shared" si="943"/>
        <v>500</v>
      </c>
      <c r="O921" s="26">
        <f ca="1">IFERROR(__xludf.DUMMYFUNCTION("ROUND(GOOGLEFINANCE(""Currency:EURKZT"")*K921)"),17192506)</f>
        <v>17192506</v>
      </c>
      <c r="P921" s="26">
        <f ca="1">IFERROR(__xludf.DUMMYFUNCTION("ROUND(GOOGLEFINANCE(""Currency:EURKZT"")*M921)"),238785)</f>
        <v>238785</v>
      </c>
      <c r="Q921" s="26">
        <f ca="1">IFERROR(__xludf.DUMMYFUNCTION("ROUND(GOOGLEFINANCE(""Currency:EURKZT"")*N921)"),238785)</f>
        <v>238785</v>
      </c>
      <c r="R921" s="26">
        <f t="shared" ca="1" si="790"/>
        <v>2063101</v>
      </c>
      <c r="S921" s="26">
        <f t="shared" ca="1" si="791"/>
        <v>19733177</v>
      </c>
      <c r="T921" s="26">
        <f ca="1">IFERROR(__xludf.DUMMYFUNCTION("ROUND(GOOGLEFINANCE(""Currency:EURKZT"")*L921+S921)"),22999753)</f>
        <v>22999753</v>
      </c>
      <c r="U921" s="26">
        <f ca="1">IFERROR(__xludf.DUMMYFUNCTION("D921*GOOGLEFINANCE(""RUBKZT"")*1000/F921"),31267155.3633936)</f>
        <v>31267155.363393601</v>
      </c>
      <c r="V921" s="27">
        <f t="shared" ca="1" si="792"/>
        <v>0.35945613691562694</v>
      </c>
    </row>
    <row r="922" spans="1:22" ht="12.75" customHeight="1" x14ac:dyDescent="0.2">
      <c r="A922" s="6" t="s">
        <v>416</v>
      </c>
      <c r="B922" s="6" t="s">
        <v>32</v>
      </c>
      <c r="C922" s="7">
        <v>201543</v>
      </c>
      <c r="D922" s="8">
        <v>8857.1999999999989</v>
      </c>
      <c r="E922" s="9" t="s">
        <v>7</v>
      </c>
      <c r="F922" s="23">
        <v>20</v>
      </c>
      <c r="G922" s="25"/>
      <c r="H922" s="14">
        <f t="shared" si="786"/>
        <v>0.55000000000000004</v>
      </c>
      <c r="I922" s="25">
        <f ca="1">IFERROR(__xludf.DUMMYFUNCTION("ROUND(D922*GOOGLEFINANCE(""RUBKZT"")*H922)"),38015)</f>
        <v>38015</v>
      </c>
      <c r="J922" s="26">
        <f ca="1">IFERROR(__xludf.DUMMYFUNCTION("ROUND(I922*GOOGLEFINANCE(""KZTEUR""))"),80)</f>
        <v>80</v>
      </c>
      <c r="K922" s="26">
        <f t="shared" ca="1" si="787"/>
        <v>4000</v>
      </c>
      <c r="L922" s="26">
        <f t="shared" ca="1" si="788"/>
        <v>760</v>
      </c>
      <c r="M922" s="26">
        <f t="shared" ref="M922:N922" si="944">M$3</f>
        <v>500</v>
      </c>
      <c r="N922" s="26">
        <f t="shared" si="944"/>
        <v>500</v>
      </c>
      <c r="O922" s="26">
        <f ca="1">IFERROR(__xludf.DUMMYFUNCTION("ROUND(GOOGLEFINANCE(""Currency:EURKZT"")*K922)"),1910278)</f>
        <v>1910278</v>
      </c>
      <c r="P922" s="26">
        <f ca="1">IFERROR(__xludf.DUMMYFUNCTION("ROUND(GOOGLEFINANCE(""Currency:EURKZT"")*M922)"),238785)</f>
        <v>238785</v>
      </c>
      <c r="Q922" s="26">
        <f ca="1">IFERROR(__xludf.DUMMYFUNCTION("ROUND(GOOGLEFINANCE(""Currency:EURKZT"")*N922)"),238785)</f>
        <v>238785</v>
      </c>
      <c r="R922" s="26">
        <f t="shared" ca="1" si="790"/>
        <v>229233</v>
      </c>
      <c r="S922" s="26">
        <f t="shared" ca="1" si="791"/>
        <v>2617081</v>
      </c>
      <c r="T922" s="26">
        <f ca="1">IFERROR(__xludf.DUMMYFUNCTION("ROUND(GOOGLEFINANCE(""Currency:EURKZT"")*L922+S922)"),2980034)</f>
        <v>2980034</v>
      </c>
      <c r="U922" s="26">
        <f ca="1">IFERROR(__xludf.DUMMYFUNCTION("D922*GOOGLEFINANCE(""RUBKZT"")*1000/F922"),3455868.13023672)</f>
        <v>3455868.1302367202</v>
      </c>
      <c r="V922" s="27">
        <f t="shared" ca="1" si="792"/>
        <v>0.15967406084518507</v>
      </c>
    </row>
    <row r="923" spans="1:22" ht="12.75" customHeight="1" x14ac:dyDescent="0.2">
      <c r="A923" s="6" t="s">
        <v>418</v>
      </c>
      <c r="B923" s="6" t="s">
        <v>32</v>
      </c>
      <c r="C923" s="7">
        <v>201657</v>
      </c>
      <c r="D923" s="8">
        <v>18920.399999999998</v>
      </c>
      <c r="E923" s="9" t="s">
        <v>16</v>
      </c>
      <c r="F923" s="23">
        <v>20</v>
      </c>
      <c r="G923" s="25"/>
      <c r="H923" s="14">
        <f t="shared" si="786"/>
        <v>0.55000000000000004</v>
      </c>
      <c r="I923" s="25">
        <f ca="1">IFERROR(__xludf.DUMMYFUNCTION("ROUND(D923*GOOGLEFINANCE(""RUBKZT"")*H923)"),81205)</f>
        <v>81205</v>
      </c>
      <c r="J923" s="26">
        <f ca="1">IFERROR(__xludf.DUMMYFUNCTION("ROUND(I923*GOOGLEFINANCE(""KZTEUR""))"),170)</f>
        <v>170</v>
      </c>
      <c r="K923" s="26">
        <f t="shared" ca="1" si="787"/>
        <v>8500</v>
      </c>
      <c r="L923" s="26">
        <f t="shared" ca="1" si="788"/>
        <v>1615</v>
      </c>
      <c r="M923" s="26">
        <f t="shared" ref="M923:N923" si="945">M$3</f>
        <v>500</v>
      </c>
      <c r="N923" s="26">
        <f t="shared" si="945"/>
        <v>500</v>
      </c>
      <c r="O923" s="26">
        <f ca="1">IFERROR(__xludf.DUMMYFUNCTION("ROUND(GOOGLEFINANCE(""Currency:EURKZT"")*K923)"),4059342)</f>
        <v>4059342</v>
      </c>
      <c r="P923" s="26">
        <f ca="1">IFERROR(__xludf.DUMMYFUNCTION("ROUND(GOOGLEFINANCE(""Currency:EURKZT"")*M923)"),238785)</f>
        <v>238785</v>
      </c>
      <c r="Q923" s="26">
        <f ca="1">IFERROR(__xludf.DUMMYFUNCTION("ROUND(GOOGLEFINANCE(""Currency:EURKZT"")*N923)"),238785)</f>
        <v>238785</v>
      </c>
      <c r="R923" s="26">
        <f t="shared" ca="1" si="790"/>
        <v>487121</v>
      </c>
      <c r="S923" s="26">
        <f t="shared" ca="1" si="791"/>
        <v>5024033</v>
      </c>
      <c r="T923" s="26">
        <f ca="1">IFERROR(__xludf.DUMMYFUNCTION("ROUND(GOOGLEFINANCE(""Currency:EURKZT"")*L923+S923)"),5795308)</f>
        <v>5795308</v>
      </c>
      <c r="U923" s="26">
        <f ca="1">IFERROR(__xludf.DUMMYFUNCTION("D923*GOOGLEFINANCE(""RUBKZT"")*1000/F923"),7382288.68844903)</f>
        <v>7382288.6884490298</v>
      </c>
      <c r="V923" s="27">
        <f t="shared" ca="1" si="792"/>
        <v>0.27383888629371034</v>
      </c>
    </row>
    <row r="924" spans="1:22" ht="12.75" customHeight="1" x14ac:dyDescent="0.2">
      <c r="A924" s="6" t="s">
        <v>426</v>
      </c>
      <c r="B924" s="6" t="s">
        <v>32</v>
      </c>
      <c r="C924" s="7">
        <v>204405</v>
      </c>
      <c r="D924" s="8">
        <v>10236</v>
      </c>
      <c r="E924" s="9" t="s">
        <v>16</v>
      </c>
      <c r="F924" s="23">
        <v>20</v>
      </c>
      <c r="G924" s="25"/>
      <c r="H924" s="14">
        <f t="shared" si="786"/>
        <v>0.55000000000000004</v>
      </c>
      <c r="I924" s="25">
        <f ca="1">IFERROR(__xludf.DUMMYFUNCTION("ROUND(D924*GOOGLEFINANCE(""RUBKZT"")*H924)"),43932)</f>
        <v>43932</v>
      </c>
      <c r="J924" s="26">
        <f ca="1">IFERROR(__xludf.DUMMYFUNCTION("ROUND(I924*GOOGLEFINANCE(""KZTEUR""))"),92)</f>
        <v>92</v>
      </c>
      <c r="K924" s="26">
        <f t="shared" ca="1" si="787"/>
        <v>4600</v>
      </c>
      <c r="L924" s="26">
        <f t="shared" ca="1" si="788"/>
        <v>874</v>
      </c>
      <c r="M924" s="26">
        <f t="shared" ref="M924:N924" si="946">M$3</f>
        <v>500</v>
      </c>
      <c r="N924" s="26">
        <f t="shared" si="946"/>
        <v>500</v>
      </c>
      <c r="O924" s="26">
        <f ca="1">IFERROR(__xludf.DUMMYFUNCTION("ROUND(GOOGLEFINANCE(""Currency:EURKZT"")*K924)"),2196820)</f>
        <v>2196820</v>
      </c>
      <c r="P924" s="26">
        <f ca="1">IFERROR(__xludf.DUMMYFUNCTION("ROUND(GOOGLEFINANCE(""Currency:EURKZT"")*M924)"),238785)</f>
        <v>238785</v>
      </c>
      <c r="Q924" s="26">
        <f ca="1">IFERROR(__xludf.DUMMYFUNCTION("ROUND(GOOGLEFINANCE(""Currency:EURKZT"")*N924)"),238785)</f>
        <v>238785</v>
      </c>
      <c r="R924" s="26">
        <f t="shared" ca="1" si="790"/>
        <v>263618</v>
      </c>
      <c r="S924" s="26">
        <f t="shared" ca="1" si="791"/>
        <v>2938008</v>
      </c>
      <c r="T924" s="26">
        <f ca="1">IFERROR(__xludf.DUMMYFUNCTION("ROUND(GOOGLEFINANCE(""Currency:EURKZT"")*L924+S924)"),3355404)</f>
        <v>3355404</v>
      </c>
      <c r="U924" s="26">
        <f ca="1">IFERROR(__xludf.DUMMYFUNCTION("D924*GOOGLEFINANCE(""RUBKZT"")*1000/F924"),3993842.9956536)</f>
        <v>3993842.9956536</v>
      </c>
      <c r="V924" s="27">
        <f t="shared" ca="1" si="792"/>
        <v>0.19027187058655232</v>
      </c>
    </row>
    <row r="925" spans="1:22" ht="12.75" customHeight="1" x14ac:dyDescent="0.2">
      <c r="A925" s="6" t="s">
        <v>424</v>
      </c>
      <c r="B925" s="6" t="s">
        <v>32</v>
      </c>
      <c r="C925" s="7">
        <v>205698</v>
      </c>
      <c r="D925" s="8">
        <v>17145.599999999999</v>
      </c>
      <c r="E925" s="9" t="s">
        <v>16</v>
      </c>
      <c r="F925" s="23">
        <v>20</v>
      </c>
      <c r="G925" s="25"/>
      <c r="H925" s="14">
        <f t="shared" si="786"/>
        <v>0.55000000000000004</v>
      </c>
      <c r="I925" s="25">
        <f ca="1">IFERROR(__xludf.DUMMYFUNCTION("ROUND(D925*GOOGLEFINANCE(""RUBKZT"")*H925)"),73588)</f>
        <v>73588</v>
      </c>
      <c r="J925" s="26">
        <f ca="1">IFERROR(__xludf.DUMMYFUNCTION("ROUND(I925*GOOGLEFINANCE(""KZTEUR""))"),154)</f>
        <v>154</v>
      </c>
      <c r="K925" s="26">
        <f t="shared" ca="1" si="787"/>
        <v>7700</v>
      </c>
      <c r="L925" s="26">
        <f t="shared" ca="1" si="788"/>
        <v>1463</v>
      </c>
      <c r="M925" s="26">
        <f t="shared" ref="M925:N925" si="947">M$3</f>
        <v>500</v>
      </c>
      <c r="N925" s="26">
        <f t="shared" si="947"/>
        <v>500</v>
      </c>
      <c r="O925" s="26">
        <f ca="1">IFERROR(__xludf.DUMMYFUNCTION("ROUND(GOOGLEFINANCE(""Currency:EURKZT"")*K925)"),3677286)</f>
        <v>3677286</v>
      </c>
      <c r="P925" s="26">
        <f ca="1">IFERROR(__xludf.DUMMYFUNCTION("ROUND(GOOGLEFINANCE(""Currency:EURKZT"")*M925)"),238785)</f>
        <v>238785</v>
      </c>
      <c r="Q925" s="26">
        <f ca="1">IFERROR(__xludf.DUMMYFUNCTION("ROUND(GOOGLEFINANCE(""Currency:EURKZT"")*N925)"),238785)</f>
        <v>238785</v>
      </c>
      <c r="R925" s="26">
        <f t="shared" ca="1" si="790"/>
        <v>441274</v>
      </c>
      <c r="S925" s="26">
        <f t="shared" ca="1" si="791"/>
        <v>4596130</v>
      </c>
      <c r="T925" s="26">
        <f ca="1">IFERROR(__xludf.DUMMYFUNCTION("ROUND(GOOGLEFINANCE(""Currency:EURKZT"")*L925+S925)"),5294814)</f>
        <v>5294814</v>
      </c>
      <c r="U925" s="26">
        <f ca="1">IFERROR(__xludf.DUMMYFUNCTION("D925*GOOGLEFINANCE(""RUBKZT"")*1000/F925"),6689804.07056255)</f>
        <v>6689804.0705625499</v>
      </c>
      <c r="V925" s="27">
        <f t="shared" ca="1" si="792"/>
        <v>0.2634634702111443</v>
      </c>
    </row>
    <row r="926" spans="1:22" ht="12.75" customHeight="1" x14ac:dyDescent="0.2">
      <c r="A926" s="6" t="s">
        <v>425</v>
      </c>
      <c r="B926" s="6" t="s">
        <v>32</v>
      </c>
      <c r="C926" s="7">
        <v>205699</v>
      </c>
      <c r="D926" s="8">
        <v>19692</v>
      </c>
      <c r="E926" s="9" t="s">
        <v>16</v>
      </c>
      <c r="F926" s="23">
        <v>20</v>
      </c>
      <c r="G926" s="25"/>
      <c r="H926" s="14">
        <f t="shared" si="786"/>
        <v>0.55000000000000004</v>
      </c>
      <c r="I926" s="25">
        <f ca="1">IFERROR(__xludf.DUMMYFUNCTION("ROUND(D926*GOOGLEFINANCE(""RUBKZT"")*H926)"),84517)</f>
        <v>84517</v>
      </c>
      <c r="J926" s="26">
        <f ca="1">IFERROR(__xludf.DUMMYFUNCTION("ROUND(I926*GOOGLEFINANCE(""KZTEUR""))"),177)</f>
        <v>177</v>
      </c>
      <c r="K926" s="26">
        <f t="shared" ca="1" si="787"/>
        <v>8850</v>
      </c>
      <c r="L926" s="26">
        <f t="shared" ca="1" si="788"/>
        <v>1681.5</v>
      </c>
      <c r="M926" s="26">
        <f t="shared" ref="M926:N926" si="948">M$3</f>
        <v>500</v>
      </c>
      <c r="N926" s="26">
        <f t="shared" si="948"/>
        <v>500</v>
      </c>
      <c r="O926" s="26">
        <f ca="1">IFERROR(__xludf.DUMMYFUNCTION("ROUND(GOOGLEFINANCE(""Currency:EURKZT"")*K926)"),4226491)</f>
        <v>4226491</v>
      </c>
      <c r="P926" s="26">
        <f ca="1">IFERROR(__xludf.DUMMYFUNCTION("ROUND(GOOGLEFINANCE(""Currency:EURKZT"")*M926)"),238785)</f>
        <v>238785</v>
      </c>
      <c r="Q926" s="26">
        <f ca="1">IFERROR(__xludf.DUMMYFUNCTION("ROUND(GOOGLEFINANCE(""Currency:EURKZT"")*N926)"),238785)</f>
        <v>238785</v>
      </c>
      <c r="R926" s="26">
        <f t="shared" ca="1" si="790"/>
        <v>507179</v>
      </c>
      <c r="S926" s="26">
        <f t="shared" ca="1" si="791"/>
        <v>5211240</v>
      </c>
      <c r="T926" s="26">
        <f ca="1">IFERROR(__xludf.DUMMYFUNCTION("ROUND(GOOGLEFINANCE(""Currency:EURKZT"")*L926+S926)"),6014273)</f>
        <v>6014273</v>
      </c>
      <c r="U926" s="26">
        <f ca="1">IFERROR(__xludf.DUMMYFUNCTION("D926*GOOGLEFINANCE(""RUBKZT"")*1000/F926"),7683348.6000792)</f>
        <v>7683348.6000792002</v>
      </c>
      <c r="V926" s="27">
        <f t="shared" ca="1" si="792"/>
        <v>0.27751909500602984</v>
      </c>
    </row>
    <row r="927" spans="1:22" ht="12.75" customHeight="1" x14ac:dyDescent="0.2">
      <c r="A927" s="6" t="s">
        <v>431</v>
      </c>
      <c r="B927" s="6" t="s">
        <v>32</v>
      </c>
      <c r="C927" s="7">
        <v>205816</v>
      </c>
      <c r="D927" s="8">
        <v>14575.199999999999</v>
      </c>
      <c r="E927" s="9" t="s">
        <v>16</v>
      </c>
      <c r="F927" s="23">
        <v>20</v>
      </c>
      <c r="G927" s="25"/>
      <c r="H927" s="14">
        <f t="shared" si="786"/>
        <v>0.55000000000000004</v>
      </c>
      <c r="I927" s="25">
        <f ca="1">IFERROR(__xludf.DUMMYFUNCTION("ROUND(D927*GOOGLEFINANCE(""RUBKZT"")*H927)"),62556)</f>
        <v>62556</v>
      </c>
      <c r="J927" s="26">
        <f ca="1">IFERROR(__xludf.DUMMYFUNCTION("ROUND(I927*GOOGLEFINANCE(""KZTEUR""))"),131)</f>
        <v>131</v>
      </c>
      <c r="K927" s="26">
        <f t="shared" ca="1" si="787"/>
        <v>6550</v>
      </c>
      <c r="L927" s="26">
        <f t="shared" ca="1" si="788"/>
        <v>1244.5</v>
      </c>
      <c r="M927" s="26">
        <f t="shared" ref="M927:N927" si="949">M$3</f>
        <v>500</v>
      </c>
      <c r="N927" s="26">
        <f t="shared" si="949"/>
        <v>500</v>
      </c>
      <c r="O927" s="26">
        <f ca="1">IFERROR(__xludf.DUMMYFUNCTION("ROUND(GOOGLEFINANCE(""Currency:EURKZT"")*K927)"),3128081)</f>
        <v>3128081</v>
      </c>
      <c r="P927" s="26">
        <f ca="1">IFERROR(__xludf.DUMMYFUNCTION("ROUND(GOOGLEFINANCE(""Currency:EURKZT"")*M927)"),238785)</f>
        <v>238785</v>
      </c>
      <c r="Q927" s="26">
        <f ca="1">IFERROR(__xludf.DUMMYFUNCTION("ROUND(GOOGLEFINANCE(""Currency:EURKZT"")*N927)"),238785)</f>
        <v>238785</v>
      </c>
      <c r="R927" s="26">
        <f t="shared" ca="1" si="790"/>
        <v>375370</v>
      </c>
      <c r="S927" s="26">
        <f t="shared" ca="1" si="791"/>
        <v>3981021</v>
      </c>
      <c r="T927" s="26">
        <f ca="1">IFERROR(__xludf.DUMMYFUNCTION("ROUND(GOOGLEFINANCE(""Currency:EURKZT"")*L927+S927)"),4575356)</f>
        <v>4575356</v>
      </c>
      <c r="U927" s="26">
        <f ca="1">IFERROR(__xludf.DUMMYFUNCTION("D927*GOOGLEFINANCE(""RUBKZT"")*1000/F927"),5686895.31362352)</f>
        <v>5686895.3136235196</v>
      </c>
      <c r="V927" s="27">
        <f t="shared" ca="1" si="792"/>
        <v>0.24294050859070193</v>
      </c>
    </row>
    <row r="928" spans="1:22" ht="12.75" customHeight="1" x14ac:dyDescent="0.2">
      <c r="A928" s="6" t="s">
        <v>432</v>
      </c>
      <c r="B928" s="6" t="s">
        <v>32</v>
      </c>
      <c r="C928" s="7">
        <v>206400</v>
      </c>
      <c r="D928" s="8">
        <v>24432</v>
      </c>
      <c r="E928" s="9" t="s">
        <v>16</v>
      </c>
      <c r="F928" s="23">
        <v>20</v>
      </c>
      <c r="G928" s="25"/>
      <c r="H928" s="14">
        <f t="shared" si="786"/>
        <v>0.55000000000000004</v>
      </c>
      <c r="I928" s="25">
        <f ca="1">IFERROR(__xludf.DUMMYFUNCTION("ROUND(D928*GOOGLEFINANCE(""RUBKZT"")*H928)"),104861)</f>
        <v>104861</v>
      </c>
      <c r="J928" s="26">
        <f ca="1">IFERROR(__xludf.DUMMYFUNCTION("ROUND(I928*GOOGLEFINANCE(""KZTEUR""))"),220)</f>
        <v>220</v>
      </c>
      <c r="K928" s="26">
        <f t="shared" ca="1" si="787"/>
        <v>11000</v>
      </c>
      <c r="L928" s="26">
        <f t="shared" ca="1" si="788"/>
        <v>2090</v>
      </c>
      <c r="M928" s="26">
        <f t="shared" ref="M928:N928" si="950">M$3</f>
        <v>500</v>
      </c>
      <c r="N928" s="26">
        <f t="shared" si="950"/>
        <v>500</v>
      </c>
      <c r="O928" s="26">
        <f ca="1">IFERROR(__xludf.DUMMYFUNCTION("ROUND(GOOGLEFINANCE(""Currency:EURKZT"")*K928)"),5253266)</f>
        <v>5253266</v>
      </c>
      <c r="P928" s="26">
        <f ca="1">IFERROR(__xludf.DUMMYFUNCTION("ROUND(GOOGLEFINANCE(""Currency:EURKZT"")*M928)"),238785)</f>
        <v>238785</v>
      </c>
      <c r="Q928" s="26">
        <f ca="1">IFERROR(__xludf.DUMMYFUNCTION("ROUND(GOOGLEFINANCE(""Currency:EURKZT"")*N928)"),238785)</f>
        <v>238785</v>
      </c>
      <c r="R928" s="26">
        <f t="shared" ca="1" si="790"/>
        <v>630392</v>
      </c>
      <c r="S928" s="26">
        <f t="shared" ca="1" si="791"/>
        <v>6361228</v>
      </c>
      <c r="T928" s="26">
        <f ca="1">IFERROR(__xludf.DUMMYFUNCTION("ROUND(GOOGLEFINANCE(""Currency:EURKZT"")*L928+S928)"),7359348)</f>
        <v>7359348</v>
      </c>
      <c r="U928" s="26">
        <f ca="1">IFERROR(__xludf.DUMMYFUNCTION("D928*GOOGLEFINANCE(""RUBKZT"")*1000/F928"),9532783.5160032)</f>
        <v>9532783.5160032008</v>
      </c>
      <c r="V928" s="27">
        <f t="shared" ca="1" si="792"/>
        <v>0.29532990096448775</v>
      </c>
    </row>
    <row r="929" spans="1:22" ht="12.75" customHeight="1" x14ac:dyDescent="0.2">
      <c r="A929" s="6" t="s">
        <v>436</v>
      </c>
      <c r="B929" s="6" t="s">
        <v>32</v>
      </c>
      <c r="C929" s="7">
        <v>206924</v>
      </c>
      <c r="D929" s="8">
        <v>9560.4</v>
      </c>
      <c r="E929" s="9" t="s">
        <v>16</v>
      </c>
      <c r="F929" s="23">
        <v>20</v>
      </c>
      <c r="G929" s="25"/>
      <c r="H929" s="14">
        <f t="shared" si="786"/>
        <v>0.55000000000000004</v>
      </c>
      <c r="I929" s="25">
        <f ca="1">IFERROR(__xludf.DUMMYFUNCTION("ROUND(D929*GOOGLEFINANCE(""RUBKZT"")*H929)"),41033)</f>
        <v>41033</v>
      </c>
      <c r="J929" s="26">
        <f ca="1">IFERROR(__xludf.DUMMYFUNCTION("ROUND(I929*GOOGLEFINANCE(""KZTEUR""))"),86)</f>
        <v>86</v>
      </c>
      <c r="K929" s="26">
        <f t="shared" ca="1" si="787"/>
        <v>4300</v>
      </c>
      <c r="L929" s="26">
        <f t="shared" ca="1" si="788"/>
        <v>817</v>
      </c>
      <c r="M929" s="26">
        <f t="shared" ref="M929:N929" si="951">M$3</f>
        <v>500</v>
      </c>
      <c r="N929" s="26">
        <f t="shared" si="951"/>
        <v>500</v>
      </c>
      <c r="O929" s="26">
        <f ca="1">IFERROR(__xludf.DUMMYFUNCTION("ROUND(GOOGLEFINANCE(""Currency:EURKZT"")*K929)"),2053549)</f>
        <v>2053549</v>
      </c>
      <c r="P929" s="26">
        <f ca="1">IFERROR(__xludf.DUMMYFUNCTION("ROUND(GOOGLEFINANCE(""Currency:EURKZT"")*M929)"),238785)</f>
        <v>238785</v>
      </c>
      <c r="Q929" s="26">
        <f ca="1">IFERROR(__xludf.DUMMYFUNCTION("ROUND(GOOGLEFINANCE(""Currency:EURKZT"")*N929)"),238785)</f>
        <v>238785</v>
      </c>
      <c r="R929" s="26">
        <f t="shared" ca="1" si="790"/>
        <v>246426</v>
      </c>
      <c r="S929" s="26">
        <f t="shared" ca="1" si="791"/>
        <v>2777545</v>
      </c>
      <c r="T929" s="26">
        <f ca="1">IFERROR(__xludf.DUMMYFUNCTION("ROUND(GOOGLEFINANCE(""Currency:EURKZT"")*L929+S929)"),3167719)</f>
        <v>3167719</v>
      </c>
      <c r="U929" s="26">
        <f ca="1">IFERROR(__xludf.DUMMYFUNCTION("D929*GOOGLEFINANCE(""RUBKZT"")*1000/F929"),3730239.99371304)</f>
        <v>3730239.9937130399</v>
      </c>
      <c r="V929" s="27">
        <f t="shared" ca="1" si="792"/>
        <v>0.17757919617019058</v>
      </c>
    </row>
    <row r="930" spans="1:22" ht="12.75" customHeight="1" x14ac:dyDescent="0.2">
      <c r="A930" s="6" t="s">
        <v>437</v>
      </c>
      <c r="B930" s="6" t="s">
        <v>32</v>
      </c>
      <c r="C930" s="7">
        <v>207424</v>
      </c>
      <c r="D930" s="8">
        <v>9673.1999999999989</v>
      </c>
      <c r="E930" s="9" t="s">
        <v>16</v>
      </c>
      <c r="F930" s="23">
        <v>20</v>
      </c>
      <c r="G930" s="25"/>
      <c r="H930" s="14">
        <f t="shared" si="786"/>
        <v>0.55000000000000004</v>
      </c>
      <c r="I930" s="25">
        <f ca="1">IFERROR(__xludf.DUMMYFUNCTION("ROUND(D930*GOOGLEFINANCE(""RUBKZT"")*H930)"),41517)</f>
        <v>41517</v>
      </c>
      <c r="J930" s="26">
        <f ca="1">IFERROR(__xludf.DUMMYFUNCTION("ROUND(I930*GOOGLEFINANCE(""KZTEUR""))"),87)</f>
        <v>87</v>
      </c>
      <c r="K930" s="26">
        <f t="shared" ca="1" si="787"/>
        <v>4350</v>
      </c>
      <c r="L930" s="26">
        <f t="shared" ca="1" si="788"/>
        <v>826.5</v>
      </c>
      <c r="M930" s="26">
        <f t="shared" ref="M930:N930" si="952">M$3</f>
        <v>500</v>
      </c>
      <c r="N930" s="26">
        <f t="shared" si="952"/>
        <v>500</v>
      </c>
      <c r="O930" s="26">
        <f ca="1">IFERROR(__xludf.DUMMYFUNCTION("ROUND(GOOGLEFINANCE(""Currency:EURKZT"")*K930)"),2077428)</f>
        <v>2077428</v>
      </c>
      <c r="P930" s="26">
        <f ca="1">IFERROR(__xludf.DUMMYFUNCTION("ROUND(GOOGLEFINANCE(""Currency:EURKZT"")*M930)"),238785)</f>
        <v>238785</v>
      </c>
      <c r="Q930" s="26">
        <f ca="1">IFERROR(__xludf.DUMMYFUNCTION("ROUND(GOOGLEFINANCE(""Currency:EURKZT"")*N930)"),238785)</f>
        <v>238785</v>
      </c>
      <c r="R930" s="26">
        <f t="shared" ca="1" si="790"/>
        <v>249291</v>
      </c>
      <c r="S930" s="26">
        <f t="shared" ca="1" si="791"/>
        <v>2804289</v>
      </c>
      <c r="T930" s="26">
        <f ca="1">IFERROR(__xludf.DUMMYFUNCTION("ROUND(GOOGLEFINANCE(""Currency:EURKZT"")*L930+S930)"),3199000)</f>
        <v>3199000</v>
      </c>
      <c r="U930" s="26">
        <f ca="1">IFERROR(__xludf.DUMMYFUNCTION("D930*GOOGLEFINANCE(""RUBKZT"")*1000/F930"),3774251.86259831)</f>
        <v>3774251.8625983102</v>
      </c>
      <c r="V930" s="27">
        <f t="shared" ca="1" si="792"/>
        <v>0.17982240156246021</v>
      </c>
    </row>
    <row r="931" spans="1:22" ht="12.75" customHeight="1" x14ac:dyDescent="0.2">
      <c r="A931" s="6" t="s">
        <v>438</v>
      </c>
      <c r="B931" s="6" t="s">
        <v>32</v>
      </c>
      <c r="C931" s="7">
        <v>207445</v>
      </c>
      <c r="D931" s="8">
        <v>10142.4</v>
      </c>
      <c r="E931" s="9" t="s">
        <v>16</v>
      </c>
      <c r="F931" s="23">
        <v>20</v>
      </c>
      <c r="G931" s="25"/>
      <c r="H931" s="14">
        <f t="shared" si="786"/>
        <v>0.55000000000000004</v>
      </c>
      <c r="I931" s="25">
        <f ca="1">IFERROR(__xludf.DUMMYFUNCTION("ROUND(D931*GOOGLEFINANCE(""RUBKZT"")*H931)"),43531)</f>
        <v>43531</v>
      </c>
      <c r="J931" s="26">
        <f ca="1">IFERROR(__xludf.DUMMYFUNCTION("ROUND(I931*GOOGLEFINANCE(""KZTEUR""))"),91)</f>
        <v>91</v>
      </c>
      <c r="K931" s="26">
        <f t="shared" ca="1" si="787"/>
        <v>4550</v>
      </c>
      <c r="L931" s="26">
        <f t="shared" ca="1" si="788"/>
        <v>864.5</v>
      </c>
      <c r="M931" s="26">
        <f t="shared" ref="M931:N931" si="953">M$3</f>
        <v>500</v>
      </c>
      <c r="N931" s="26">
        <f t="shared" si="953"/>
        <v>500</v>
      </c>
      <c r="O931" s="26">
        <f ca="1">IFERROR(__xludf.DUMMYFUNCTION("ROUND(GOOGLEFINANCE(""Currency:EURKZT"")*K931)"),2172942)</f>
        <v>2172942</v>
      </c>
      <c r="P931" s="26">
        <f ca="1">IFERROR(__xludf.DUMMYFUNCTION("ROUND(GOOGLEFINANCE(""Currency:EURKZT"")*M931)"),238785)</f>
        <v>238785</v>
      </c>
      <c r="Q931" s="26">
        <f ca="1">IFERROR(__xludf.DUMMYFUNCTION("ROUND(GOOGLEFINANCE(""Currency:EURKZT"")*N931)"),238785)</f>
        <v>238785</v>
      </c>
      <c r="R931" s="26">
        <f t="shared" ca="1" si="790"/>
        <v>260753</v>
      </c>
      <c r="S931" s="26">
        <f t="shared" ca="1" si="791"/>
        <v>2911265</v>
      </c>
      <c r="T931" s="26">
        <f ca="1">IFERROR(__xludf.DUMMYFUNCTION("ROUND(GOOGLEFINANCE(""Currency:EURKZT"")*L931+S931)"),3324124)</f>
        <v>3324124</v>
      </c>
      <c r="U931" s="26">
        <f ca="1">IFERROR(__xludf.DUMMYFUNCTION("D931*GOOGLEFINANCE(""RUBKZT"")*1000/F931"),3957322.50870623)</f>
        <v>3957322.5087062302</v>
      </c>
      <c r="V931" s="27">
        <f t="shared" ca="1" si="792"/>
        <v>0.19048582685430213</v>
      </c>
    </row>
    <row r="932" spans="1:22" ht="12.75" customHeight="1" x14ac:dyDescent="0.2">
      <c r="A932" s="6" t="s">
        <v>439</v>
      </c>
      <c r="B932" s="6" t="s">
        <v>32</v>
      </c>
      <c r="C932" s="7">
        <v>207450</v>
      </c>
      <c r="D932" s="8">
        <v>11059.199999999999</v>
      </c>
      <c r="E932" s="9" t="s">
        <v>16</v>
      </c>
      <c r="F932" s="23">
        <v>20</v>
      </c>
      <c r="G932" s="25"/>
      <c r="H932" s="14">
        <f t="shared" si="786"/>
        <v>0.55000000000000004</v>
      </c>
      <c r="I932" s="25">
        <f ca="1">IFERROR(__xludf.DUMMYFUNCTION("ROUND(D932*GOOGLEFINANCE(""RUBKZT"")*H932)"),47465)</f>
        <v>47465</v>
      </c>
      <c r="J932" s="26">
        <f ca="1">IFERROR(__xludf.DUMMYFUNCTION("ROUND(I932*GOOGLEFINANCE(""KZTEUR""))"),99)</f>
        <v>99</v>
      </c>
      <c r="K932" s="26">
        <f t="shared" ca="1" si="787"/>
        <v>4950</v>
      </c>
      <c r="L932" s="26">
        <f t="shared" ca="1" si="788"/>
        <v>940.5</v>
      </c>
      <c r="M932" s="26">
        <f t="shared" ref="M932:N932" si="954">M$3</f>
        <v>500</v>
      </c>
      <c r="N932" s="26">
        <f t="shared" si="954"/>
        <v>500</v>
      </c>
      <c r="O932" s="26">
        <f ca="1">IFERROR(__xludf.DUMMYFUNCTION("ROUND(GOOGLEFINANCE(""Currency:EURKZT"")*K932)"),2363970)</f>
        <v>2363970</v>
      </c>
      <c r="P932" s="26">
        <f ca="1">IFERROR(__xludf.DUMMYFUNCTION("ROUND(GOOGLEFINANCE(""Currency:EURKZT"")*M932)"),238785)</f>
        <v>238785</v>
      </c>
      <c r="Q932" s="26">
        <f ca="1">IFERROR(__xludf.DUMMYFUNCTION("ROUND(GOOGLEFINANCE(""Currency:EURKZT"")*N932)"),238785)</f>
        <v>238785</v>
      </c>
      <c r="R932" s="26">
        <f t="shared" ca="1" si="790"/>
        <v>283676</v>
      </c>
      <c r="S932" s="26">
        <f t="shared" ca="1" si="791"/>
        <v>3125216</v>
      </c>
      <c r="T932" s="26">
        <f ca="1">IFERROR(__xludf.DUMMYFUNCTION("ROUND(GOOGLEFINANCE(""Currency:EURKZT"")*L932+S932)"),3574370)</f>
        <v>3574370</v>
      </c>
      <c r="U932" s="26">
        <f ca="1">IFERROR(__xludf.DUMMYFUNCTION("D932*GOOGLEFINANCE(""RUBKZT"")*1000/F932"),4315035.99624192)</f>
        <v>4315035.9962419197</v>
      </c>
      <c r="V932" s="27">
        <f t="shared" ca="1" si="792"/>
        <v>0.20721581600167854</v>
      </c>
    </row>
    <row r="933" spans="1:22" ht="12.75" customHeight="1" x14ac:dyDescent="0.2">
      <c r="A933" s="6" t="s">
        <v>440</v>
      </c>
      <c r="B933" s="6" t="s">
        <v>32</v>
      </c>
      <c r="C933" s="7">
        <v>207669</v>
      </c>
      <c r="D933" s="8">
        <v>13628.4</v>
      </c>
      <c r="E933" s="9" t="s">
        <v>16</v>
      </c>
      <c r="F933" s="23">
        <v>20</v>
      </c>
      <c r="G933" s="25"/>
      <c r="H933" s="14">
        <f t="shared" si="786"/>
        <v>0.55000000000000004</v>
      </c>
      <c r="I933" s="25">
        <f ca="1">IFERROR(__xludf.DUMMYFUNCTION("ROUND(D933*GOOGLEFINANCE(""RUBKZT"")*H933)"),58492)</f>
        <v>58492</v>
      </c>
      <c r="J933" s="26">
        <f ca="1">IFERROR(__xludf.DUMMYFUNCTION("ROUND(I933*GOOGLEFINANCE(""KZTEUR""))"),123)</f>
        <v>123</v>
      </c>
      <c r="K933" s="26">
        <f t="shared" ca="1" si="787"/>
        <v>6150</v>
      </c>
      <c r="L933" s="26">
        <f t="shared" ca="1" si="788"/>
        <v>1168.5</v>
      </c>
      <c r="M933" s="26">
        <f t="shared" ref="M933:N933" si="955">M$3</f>
        <v>500</v>
      </c>
      <c r="N933" s="26">
        <f t="shared" si="955"/>
        <v>500</v>
      </c>
      <c r="O933" s="26">
        <f ca="1">IFERROR(__xludf.DUMMYFUNCTION("ROUND(GOOGLEFINANCE(""Currency:EURKZT"")*K933)"),2937053)</f>
        <v>2937053</v>
      </c>
      <c r="P933" s="26">
        <f ca="1">IFERROR(__xludf.DUMMYFUNCTION("ROUND(GOOGLEFINANCE(""Currency:EURKZT"")*M933)"),238785)</f>
        <v>238785</v>
      </c>
      <c r="Q933" s="26">
        <f ca="1">IFERROR(__xludf.DUMMYFUNCTION("ROUND(GOOGLEFINANCE(""Currency:EURKZT"")*N933)"),238785)</f>
        <v>238785</v>
      </c>
      <c r="R933" s="26">
        <f t="shared" ca="1" si="790"/>
        <v>352446</v>
      </c>
      <c r="S933" s="26">
        <f t="shared" ca="1" si="791"/>
        <v>3767069</v>
      </c>
      <c r="T933" s="26">
        <f ca="1">IFERROR(__xludf.DUMMYFUNCTION("ROUND(GOOGLEFINANCE(""Currency:EURKZT"")*L933+S933)"),4325109)</f>
        <v>4325109</v>
      </c>
      <c r="U933" s="26">
        <f ca="1">IFERROR(__xludf.DUMMYFUNCTION("D933*GOOGLEFINANCE(""RUBKZT"")*1000/F933"),5317476.54180984)</f>
        <v>5317476.5418098401</v>
      </c>
      <c r="V933" s="27">
        <f t="shared" ca="1" si="792"/>
        <v>0.22944336011181224</v>
      </c>
    </row>
    <row r="934" spans="1:22" ht="12.75" customHeight="1" x14ac:dyDescent="0.2">
      <c r="A934" s="6" t="s">
        <v>441</v>
      </c>
      <c r="B934" s="6" t="s">
        <v>32</v>
      </c>
      <c r="C934" s="7">
        <v>207848</v>
      </c>
      <c r="D934" s="8">
        <v>8925.6</v>
      </c>
      <c r="E934" s="9" t="s">
        <v>16</v>
      </c>
      <c r="F934" s="23">
        <v>20</v>
      </c>
      <c r="G934" s="25"/>
      <c r="H934" s="14">
        <f t="shared" si="786"/>
        <v>0.55000000000000004</v>
      </c>
      <c r="I934" s="25">
        <f ca="1">IFERROR(__xludf.DUMMYFUNCTION("ROUND(D934*GOOGLEFINANCE(""RUBKZT"")*H934)"),38308)</f>
        <v>38308</v>
      </c>
      <c r="J934" s="26">
        <f ca="1">IFERROR(__xludf.DUMMYFUNCTION("ROUND(I934*GOOGLEFINANCE(""KZTEUR""))"),80)</f>
        <v>80</v>
      </c>
      <c r="K934" s="26">
        <f t="shared" ca="1" si="787"/>
        <v>4000</v>
      </c>
      <c r="L934" s="26">
        <f t="shared" ca="1" si="788"/>
        <v>760</v>
      </c>
      <c r="M934" s="26">
        <f t="shared" ref="M934:N934" si="956">M$3</f>
        <v>500</v>
      </c>
      <c r="N934" s="26">
        <f t="shared" si="956"/>
        <v>500</v>
      </c>
      <c r="O934" s="26">
        <f ca="1">IFERROR(__xludf.DUMMYFUNCTION("ROUND(GOOGLEFINANCE(""Currency:EURKZT"")*K934)"),1910278)</f>
        <v>1910278</v>
      </c>
      <c r="P934" s="26">
        <f ca="1">IFERROR(__xludf.DUMMYFUNCTION("ROUND(GOOGLEFINANCE(""Currency:EURKZT"")*M934)"),238785)</f>
        <v>238785</v>
      </c>
      <c r="Q934" s="26">
        <f ca="1">IFERROR(__xludf.DUMMYFUNCTION("ROUND(GOOGLEFINANCE(""Currency:EURKZT"")*N934)"),238785)</f>
        <v>238785</v>
      </c>
      <c r="R934" s="26">
        <f t="shared" ca="1" si="790"/>
        <v>229233</v>
      </c>
      <c r="S934" s="26">
        <f t="shared" ca="1" si="791"/>
        <v>2617081</v>
      </c>
      <c r="T934" s="26">
        <f ca="1">IFERROR(__xludf.DUMMYFUNCTION("ROUND(GOOGLEFINANCE(""Currency:EURKZT"")*L934+S934)"),2980034)</f>
        <v>2980034</v>
      </c>
      <c r="U934" s="26">
        <f ca="1">IFERROR(__xludf.DUMMYFUNCTION("D934*GOOGLEFINANCE(""RUBKZT"")*1000/F934"),3482556.17839056)</f>
        <v>3482556.1783905602</v>
      </c>
      <c r="V934" s="27">
        <f t="shared" ca="1" si="792"/>
        <v>0.16862967952397864</v>
      </c>
    </row>
    <row r="935" spans="1:22" ht="12.75" customHeight="1" x14ac:dyDescent="0.2">
      <c r="A935" s="6" t="s">
        <v>442</v>
      </c>
      <c r="B935" s="6" t="s">
        <v>32</v>
      </c>
      <c r="C935" s="7">
        <v>207892</v>
      </c>
      <c r="D935" s="8">
        <v>8880</v>
      </c>
      <c r="E935" s="9" t="s">
        <v>16</v>
      </c>
      <c r="F935" s="23">
        <v>20</v>
      </c>
      <c r="G935" s="25"/>
      <c r="H935" s="14">
        <f t="shared" si="786"/>
        <v>0.55000000000000004</v>
      </c>
      <c r="I935" s="25">
        <f ca="1">IFERROR(__xludf.DUMMYFUNCTION("ROUND(D935*GOOGLEFINANCE(""RUBKZT"")*H935)"),38112)</f>
        <v>38112</v>
      </c>
      <c r="J935" s="26">
        <f ca="1">IFERROR(__xludf.DUMMYFUNCTION("ROUND(I935*GOOGLEFINANCE(""KZTEUR""))"),80)</f>
        <v>80</v>
      </c>
      <c r="K935" s="26">
        <f t="shared" ca="1" si="787"/>
        <v>4000</v>
      </c>
      <c r="L935" s="26">
        <f t="shared" ca="1" si="788"/>
        <v>760</v>
      </c>
      <c r="M935" s="26">
        <f t="shared" ref="M935:N935" si="957">M$3</f>
        <v>500</v>
      </c>
      <c r="N935" s="26">
        <f t="shared" si="957"/>
        <v>500</v>
      </c>
      <c r="O935" s="26">
        <f ca="1">IFERROR(__xludf.DUMMYFUNCTION("ROUND(GOOGLEFINANCE(""Currency:EURKZT"")*K935)"),1910278)</f>
        <v>1910278</v>
      </c>
      <c r="P935" s="26">
        <f ca="1">IFERROR(__xludf.DUMMYFUNCTION("ROUND(GOOGLEFINANCE(""Currency:EURKZT"")*M935)"),238785)</f>
        <v>238785</v>
      </c>
      <c r="Q935" s="26">
        <f ca="1">IFERROR(__xludf.DUMMYFUNCTION("ROUND(GOOGLEFINANCE(""Currency:EURKZT"")*N935)"),238785)</f>
        <v>238785</v>
      </c>
      <c r="R935" s="26">
        <f t="shared" ca="1" si="790"/>
        <v>229233</v>
      </c>
      <c r="S935" s="26">
        <f t="shared" ca="1" si="791"/>
        <v>2617081</v>
      </c>
      <c r="T935" s="26">
        <f ca="1">IFERROR(__xludf.DUMMYFUNCTION("ROUND(GOOGLEFINANCE(""Currency:EURKZT"")*L935+S935)"),2980034)</f>
        <v>2980034</v>
      </c>
      <c r="U935" s="26">
        <f ca="1">IFERROR(__xludf.DUMMYFUNCTION("D935*GOOGLEFINANCE(""RUBKZT"")*1000/F935"),3464764.146288)</f>
        <v>3464764.146288</v>
      </c>
      <c r="V935" s="27">
        <f t="shared" ca="1" si="792"/>
        <v>0.16265926707144954</v>
      </c>
    </row>
    <row r="936" spans="1:22" ht="12.75" customHeight="1" x14ac:dyDescent="0.2">
      <c r="A936" s="6" t="s">
        <v>445</v>
      </c>
      <c r="B936" s="6" t="s">
        <v>32</v>
      </c>
      <c r="C936" s="7">
        <v>209501</v>
      </c>
      <c r="D936" s="8">
        <v>16900.8</v>
      </c>
      <c r="E936" s="9" t="s">
        <v>16</v>
      </c>
      <c r="F936" s="23">
        <v>20</v>
      </c>
      <c r="G936" s="25"/>
      <c r="H936" s="14">
        <f t="shared" si="786"/>
        <v>0.55000000000000004</v>
      </c>
      <c r="I936" s="25">
        <f ca="1">IFERROR(__xludf.DUMMYFUNCTION("ROUND(D936*GOOGLEFINANCE(""RUBKZT"")*H936)"),72537)</f>
        <v>72537</v>
      </c>
      <c r="J936" s="26">
        <f ca="1">IFERROR(__xludf.DUMMYFUNCTION("ROUND(I936*GOOGLEFINANCE(""KZTEUR""))"),152)</f>
        <v>152</v>
      </c>
      <c r="K936" s="26">
        <f t="shared" ca="1" si="787"/>
        <v>7600</v>
      </c>
      <c r="L936" s="26">
        <f t="shared" ca="1" si="788"/>
        <v>1444</v>
      </c>
      <c r="M936" s="26">
        <f t="shared" ref="M936:N936" si="958">M$3</f>
        <v>500</v>
      </c>
      <c r="N936" s="26">
        <f t="shared" si="958"/>
        <v>500</v>
      </c>
      <c r="O936" s="26">
        <f ca="1">IFERROR(__xludf.DUMMYFUNCTION("ROUND(GOOGLEFINANCE(""Currency:EURKZT"")*K936)"),3629529)</f>
        <v>3629529</v>
      </c>
      <c r="P936" s="26">
        <f ca="1">IFERROR(__xludf.DUMMYFUNCTION("ROUND(GOOGLEFINANCE(""Currency:EURKZT"")*M936)"),238785)</f>
        <v>238785</v>
      </c>
      <c r="Q936" s="26">
        <f ca="1">IFERROR(__xludf.DUMMYFUNCTION("ROUND(GOOGLEFINANCE(""Currency:EURKZT"")*N936)"),238785)</f>
        <v>238785</v>
      </c>
      <c r="R936" s="26">
        <f t="shared" ca="1" si="790"/>
        <v>435543</v>
      </c>
      <c r="S936" s="26">
        <f t="shared" ca="1" si="791"/>
        <v>4542642</v>
      </c>
      <c r="T936" s="26">
        <f ca="1">IFERROR(__xludf.DUMMYFUNCTION("ROUND(GOOGLEFINANCE(""Currency:EURKZT"")*L936+S936)"),5232253)</f>
        <v>5232253</v>
      </c>
      <c r="U936" s="26">
        <f ca="1">IFERROR(__xludf.DUMMYFUNCTION("D936*GOOGLEFINANCE(""RUBKZT"")*1000/F936"),6594288.95085408)</f>
        <v>6594288.9508540798</v>
      </c>
      <c r="V936" s="27">
        <f t="shared" ca="1" si="792"/>
        <v>0.26031538437726154</v>
      </c>
    </row>
    <row r="937" spans="1:22" ht="12.75" customHeight="1" x14ac:dyDescent="0.2">
      <c r="A937" s="6" t="s">
        <v>451</v>
      </c>
      <c r="B937" s="6" t="s">
        <v>32</v>
      </c>
      <c r="C937" s="7">
        <v>213639</v>
      </c>
      <c r="D937" s="8">
        <v>12076.8</v>
      </c>
      <c r="E937" s="9" t="s">
        <v>16</v>
      </c>
      <c r="F937" s="23">
        <v>20</v>
      </c>
      <c r="G937" s="25"/>
      <c r="H937" s="14">
        <f t="shared" si="786"/>
        <v>0.55000000000000004</v>
      </c>
      <c r="I937" s="25">
        <f ca="1">IFERROR(__xludf.DUMMYFUNCTION("ROUND(D937*GOOGLEFINANCE(""RUBKZT"")*H937)"),51833)</f>
        <v>51833</v>
      </c>
      <c r="J937" s="26">
        <f ca="1">IFERROR(__xludf.DUMMYFUNCTION("ROUND(I937*GOOGLEFINANCE(""KZTEUR""))"),109)</f>
        <v>109</v>
      </c>
      <c r="K937" s="26">
        <f t="shared" ca="1" si="787"/>
        <v>5450</v>
      </c>
      <c r="L937" s="26">
        <f t="shared" ca="1" si="788"/>
        <v>1035.5</v>
      </c>
      <c r="M937" s="26">
        <f t="shared" ref="M937:N937" si="959">M$3</f>
        <v>500</v>
      </c>
      <c r="N937" s="26">
        <f t="shared" si="959"/>
        <v>500</v>
      </c>
      <c r="O937" s="26">
        <f ca="1">IFERROR(__xludf.DUMMYFUNCTION("ROUND(GOOGLEFINANCE(""Currency:EURKZT"")*K937)"),2602754)</f>
        <v>2602754</v>
      </c>
      <c r="P937" s="26">
        <f ca="1">IFERROR(__xludf.DUMMYFUNCTION("ROUND(GOOGLEFINANCE(""Currency:EURKZT"")*M937)"),238785)</f>
        <v>238785</v>
      </c>
      <c r="Q937" s="26">
        <f ca="1">IFERROR(__xludf.DUMMYFUNCTION("ROUND(GOOGLEFINANCE(""Currency:EURKZT"")*N937)"),238785)</f>
        <v>238785</v>
      </c>
      <c r="R937" s="26">
        <f t="shared" ca="1" si="790"/>
        <v>312330</v>
      </c>
      <c r="S937" s="26">
        <f t="shared" ca="1" si="791"/>
        <v>3392654</v>
      </c>
      <c r="T937" s="26">
        <f ca="1">IFERROR(__xludf.DUMMYFUNCTION("ROUND(GOOGLEFINANCE(""Currency:EURKZT"")*L937+S937)"),3887177)</f>
        <v>3887177</v>
      </c>
      <c r="U937" s="26">
        <f ca="1">IFERROR(__xludf.DUMMYFUNCTION("D937*GOOGLEFINANCE(""RUBKZT"")*1000/F937"),4712079.23895168)</f>
        <v>4712079.2389516803</v>
      </c>
      <c r="V937" s="27">
        <f t="shared" ca="1" si="792"/>
        <v>0.21221113392873034</v>
      </c>
    </row>
    <row r="938" spans="1:22" ht="12.75" customHeight="1" x14ac:dyDescent="0.2">
      <c r="A938" s="6" t="s">
        <v>450</v>
      </c>
      <c r="B938" s="6" t="s">
        <v>32</v>
      </c>
      <c r="C938" s="7">
        <v>213643</v>
      </c>
      <c r="D938" s="8">
        <v>8622</v>
      </c>
      <c r="E938" s="9" t="s">
        <v>16</v>
      </c>
      <c r="F938" s="23">
        <v>20</v>
      </c>
      <c r="G938" s="25"/>
      <c r="H938" s="14">
        <f t="shared" si="786"/>
        <v>0.55000000000000004</v>
      </c>
      <c r="I938" s="25">
        <f ca="1">IFERROR(__xludf.DUMMYFUNCTION("ROUND(D938*GOOGLEFINANCE(""RUBKZT"")*H938)"),37005)</f>
        <v>37005</v>
      </c>
      <c r="J938" s="26">
        <f ca="1">IFERROR(__xludf.DUMMYFUNCTION("ROUND(I938*GOOGLEFINANCE(""KZTEUR""))"),78)</f>
        <v>78</v>
      </c>
      <c r="K938" s="26">
        <f t="shared" ca="1" si="787"/>
        <v>3900</v>
      </c>
      <c r="L938" s="26">
        <f t="shared" ca="1" si="788"/>
        <v>741</v>
      </c>
      <c r="M938" s="26">
        <f t="shared" ref="M938:N938" si="960">M$3</f>
        <v>500</v>
      </c>
      <c r="N938" s="26">
        <f t="shared" si="960"/>
        <v>500</v>
      </c>
      <c r="O938" s="26">
        <f ca="1">IFERROR(__xludf.DUMMYFUNCTION("ROUND(GOOGLEFINANCE(""Currency:EURKZT"")*K938)"),1862521)</f>
        <v>1862521</v>
      </c>
      <c r="P938" s="26">
        <f ca="1">IFERROR(__xludf.DUMMYFUNCTION("ROUND(GOOGLEFINANCE(""Currency:EURKZT"")*M938)"),238785)</f>
        <v>238785</v>
      </c>
      <c r="Q938" s="26">
        <f ca="1">IFERROR(__xludf.DUMMYFUNCTION("ROUND(GOOGLEFINANCE(""Currency:EURKZT"")*N938)"),238785)</f>
        <v>238785</v>
      </c>
      <c r="R938" s="26">
        <f t="shared" ca="1" si="790"/>
        <v>223503</v>
      </c>
      <c r="S938" s="26">
        <f t="shared" ca="1" si="791"/>
        <v>2563594</v>
      </c>
      <c r="T938" s="26">
        <f ca="1">IFERROR(__xludf.DUMMYFUNCTION("ROUND(GOOGLEFINANCE(""Currency:EURKZT"")*L938+S938)"),2917473)</f>
        <v>2917473</v>
      </c>
      <c r="U938" s="26">
        <f ca="1">IFERROR(__xludf.DUMMYFUNCTION("D938*GOOGLEFINANCE(""RUBKZT"")*1000/F938"),3364098.7014972)</f>
        <v>3364098.7014971999</v>
      </c>
      <c r="V938" s="27">
        <f t="shared" ca="1" si="792"/>
        <v>0.1530864900882373</v>
      </c>
    </row>
    <row r="939" spans="1:22" ht="12.75" customHeight="1" x14ac:dyDescent="0.2">
      <c r="A939" s="6" t="s">
        <v>453</v>
      </c>
      <c r="B939" s="6" t="s">
        <v>32</v>
      </c>
      <c r="C939" s="7">
        <v>213645</v>
      </c>
      <c r="D939" s="8">
        <v>8460</v>
      </c>
      <c r="E939" s="9" t="s">
        <v>16</v>
      </c>
      <c r="F939" s="23">
        <v>20</v>
      </c>
      <c r="G939" s="25"/>
      <c r="H939" s="14">
        <f t="shared" si="786"/>
        <v>0.55000000000000004</v>
      </c>
      <c r="I939" s="25">
        <f ca="1">IFERROR(__xludf.DUMMYFUNCTION("ROUND(D939*GOOGLEFINANCE(""RUBKZT"")*H939)"),36310)</f>
        <v>36310</v>
      </c>
      <c r="J939" s="26">
        <f ca="1">IFERROR(__xludf.DUMMYFUNCTION("ROUND(I939*GOOGLEFINANCE(""KZTEUR""))"),76)</f>
        <v>76</v>
      </c>
      <c r="K939" s="26">
        <f t="shared" ca="1" si="787"/>
        <v>3800</v>
      </c>
      <c r="L939" s="26">
        <f t="shared" ca="1" si="788"/>
        <v>722</v>
      </c>
      <c r="M939" s="26">
        <f t="shared" ref="M939:N939" si="961">M$3</f>
        <v>500</v>
      </c>
      <c r="N939" s="26">
        <f t="shared" si="961"/>
        <v>500</v>
      </c>
      <c r="O939" s="26">
        <f ca="1">IFERROR(__xludf.DUMMYFUNCTION("ROUND(GOOGLEFINANCE(""Currency:EURKZT"")*K939)"),1814765)</f>
        <v>1814765</v>
      </c>
      <c r="P939" s="26">
        <f ca="1">IFERROR(__xludf.DUMMYFUNCTION("ROUND(GOOGLEFINANCE(""Currency:EURKZT"")*M939)"),238785)</f>
        <v>238785</v>
      </c>
      <c r="Q939" s="26">
        <f ca="1">IFERROR(__xludf.DUMMYFUNCTION("ROUND(GOOGLEFINANCE(""Currency:EURKZT"")*N939)"),238785)</f>
        <v>238785</v>
      </c>
      <c r="R939" s="26">
        <f t="shared" ca="1" si="790"/>
        <v>217772</v>
      </c>
      <c r="S939" s="26">
        <f t="shared" ca="1" si="791"/>
        <v>2510107</v>
      </c>
      <c r="T939" s="26">
        <f ca="1">IFERROR(__xludf.DUMMYFUNCTION("ROUND(GOOGLEFINANCE(""Currency:EURKZT"")*L939+S939)"),2854912)</f>
        <v>2854912</v>
      </c>
      <c r="U939" s="26">
        <f ca="1">IFERROR(__xludf.DUMMYFUNCTION("D939*GOOGLEFINANCE(""RUBKZT"")*1000/F939"),3300890.166396)</f>
        <v>3300890.166396</v>
      </c>
      <c r="V939" s="27">
        <f t="shared" ca="1" si="792"/>
        <v>0.15621433038776675</v>
      </c>
    </row>
    <row r="940" spans="1:22" ht="12.75" customHeight="1" x14ac:dyDescent="0.2">
      <c r="A940" s="6" t="s">
        <v>454</v>
      </c>
      <c r="B940" s="6" t="s">
        <v>32</v>
      </c>
      <c r="C940" s="7">
        <v>213651</v>
      </c>
      <c r="D940" s="8">
        <v>11804.4</v>
      </c>
      <c r="E940" s="9" t="s">
        <v>16</v>
      </c>
      <c r="F940" s="23">
        <v>20</v>
      </c>
      <c r="G940" s="25"/>
      <c r="H940" s="14">
        <f t="shared" si="786"/>
        <v>0.55000000000000004</v>
      </c>
      <c r="I940" s="25">
        <f ca="1">IFERROR(__xludf.DUMMYFUNCTION("ROUND(D940*GOOGLEFINANCE(""RUBKZT"")*H940)"),50664)</f>
        <v>50664</v>
      </c>
      <c r="J940" s="26">
        <f ca="1">IFERROR(__xludf.DUMMYFUNCTION("ROUND(I940*GOOGLEFINANCE(""KZTEUR""))"),106)</f>
        <v>106</v>
      </c>
      <c r="K940" s="26">
        <f t="shared" ca="1" si="787"/>
        <v>5300</v>
      </c>
      <c r="L940" s="26">
        <f t="shared" ca="1" si="788"/>
        <v>1007</v>
      </c>
      <c r="M940" s="26">
        <f t="shared" ref="M940:N940" si="962">M$3</f>
        <v>500</v>
      </c>
      <c r="N940" s="26">
        <f t="shared" si="962"/>
        <v>500</v>
      </c>
      <c r="O940" s="26">
        <f ca="1">IFERROR(__xludf.DUMMYFUNCTION("ROUND(GOOGLEFINANCE(""Currency:EURKZT"")*K940)"),2531119)</f>
        <v>2531119</v>
      </c>
      <c r="P940" s="26">
        <f ca="1">IFERROR(__xludf.DUMMYFUNCTION("ROUND(GOOGLEFINANCE(""Currency:EURKZT"")*M940)"),238785)</f>
        <v>238785</v>
      </c>
      <c r="Q940" s="26">
        <f ca="1">IFERROR(__xludf.DUMMYFUNCTION("ROUND(GOOGLEFINANCE(""Currency:EURKZT"")*N940)"),238785)</f>
        <v>238785</v>
      </c>
      <c r="R940" s="26">
        <f t="shared" ca="1" si="790"/>
        <v>303734</v>
      </c>
      <c r="S940" s="26">
        <f t="shared" ca="1" si="791"/>
        <v>3312423</v>
      </c>
      <c r="T940" s="26">
        <f ca="1">IFERROR(__xludf.DUMMYFUNCTION("ROUND(GOOGLEFINANCE(""Currency:EURKZT"")*L940+S940)"),3793336)</f>
        <v>3793336</v>
      </c>
      <c r="U940" s="26">
        <f ca="1">IFERROR(__xludf.DUMMYFUNCTION("D940*GOOGLEFINANCE(""RUBKZT"")*1000/F940"),4605795.25770744)</f>
        <v>4605795.2577074403</v>
      </c>
      <c r="V940" s="27">
        <f t="shared" ca="1" si="792"/>
        <v>0.21418067308233182</v>
      </c>
    </row>
    <row r="941" spans="1:22" ht="12.75" customHeight="1" x14ac:dyDescent="0.2">
      <c r="A941" s="6" t="s">
        <v>455</v>
      </c>
      <c r="B941" s="6" t="s">
        <v>32</v>
      </c>
      <c r="C941" s="7">
        <v>213658</v>
      </c>
      <c r="D941" s="8">
        <v>9440.4</v>
      </c>
      <c r="E941" s="9" t="s">
        <v>16</v>
      </c>
      <c r="F941" s="23">
        <v>20</v>
      </c>
      <c r="G941" s="25"/>
      <c r="H941" s="14">
        <f t="shared" si="786"/>
        <v>0.55000000000000004</v>
      </c>
      <c r="I941" s="25">
        <f ca="1">IFERROR(__xludf.DUMMYFUNCTION("ROUND(D941*GOOGLEFINANCE(""RUBKZT"")*H941)"),40518)</f>
        <v>40518</v>
      </c>
      <c r="J941" s="26">
        <f ca="1">IFERROR(__xludf.DUMMYFUNCTION("ROUND(I941*GOOGLEFINANCE(""KZTEUR""))"),85)</f>
        <v>85</v>
      </c>
      <c r="K941" s="26">
        <f t="shared" ca="1" si="787"/>
        <v>4250</v>
      </c>
      <c r="L941" s="26">
        <f t="shared" ca="1" si="788"/>
        <v>807.5</v>
      </c>
      <c r="M941" s="26">
        <f t="shared" ref="M941:N941" si="963">M$3</f>
        <v>500</v>
      </c>
      <c r="N941" s="26">
        <f t="shared" si="963"/>
        <v>500</v>
      </c>
      <c r="O941" s="26">
        <f ca="1">IFERROR(__xludf.DUMMYFUNCTION("ROUND(GOOGLEFINANCE(""Currency:EURKZT"")*K941)"),2029671)</f>
        <v>2029671</v>
      </c>
      <c r="P941" s="26">
        <f ca="1">IFERROR(__xludf.DUMMYFUNCTION("ROUND(GOOGLEFINANCE(""Currency:EURKZT"")*M941)"),238785)</f>
        <v>238785</v>
      </c>
      <c r="Q941" s="26">
        <f ca="1">IFERROR(__xludf.DUMMYFUNCTION("ROUND(GOOGLEFINANCE(""Currency:EURKZT"")*N941)"),238785)</f>
        <v>238785</v>
      </c>
      <c r="R941" s="26">
        <f t="shared" ca="1" si="790"/>
        <v>243561</v>
      </c>
      <c r="S941" s="26">
        <f t="shared" ca="1" si="791"/>
        <v>2750802</v>
      </c>
      <c r="T941" s="26">
        <f ca="1">IFERROR(__xludf.DUMMYFUNCTION("ROUND(GOOGLEFINANCE(""Currency:EURKZT"")*L941+S941)"),3136439)</f>
        <v>3136439</v>
      </c>
      <c r="U941" s="26">
        <f ca="1">IFERROR(__xludf.DUMMYFUNCTION("D941*GOOGLEFINANCE(""RUBKZT"")*1000/F941"),3683418.85660104)</f>
        <v>3683418.8566010399</v>
      </c>
      <c r="V941" s="27">
        <f t="shared" ca="1" si="792"/>
        <v>0.17439518402909793</v>
      </c>
    </row>
    <row r="942" spans="1:22" ht="12.75" customHeight="1" x14ac:dyDescent="0.2">
      <c r="A942" s="6" t="s">
        <v>481</v>
      </c>
      <c r="B942" s="6" t="s">
        <v>32</v>
      </c>
      <c r="C942" s="7">
        <v>213720</v>
      </c>
      <c r="D942" s="8">
        <v>13182</v>
      </c>
      <c r="E942" s="9" t="s">
        <v>16</v>
      </c>
      <c r="F942" s="23">
        <v>20</v>
      </c>
      <c r="G942" s="25"/>
      <c r="H942" s="14">
        <f t="shared" si="786"/>
        <v>0.55000000000000004</v>
      </c>
      <c r="I942" s="25">
        <f ca="1">IFERROR(__xludf.DUMMYFUNCTION("ROUND(D942*GOOGLEFINANCE(""RUBKZT"")*H942)"),56576)</f>
        <v>56576</v>
      </c>
      <c r="J942" s="26">
        <f ca="1">IFERROR(__xludf.DUMMYFUNCTION("ROUND(I942*GOOGLEFINANCE(""KZTEUR""))"),118)</f>
        <v>118</v>
      </c>
      <c r="K942" s="26">
        <f t="shared" ca="1" si="787"/>
        <v>5900</v>
      </c>
      <c r="L942" s="26">
        <f t="shared" ca="1" si="788"/>
        <v>1121</v>
      </c>
      <c r="M942" s="26">
        <f t="shared" ref="M942:N942" si="964">M$3</f>
        <v>500</v>
      </c>
      <c r="N942" s="26">
        <f t="shared" si="964"/>
        <v>500</v>
      </c>
      <c r="O942" s="26">
        <f ca="1">IFERROR(__xludf.DUMMYFUNCTION("ROUND(GOOGLEFINANCE(""Currency:EURKZT"")*K942)"),2817661)</f>
        <v>2817661</v>
      </c>
      <c r="P942" s="26">
        <f ca="1">IFERROR(__xludf.DUMMYFUNCTION("ROUND(GOOGLEFINANCE(""Currency:EURKZT"")*M942)"),238785)</f>
        <v>238785</v>
      </c>
      <c r="Q942" s="26">
        <f ca="1">IFERROR(__xludf.DUMMYFUNCTION("ROUND(GOOGLEFINANCE(""Currency:EURKZT"")*N942)"),238785)</f>
        <v>238785</v>
      </c>
      <c r="R942" s="26">
        <f t="shared" ca="1" si="790"/>
        <v>338119</v>
      </c>
      <c r="S942" s="26">
        <f t="shared" ca="1" si="791"/>
        <v>3633350</v>
      </c>
      <c r="T942" s="26">
        <f ca="1">IFERROR(__xludf.DUMMYFUNCTION("ROUND(GOOGLEFINANCE(""Currency:EURKZT"")*L942+S942)"),4168706)</f>
        <v>4168706</v>
      </c>
      <c r="U942" s="26">
        <f ca="1">IFERROR(__xludf.DUMMYFUNCTION("D942*GOOGLEFINANCE(""RUBKZT"")*1000/F942"),5143301.9117532)</f>
        <v>5143301.9117532</v>
      </c>
      <c r="V942" s="27">
        <f t="shared" ca="1" si="792"/>
        <v>0.23378859333164775</v>
      </c>
    </row>
    <row r="943" spans="1:22" ht="12.75" customHeight="1" x14ac:dyDescent="0.2">
      <c r="A943" s="6" t="s">
        <v>592</v>
      </c>
      <c r="B943" s="6" t="s">
        <v>32</v>
      </c>
      <c r="C943" s="7">
        <v>214071</v>
      </c>
      <c r="D943" s="8">
        <v>11820</v>
      </c>
      <c r="E943" s="9" t="s">
        <v>16</v>
      </c>
      <c r="F943" s="23">
        <v>20</v>
      </c>
      <c r="G943" s="25"/>
      <c r="H943" s="14">
        <f t="shared" si="786"/>
        <v>0.55000000000000004</v>
      </c>
      <c r="I943" s="25">
        <f ca="1">IFERROR(__xludf.DUMMYFUNCTION("ROUND(D943*GOOGLEFINANCE(""RUBKZT"")*H943)"),50731)</f>
        <v>50731</v>
      </c>
      <c r="J943" s="26">
        <f ca="1">IFERROR(__xludf.DUMMYFUNCTION("ROUND(I943*GOOGLEFINANCE(""KZTEUR""))"),106)</f>
        <v>106</v>
      </c>
      <c r="K943" s="26">
        <f t="shared" ca="1" si="787"/>
        <v>5300</v>
      </c>
      <c r="L943" s="26">
        <f t="shared" ca="1" si="788"/>
        <v>1007</v>
      </c>
      <c r="M943" s="26">
        <f t="shared" ref="M943:N943" si="965">M$3</f>
        <v>500</v>
      </c>
      <c r="N943" s="26">
        <f t="shared" si="965"/>
        <v>500</v>
      </c>
      <c r="O943" s="26">
        <f ca="1">IFERROR(__xludf.DUMMYFUNCTION("ROUND(GOOGLEFINANCE(""Currency:EURKZT"")*K943)"),2531119)</f>
        <v>2531119</v>
      </c>
      <c r="P943" s="26">
        <f ca="1">IFERROR(__xludf.DUMMYFUNCTION("ROUND(GOOGLEFINANCE(""Currency:EURKZT"")*M943)"),238785)</f>
        <v>238785</v>
      </c>
      <c r="Q943" s="26">
        <f ca="1">IFERROR(__xludf.DUMMYFUNCTION("ROUND(GOOGLEFINANCE(""Currency:EURKZT"")*N943)"),238785)</f>
        <v>238785</v>
      </c>
      <c r="R943" s="26">
        <f t="shared" ca="1" si="790"/>
        <v>303734</v>
      </c>
      <c r="S943" s="26">
        <f t="shared" ca="1" si="791"/>
        <v>3312423</v>
      </c>
      <c r="T943" s="26">
        <f ca="1">IFERROR(__xludf.DUMMYFUNCTION("ROUND(GOOGLEFINANCE(""Currency:EURKZT"")*L943+S943)"),3793336)</f>
        <v>3793336</v>
      </c>
      <c r="U943" s="26">
        <f ca="1">IFERROR(__xludf.DUMMYFUNCTION("D943*GOOGLEFINANCE(""RUBKZT"")*1000/F943"),4611882.005532)</f>
        <v>4611882.0055320002</v>
      </c>
      <c r="V943" s="27">
        <f t="shared" ca="1" si="792"/>
        <v>0.21578526276923538</v>
      </c>
    </row>
    <row r="944" spans="1:22" ht="12.75" customHeight="1" x14ac:dyDescent="0.2">
      <c r="A944" s="6" t="s">
        <v>594</v>
      </c>
      <c r="B944" s="6" t="s">
        <v>32</v>
      </c>
      <c r="C944" s="7">
        <v>214076</v>
      </c>
      <c r="D944" s="8">
        <v>14599.199999999999</v>
      </c>
      <c r="E944" s="9" t="s">
        <v>16</v>
      </c>
      <c r="F944" s="23">
        <v>20</v>
      </c>
      <c r="G944" s="25"/>
      <c r="H944" s="14">
        <f t="shared" si="786"/>
        <v>0.55000000000000004</v>
      </c>
      <c r="I944" s="25">
        <f ca="1">IFERROR(__xludf.DUMMYFUNCTION("ROUND(D944*GOOGLEFINANCE(""RUBKZT"")*H944)"),62659)</f>
        <v>62659</v>
      </c>
      <c r="J944" s="26">
        <f ca="1">IFERROR(__xludf.DUMMYFUNCTION("ROUND(I944*GOOGLEFINANCE(""KZTEUR""))"),131)</f>
        <v>131</v>
      </c>
      <c r="K944" s="26">
        <f t="shared" ca="1" si="787"/>
        <v>6550</v>
      </c>
      <c r="L944" s="26">
        <f t="shared" ca="1" si="788"/>
        <v>1244.5</v>
      </c>
      <c r="M944" s="26">
        <f t="shared" ref="M944:N944" si="966">M$3</f>
        <v>500</v>
      </c>
      <c r="N944" s="26">
        <f t="shared" si="966"/>
        <v>500</v>
      </c>
      <c r="O944" s="26">
        <f ca="1">IFERROR(__xludf.DUMMYFUNCTION("ROUND(GOOGLEFINANCE(""Currency:EURKZT"")*K944)"),3128081)</f>
        <v>3128081</v>
      </c>
      <c r="P944" s="26">
        <f ca="1">IFERROR(__xludf.DUMMYFUNCTION("ROUND(GOOGLEFINANCE(""Currency:EURKZT"")*M944)"),238785)</f>
        <v>238785</v>
      </c>
      <c r="Q944" s="26">
        <f ca="1">IFERROR(__xludf.DUMMYFUNCTION("ROUND(GOOGLEFINANCE(""Currency:EURKZT"")*N944)"),238785)</f>
        <v>238785</v>
      </c>
      <c r="R944" s="26">
        <f t="shared" ca="1" si="790"/>
        <v>375370</v>
      </c>
      <c r="S944" s="26">
        <f t="shared" ca="1" si="791"/>
        <v>3981021</v>
      </c>
      <c r="T944" s="26">
        <f ca="1">IFERROR(__xludf.DUMMYFUNCTION("ROUND(GOOGLEFINANCE(""Currency:EURKZT"")*L944+S944)"),4575356)</f>
        <v>4575356</v>
      </c>
      <c r="U944" s="26">
        <f ca="1">IFERROR(__xludf.DUMMYFUNCTION("D944*GOOGLEFINANCE(""RUBKZT"")*1000/F944"),5696259.54104592)</f>
        <v>5696259.54104592</v>
      </c>
      <c r="V944" s="27">
        <f t="shared" ca="1" si="792"/>
        <v>0.24498717499707565</v>
      </c>
    </row>
    <row r="945" spans="1:22" ht="12.75" customHeight="1" x14ac:dyDescent="0.2">
      <c r="A945" s="6" t="s">
        <v>595</v>
      </c>
      <c r="B945" s="6" t="s">
        <v>32</v>
      </c>
      <c r="C945" s="7">
        <v>214078</v>
      </c>
      <c r="D945" s="8">
        <v>12078</v>
      </c>
      <c r="E945" s="9" t="s">
        <v>16</v>
      </c>
      <c r="F945" s="23">
        <v>20</v>
      </c>
      <c r="G945" s="25"/>
      <c r="H945" s="14">
        <f t="shared" si="786"/>
        <v>0.55000000000000004</v>
      </c>
      <c r="I945" s="25">
        <f ca="1">IFERROR(__xludf.DUMMYFUNCTION("ROUND(D945*GOOGLEFINANCE(""RUBKZT"")*H945)"),51838)</f>
        <v>51838</v>
      </c>
      <c r="J945" s="26">
        <f ca="1">IFERROR(__xludf.DUMMYFUNCTION("ROUND(I945*GOOGLEFINANCE(""KZTEUR""))"),109)</f>
        <v>109</v>
      </c>
      <c r="K945" s="26">
        <f t="shared" ca="1" si="787"/>
        <v>5450</v>
      </c>
      <c r="L945" s="26">
        <f t="shared" ca="1" si="788"/>
        <v>1035.5</v>
      </c>
      <c r="M945" s="26">
        <f t="shared" ref="M945:N945" si="967">M$3</f>
        <v>500</v>
      </c>
      <c r="N945" s="26">
        <f t="shared" si="967"/>
        <v>500</v>
      </c>
      <c r="O945" s="26">
        <f ca="1">IFERROR(__xludf.DUMMYFUNCTION("ROUND(GOOGLEFINANCE(""Currency:EURKZT"")*K945)"),2602754)</f>
        <v>2602754</v>
      </c>
      <c r="P945" s="26">
        <f ca="1">IFERROR(__xludf.DUMMYFUNCTION("ROUND(GOOGLEFINANCE(""Currency:EURKZT"")*M945)"),238785)</f>
        <v>238785</v>
      </c>
      <c r="Q945" s="26">
        <f ca="1">IFERROR(__xludf.DUMMYFUNCTION("ROUND(GOOGLEFINANCE(""Currency:EURKZT"")*N945)"),238785)</f>
        <v>238785</v>
      </c>
      <c r="R945" s="26">
        <f t="shared" ca="1" si="790"/>
        <v>312330</v>
      </c>
      <c r="S945" s="26">
        <f t="shared" ca="1" si="791"/>
        <v>3392654</v>
      </c>
      <c r="T945" s="26">
        <f ca="1">IFERROR(__xludf.DUMMYFUNCTION("ROUND(GOOGLEFINANCE(""Currency:EURKZT"")*L945+S945)"),3887177)</f>
        <v>3887177</v>
      </c>
      <c r="U945" s="26">
        <f ca="1">IFERROR(__xludf.DUMMYFUNCTION("D945*GOOGLEFINANCE(""RUBKZT"")*1000/F945"),4712547.4503228)</f>
        <v>4712547.4503228003</v>
      </c>
      <c r="V945" s="27">
        <f t="shared" ca="1" si="792"/>
        <v>0.21233158416063902</v>
      </c>
    </row>
    <row r="946" spans="1:22" ht="12.75" customHeight="1" x14ac:dyDescent="0.2">
      <c r="A946" s="6" t="s">
        <v>597</v>
      </c>
      <c r="B946" s="6" t="s">
        <v>32</v>
      </c>
      <c r="C946" s="7">
        <v>214084</v>
      </c>
      <c r="D946" s="8">
        <v>13201.199999999999</v>
      </c>
      <c r="E946" s="9" t="s">
        <v>16</v>
      </c>
      <c r="F946" s="23">
        <v>20</v>
      </c>
      <c r="G946" s="25"/>
      <c r="H946" s="14">
        <f t="shared" si="786"/>
        <v>0.55000000000000004</v>
      </c>
      <c r="I946" s="25">
        <f ca="1">IFERROR(__xludf.DUMMYFUNCTION("ROUND(D946*GOOGLEFINANCE(""RUBKZT"")*H946)"),56659)</f>
        <v>56659</v>
      </c>
      <c r="J946" s="26">
        <f ca="1">IFERROR(__xludf.DUMMYFUNCTION("ROUND(I946*GOOGLEFINANCE(""KZTEUR""))"),119)</f>
        <v>119</v>
      </c>
      <c r="K946" s="26">
        <f t="shared" ca="1" si="787"/>
        <v>5950</v>
      </c>
      <c r="L946" s="26">
        <f t="shared" ca="1" si="788"/>
        <v>1130.5</v>
      </c>
      <c r="M946" s="26">
        <f t="shared" ref="M946:N946" si="968">M$3</f>
        <v>500</v>
      </c>
      <c r="N946" s="26">
        <f t="shared" si="968"/>
        <v>500</v>
      </c>
      <c r="O946" s="26">
        <f ca="1">IFERROR(__xludf.DUMMYFUNCTION("ROUND(GOOGLEFINANCE(""Currency:EURKZT"")*K946)"),2841539)</f>
        <v>2841539</v>
      </c>
      <c r="P946" s="26">
        <f ca="1">IFERROR(__xludf.DUMMYFUNCTION("ROUND(GOOGLEFINANCE(""Currency:EURKZT"")*M946)"),238785)</f>
        <v>238785</v>
      </c>
      <c r="Q946" s="26">
        <f ca="1">IFERROR(__xludf.DUMMYFUNCTION("ROUND(GOOGLEFINANCE(""Currency:EURKZT"")*N946)"),238785)</f>
        <v>238785</v>
      </c>
      <c r="R946" s="26">
        <f t="shared" ca="1" si="790"/>
        <v>340985</v>
      </c>
      <c r="S946" s="26">
        <f t="shared" ca="1" si="791"/>
        <v>3660094</v>
      </c>
      <c r="T946" s="26">
        <f ca="1">IFERROR(__xludf.DUMMYFUNCTION("ROUND(GOOGLEFINANCE(""Currency:EURKZT"")*L946+S946)"),4199986)</f>
        <v>4199986</v>
      </c>
      <c r="U946" s="26">
        <f ca="1">IFERROR(__xludf.DUMMYFUNCTION("D946*GOOGLEFINANCE(""RUBKZT"")*1000/F946"),5150793.29369112)</f>
        <v>5150793.2936911201</v>
      </c>
      <c r="V946" s="27">
        <f t="shared" ca="1" si="792"/>
        <v>0.22638344358555484</v>
      </c>
    </row>
    <row r="947" spans="1:22" ht="12.75" customHeight="1" x14ac:dyDescent="0.2">
      <c r="A947" s="6" t="s">
        <v>598</v>
      </c>
      <c r="B947" s="6" t="s">
        <v>32</v>
      </c>
      <c r="C947" s="7">
        <v>214088</v>
      </c>
      <c r="D947" s="8">
        <v>9439.1999999999989</v>
      </c>
      <c r="E947" s="9" t="s">
        <v>16</v>
      </c>
      <c r="F947" s="23">
        <v>20</v>
      </c>
      <c r="G947" s="25"/>
      <c r="H947" s="14">
        <f t="shared" si="786"/>
        <v>0.55000000000000004</v>
      </c>
      <c r="I947" s="25">
        <f ca="1">IFERROR(__xludf.DUMMYFUNCTION("ROUND(D947*GOOGLEFINANCE(""RUBKZT"")*H947)"),40512)</f>
        <v>40512</v>
      </c>
      <c r="J947" s="26">
        <f ca="1">IFERROR(__xludf.DUMMYFUNCTION("ROUND(I947*GOOGLEFINANCE(""KZTEUR""))"),85)</f>
        <v>85</v>
      </c>
      <c r="K947" s="26">
        <f t="shared" ca="1" si="787"/>
        <v>4250</v>
      </c>
      <c r="L947" s="26">
        <f t="shared" ca="1" si="788"/>
        <v>807.5</v>
      </c>
      <c r="M947" s="26">
        <f t="shared" ref="M947:N947" si="969">M$3</f>
        <v>500</v>
      </c>
      <c r="N947" s="26">
        <f t="shared" si="969"/>
        <v>500</v>
      </c>
      <c r="O947" s="26">
        <f ca="1">IFERROR(__xludf.DUMMYFUNCTION("ROUND(GOOGLEFINANCE(""Currency:EURKZT"")*K947)"),2029671)</f>
        <v>2029671</v>
      </c>
      <c r="P947" s="26">
        <f ca="1">IFERROR(__xludf.DUMMYFUNCTION("ROUND(GOOGLEFINANCE(""Currency:EURKZT"")*M947)"),238785)</f>
        <v>238785</v>
      </c>
      <c r="Q947" s="26">
        <f ca="1">IFERROR(__xludf.DUMMYFUNCTION("ROUND(GOOGLEFINANCE(""Currency:EURKZT"")*N947)"),238785)</f>
        <v>238785</v>
      </c>
      <c r="R947" s="26">
        <f t="shared" ca="1" si="790"/>
        <v>243561</v>
      </c>
      <c r="S947" s="26">
        <f t="shared" ca="1" si="791"/>
        <v>2750802</v>
      </c>
      <c r="T947" s="26">
        <f ca="1">IFERROR(__xludf.DUMMYFUNCTION("ROUND(GOOGLEFINANCE(""Currency:EURKZT"")*L947+S947)"),3136439)</f>
        <v>3136439</v>
      </c>
      <c r="U947" s="26">
        <f ca="1">IFERROR(__xludf.DUMMYFUNCTION("D947*GOOGLEFINANCE(""RUBKZT"")*1000/F947"),3682950.64522991)</f>
        <v>3682950.64522991</v>
      </c>
      <c r="V947" s="27">
        <f t="shared" ca="1" si="792"/>
        <v>0.17424590283117575</v>
      </c>
    </row>
    <row r="948" spans="1:22" ht="12.75" customHeight="1" x14ac:dyDescent="0.2">
      <c r="A948" s="6" t="s">
        <v>599</v>
      </c>
      <c r="B948" s="6" t="s">
        <v>32</v>
      </c>
      <c r="C948" s="7">
        <v>214093</v>
      </c>
      <c r="D948" s="8">
        <v>11216.4</v>
      </c>
      <c r="E948" s="9" t="s">
        <v>16</v>
      </c>
      <c r="F948" s="23">
        <v>20</v>
      </c>
      <c r="G948" s="25"/>
      <c r="H948" s="14">
        <f t="shared" si="786"/>
        <v>0.55000000000000004</v>
      </c>
      <c r="I948" s="25">
        <f ca="1">IFERROR(__xludf.DUMMYFUNCTION("ROUND(D948*GOOGLEFINANCE(""RUBKZT"")*H948)"),48140)</f>
        <v>48140</v>
      </c>
      <c r="J948" s="26">
        <f ca="1">IFERROR(__xludf.DUMMYFUNCTION("ROUND(I948*GOOGLEFINANCE(""KZTEUR""))"),101)</f>
        <v>101</v>
      </c>
      <c r="K948" s="26">
        <f t="shared" ca="1" si="787"/>
        <v>5050</v>
      </c>
      <c r="L948" s="26">
        <f t="shared" ca="1" si="788"/>
        <v>959.5</v>
      </c>
      <c r="M948" s="26">
        <f t="shared" ref="M948:N948" si="970">M$3</f>
        <v>500</v>
      </c>
      <c r="N948" s="26">
        <f t="shared" si="970"/>
        <v>500</v>
      </c>
      <c r="O948" s="26">
        <f ca="1">IFERROR(__xludf.DUMMYFUNCTION("ROUND(GOOGLEFINANCE(""Currency:EURKZT"")*K948)"),2411727)</f>
        <v>2411727</v>
      </c>
      <c r="P948" s="26">
        <f ca="1">IFERROR(__xludf.DUMMYFUNCTION("ROUND(GOOGLEFINANCE(""Currency:EURKZT"")*M948)"),238785)</f>
        <v>238785</v>
      </c>
      <c r="Q948" s="26">
        <f ca="1">IFERROR(__xludf.DUMMYFUNCTION("ROUND(GOOGLEFINANCE(""Currency:EURKZT"")*N948)"),238785)</f>
        <v>238785</v>
      </c>
      <c r="R948" s="26">
        <f t="shared" ca="1" si="790"/>
        <v>289407</v>
      </c>
      <c r="S948" s="26">
        <f t="shared" ca="1" si="791"/>
        <v>3178704</v>
      </c>
      <c r="T948" s="26">
        <f ca="1">IFERROR(__xludf.DUMMYFUNCTION("ROUND(GOOGLEFINANCE(""Currency:EURKZT"")*L948+S948)"),3636932)</f>
        <v>3636932</v>
      </c>
      <c r="U948" s="26">
        <f ca="1">IFERROR(__xludf.DUMMYFUNCTION("D948*GOOGLEFINANCE(""RUBKZT"")*1000/F948"),4376371.68585864)</f>
        <v>4376371.6858586399</v>
      </c>
      <c r="V948" s="27">
        <f t="shared" ca="1" si="792"/>
        <v>0.20331413561172987</v>
      </c>
    </row>
    <row r="949" spans="1:22" ht="12.75" customHeight="1" x14ac:dyDescent="0.2">
      <c r="A949" s="6" t="s">
        <v>600</v>
      </c>
      <c r="B949" s="6" t="s">
        <v>32</v>
      </c>
      <c r="C949" s="7">
        <v>214096</v>
      </c>
      <c r="D949" s="8">
        <v>9692.4</v>
      </c>
      <c r="E949" s="9" t="s">
        <v>16</v>
      </c>
      <c r="F949" s="23">
        <v>20</v>
      </c>
      <c r="G949" s="25"/>
      <c r="H949" s="14">
        <f t="shared" si="786"/>
        <v>0.55000000000000004</v>
      </c>
      <c r="I949" s="25">
        <f ca="1">IFERROR(__xludf.DUMMYFUNCTION("ROUND(D949*GOOGLEFINANCE(""RUBKZT"")*H949)"),41599)</f>
        <v>41599</v>
      </c>
      <c r="J949" s="26">
        <f ca="1">IFERROR(__xludf.DUMMYFUNCTION("ROUND(I949*GOOGLEFINANCE(""KZTEUR""))"),87)</f>
        <v>87</v>
      </c>
      <c r="K949" s="26">
        <f t="shared" ca="1" si="787"/>
        <v>4350</v>
      </c>
      <c r="L949" s="26">
        <f t="shared" ca="1" si="788"/>
        <v>826.5</v>
      </c>
      <c r="M949" s="26">
        <f t="shared" ref="M949:N949" si="971">M$3</f>
        <v>500</v>
      </c>
      <c r="N949" s="26">
        <f t="shared" si="971"/>
        <v>500</v>
      </c>
      <c r="O949" s="26">
        <f ca="1">IFERROR(__xludf.DUMMYFUNCTION("ROUND(GOOGLEFINANCE(""Currency:EURKZT"")*K949)"),2077428)</f>
        <v>2077428</v>
      </c>
      <c r="P949" s="26">
        <f ca="1">IFERROR(__xludf.DUMMYFUNCTION("ROUND(GOOGLEFINANCE(""Currency:EURKZT"")*M949)"),238785)</f>
        <v>238785</v>
      </c>
      <c r="Q949" s="26">
        <f ca="1">IFERROR(__xludf.DUMMYFUNCTION("ROUND(GOOGLEFINANCE(""Currency:EURKZT"")*N949)"),238785)</f>
        <v>238785</v>
      </c>
      <c r="R949" s="26">
        <f t="shared" ca="1" si="790"/>
        <v>249291</v>
      </c>
      <c r="S949" s="26">
        <f t="shared" ca="1" si="791"/>
        <v>2804289</v>
      </c>
      <c r="T949" s="26">
        <f ca="1">IFERROR(__xludf.DUMMYFUNCTION("ROUND(GOOGLEFINANCE(""Currency:EURKZT"")*L949+S949)"),3199000)</f>
        <v>3199000</v>
      </c>
      <c r="U949" s="26">
        <f ca="1">IFERROR(__xludf.DUMMYFUNCTION("D949*GOOGLEFINANCE(""RUBKZT"")*1000/F949"),3781743.24453623)</f>
        <v>3781743.2445362299</v>
      </c>
      <c r="V949" s="27">
        <f t="shared" ca="1" si="792"/>
        <v>0.18216419022701777</v>
      </c>
    </row>
    <row r="950" spans="1:22" ht="12.75" customHeight="1" x14ac:dyDescent="0.2">
      <c r="A950" s="6" t="s">
        <v>596</v>
      </c>
      <c r="B950" s="6" t="s">
        <v>32</v>
      </c>
      <c r="C950" s="7">
        <v>214099</v>
      </c>
      <c r="D950" s="8">
        <v>11492.4</v>
      </c>
      <c r="E950" s="9" t="s">
        <v>16</v>
      </c>
      <c r="F950" s="23">
        <v>20</v>
      </c>
      <c r="G950" s="25"/>
      <c r="H950" s="14">
        <f t="shared" si="786"/>
        <v>0.55000000000000004</v>
      </c>
      <c r="I950" s="25">
        <f ca="1">IFERROR(__xludf.DUMMYFUNCTION("ROUND(D950*GOOGLEFINANCE(""RUBKZT"")*H950)"),49325)</f>
        <v>49325</v>
      </c>
      <c r="J950" s="26">
        <f ca="1">IFERROR(__xludf.DUMMYFUNCTION("ROUND(I950*GOOGLEFINANCE(""KZTEUR""))"),103)</f>
        <v>103</v>
      </c>
      <c r="K950" s="26">
        <f t="shared" ca="1" si="787"/>
        <v>5150</v>
      </c>
      <c r="L950" s="26">
        <f t="shared" ca="1" si="788"/>
        <v>978.5</v>
      </c>
      <c r="M950" s="26">
        <f t="shared" ref="M950:N950" si="972">M$3</f>
        <v>500</v>
      </c>
      <c r="N950" s="26">
        <f t="shared" si="972"/>
        <v>500</v>
      </c>
      <c r="O950" s="26">
        <f ca="1">IFERROR(__xludf.DUMMYFUNCTION("ROUND(GOOGLEFINANCE(""Currency:EURKZT"")*K950)"),2459484)</f>
        <v>2459484</v>
      </c>
      <c r="P950" s="26">
        <f ca="1">IFERROR(__xludf.DUMMYFUNCTION("ROUND(GOOGLEFINANCE(""Currency:EURKZT"")*M950)"),238785)</f>
        <v>238785</v>
      </c>
      <c r="Q950" s="26">
        <f ca="1">IFERROR(__xludf.DUMMYFUNCTION("ROUND(GOOGLEFINANCE(""Currency:EURKZT"")*N950)"),238785)</f>
        <v>238785</v>
      </c>
      <c r="R950" s="26">
        <f t="shared" ca="1" si="790"/>
        <v>295138</v>
      </c>
      <c r="S950" s="26">
        <f t="shared" ca="1" si="791"/>
        <v>3232192</v>
      </c>
      <c r="T950" s="26">
        <f ca="1">IFERROR(__xludf.DUMMYFUNCTION("ROUND(GOOGLEFINANCE(""Currency:EURKZT"")*L950+S950)"),3699494)</f>
        <v>3699494</v>
      </c>
      <c r="U950" s="26">
        <f ca="1">IFERROR(__xludf.DUMMYFUNCTION("D950*GOOGLEFINANCE(""RUBKZT"")*1000/F950"),4484060.30121624)</f>
        <v>4484060.30121624</v>
      </c>
      <c r="V950" s="27">
        <f t="shared" ca="1" si="792"/>
        <v>0.2120739488200927</v>
      </c>
    </row>
    <row r="951" spans="1:22" ht="12.75" customHeight="1" x14ac:dyDescent="0.2">
      <c r="A951" s="6" t="s">
        <v>608</v>
      </c>
      <c r="B951" s="6" t="s">
        <v>32</v>
      </c>
      <c r="C951" s="7">
        <v>214138</v>
      </c>
      <c r="D951" s="8">
        <v>12232.8</v>
      </c>
      <c r="E951" s="9" t="s">
        <v>16</v>
      </c>
      <c r="F951" s="23">
        <v>20</v>
      </c>
      <c r="G951" s="25"/>
      <c r="H951" s="14">
        <f t="shared" si="786"/>
        <v>0.55000000000000004</v>
      </c>
      <c r="I951" s="25">
        <f ca="1">IFERROR(__xludf.DUMMYFUNCTION("ROUND(D951*GOOGLEFINANCE(""RUBKZT"")*H951)"),52502)</f>
        <v>52502</v>
      </c>
      <c r="J951" s="26">
        <f ca="1">IFERROR(__xludf.DUMMYFUNCTION("ROUND(I951*GOOGLEFINANCE(""KZTEUR""))"),110)</f>
        <v>110</v>
      </c>
      <c r="K951" s="26">
        <f t="shared" ca="1" si="787"/>
        <v>5500</v>
      </c>
      <c r="L951" s="26">
        <f t="shared" ca="1" si="788"/>
        <v>1045</v>
      </c>
      <c r="M951" s="26">
        <f t="shared" ref="M951:N951" si="973">M$3</f>
        <v>500</v>
      </c>
      <c r="N951" s="26">
        <f t="shared" si="973"/>
        <v>500</v>
      </c>
      <c r="O951" s="26">
        <f ca="1">IFERROR(__xludf.DUMMYFUNCTION("ROUND(GOOGLEFINANCE(""Currency:EURKZT"")*K951)"),2626633)</f>
        <v>2626633</v>
      </c>
      <c r="P951" s="26">
        <f ca="1">IFERROR(__xludf.DUMMYFUNCTION("ROUND(GOOGLEFINANCE(""Currency:EURKZT"")*M951)"),238785)</f>
        <v>238785</v>
      </c>
      <c r="Q951" s="26">
        <f ca="1">IFERROR(__xludf.DUMMYFUNCTION("ROUND(GOOGLEFINANCE(""Currency:EURKZT"")*N951)"),238785)</f>
        <v>238785</v>
      </c>
      <c r="R951" s="26">
        <f t="shared" ca="1" si="790"/>
        <v>315196</v>
      </c>
      <c r="S951" s="26">
        <f t="shared" ca="1" si="791"/>
        <v>3419399</v>
      </c>
      <c r="T951" s="26">
        <f ca="1">IFERROR(__xludf.DUMMYFUNCTION("ROUND(GOOGLEFINANCE(""Currency:EURKZT"")*L951+S951)"),3918459)</f>
        <v>3918459</v>
      </c>
      <c r="U951" s="26">
        <f ca="1">IFERROR(__xludf.DUMMYFUNCTION("D951*GOOGLEFINANCE(""RUBKZT"")*1000/F951"),4772946.71719727)</f>
        <v>4772946.7171972701</v>
      </c>
      <c r="V951" s="27">
        <f t="shared" ca="1" si="792"/>
        <v>0.21806728542962173</v>
      </c>
    </row>
    <row r="952" spans="1:22" ht="12.75" customHeight="1" x14ac:dyDescent="0.2">
      <c r="A952" s="6" t="s">
        <v>610</v>
      </c>
      <c r="B952" s="6" t="s">
        <v>32</v>
      </c>
      <c r="C952" s="7">
        <v>214146</v>
      </c>
      <c r="D952" s="8">
        <v>23085.599999999999</v>
      </c>
      <c r="E952" s="9" t="s">
        <v>16</v>
      </c>
      <c r="F952" s="23">
        <v>20</v>
      </c>
      <c r="G952" s="25"/>
      <c r="H952" s="14">
        <f t="shared" si="786"/>
        <v>0.55000000000000004</v>
      </c>
      <c r="I952" s="25">
        <f ca="1">IFERROR(__xludf.DUMMYFUNCTION("ROUND(D952*GOOGLEFINANCE(""RUBKZT"")*H952)"),99082)</f>
        <v>99082</v>
      </c>
      <c r="J952" s="26">
        <f ca="1">IFERROR(__xludf.DUMMYFUNCTION("ROUND(I952*GOOGLEFINANCE(""KZTEUR""))"),208)</f>
        <v>208</v>
      </c>
      <c r="K952" s="26">
        <f t="shared" ca="1" si="787"/>
        <v>10400</v>
      </c>
      <c r="L952" s="26">
        <f t="shared" ca="1" si="788"/>
        <v>1976</v>
      </c>
      <c r="M952" s="26">
        <f t="shared" ref="M952:N952" si="974">M$3</f>
        <v>500</v>
      </c>
      <c r="N952" s="26">
        <f t="shared" si="974"/>
        <v>500</v>
      </c>
      <c r="O952" s="26">
        <f ca="1">IFERROR(__xludf.DUMMYFUNCTION("ROUND(GOOGLEFINANCE(""Currency:EURKZT"")*K952)"),4966724)</f>
        <v>4966724</v>
      </c>
      <c r="P952" s="26">
        <f ca="1">IFERROR(__xludf.DUMMYFUNCTION("ROUND(GOOGLEFINANCE(""Currency:EURKZT"")*M952)"),238785)</f>
        <v>238785</v>
      </c>
      <c r="Q952" s="26">
        <f ca="1">IFERROR(__xludf.DUMMYFUNCTION("ROUND(GOOGLEFINANCE(""Currency:EURKZT"")*N952)"),238785)</f>
        <v>238785</v>
      </c>
      <c r="R952" s="26">
        <f t="shared" ca="1" si="790"/>
        <v>596007</v>
      </c>
      <c r="S952" s="26">
        <f t="shared" ca="1" si="791"/>
        <v>6040301</v>
      </c>
      <c r="T952" s="26">
        <f ca="1">IFERROR(__xludf.DUMMYFUNCTION("ROUND(GOOGLEFINANCE(""Currency:EURKZT"")*L952+S952)"),6983979)</f>
        <v>6983979</v>
      </c>
      <c r="U952" s="26">
        <f ca="1">IFERROR(__xludf.DUMMYFUNCTION("D952*GOOGLEFINANCE(""RUBKZT"")*1000/F952"),9007450.35760656)</f>
        <v>9007450.35760656</v>
      </c>
      <c r="V952" s="27">
        <f t="shared" ca="1" si="792"/>
        <v>0.28973044701402451</v>
      </c>
    </row>
    <row r="953" spans="1:22" ht="12.75" customHeight="1" x14ac:dyDescent="0.2">
      <c r="A953" s="6" t="s">
        <v>611</v>
      </c>
      <c r="B953" s="6" t="s">
        <v>32</v>
      </c>
      <c r="C953" s="7">
        <v>214149</v>
      </c>
      <c r="D953" s="8">
        <v>19819.2</v>
      </c>
      <c r="E953" s="9" t="s">
        <v>16</v>
      </c>
      <c r="F953" s="23">
        <v>20</v>
      </c>
      <c r="G953" s="25"/>
      <c r="H953" s="14">
        <f t="shared" si="786"/>
        <v>0.55000000000000004</v>
      </c>
      <c r="I953" s="25">
        <f ca="1">IFERROR(__xludf.DUMMYFUNCTION("ROUND(D953*GOOGLEFINANCE(""RUBKZT"")*H953)"),85063)</f>
        <v>85063</v>
      </c>
      <c r="J953" s="26">
        <f ca="1">IFERROR(__xludf.DUMMYFUNCTION("ROUND(I953*GOOGLEFINANCE(""KZTEUR""))"),178)</f>
        <v>178</v>
      </c>
      <c r="K953" s="26">
        <f t="shared" ca="1" si="787"/>
        <v>8900</v>
      </c>
      <c r="L953" s="26">
        <f t="shared" ca="1" si="788"/>
        <v>1691</v>
      </c>
      <c r="M953" s="26">
        <f t="shared" ref="M953:N953" si="975">M$3</f>
        <v>500</v>
      </c>
      <c r="N953" s="26">
        <f t="shared" si="975"/>
        <v>500</v>
      </c>
      <c r="O953" s="26">
        <f ca="1">IFERROR(__xludf.DUMMYFUNCTION("ROUND(GOOGLEFINANCE(""Currency:EURKZT"")*K953)"),4250370)</f>
        <v>4250370</v>
      </c>
      <c r="P953" s="26">
        <f ca="1">IFERROR(__xludf.DUMMYFUNCTION("ROUND(GOOGLEFINANCE(""Currency:EURKZT"")*M953)"),238785)</f>
        <v>238785</v>
      </c>
      <c r="Q953" s="26">
        <f ca="1">IFERROR(__xludf.DUMMYFUNCTION("ROUND(GOOGLEFINANCE(""Currency:EURKZT"")*N953)"),238785)</f>
        <v>238785</v>
      </c>
      <c r="R953" s="26">
        <f t="shared" ca="1" si="790"/>
        <v>510044</v>
      </c>
      <c r="S953" s="26">
        <f t="shared" ca="1" si="791"/>
        <v>5237984</v>
      </c>
      <c r="T953" s="26">
        <f ca="1">IFERROR(__xludf.DUMMYFUNCTION("ROUND(GOOGLEFINANCE(""Currency:EURKZT"")*L953+S953)"),6045554)</f>
        <v>6045554</v>
      </c>
      <c r="U953" s="26">
        <f ca="1">IFERROR(__xludf.DUMMYFUNCTION("D953*GOOGLEFINANCE(""RUBKZT"")*1000/F953"),7732979.00541792)</f>
        <v>7732979.0054179197</v>
      </c>
      <c r="V953" s="27">
        <f t="shared" ca="1" si="792"/>
        <v>0.27911834141551289</v>
      </c>
    </row>
    <row r="954" spans="1:22" ht="12.75" customHeight="1" x14ac:dyDescent="0.2">
      <c r="A954" s="6" t="s">
        <v>613</v>
      </c>
      <c r="B954" s="6" t="s">
        <v>32</v>
      </c>
      <c r="C954" s="7">
        <v>214154</v>
      </c>
      <c r="D954" s="8">
        <v>10900.8</v>
      </c>
      <c r="E954" s="9" t="s">
        <v>16</v>
      </c>
      <c r="F954" s="23">
        <v>20</v>
      </c>
      <c r="G954" s="25"/>
      <c r="H954" s="14">
        <f t="shared" si="786"/>
        <v>0.55000000000000004</v>
      </c>
      <c r="I954" s="25">
        <f ca="1">IFERROR(__xludf.DUMMYFUNCTION("ROUND(D954*GOOGLEFINANCE(""RUBKZT"")*H954)"),46786)</f>
        <v>46786</v>
      </c>
      <c r="J954" s="26">
        <f ca="1">IFERROR(__xludf.DUMMYFUNCTION("ROUND(I954*GOOGLEFINANCE(""KZTEUR""))"),98)</f>
        <v>98</v>
      </c>
      <c r="K954" s="26">
        <f t="shared" ca="1" si="787"/>
        <v>4900</v>
      </c>
      <c r="L954" s="26">
        <f t="shared" ca="1" si="788"/>
        <v>931</v>
      </c>
      <c r="M954" s="26">
        <f t="shared" ref="M954:N954" si="976">M$3</f>
        <v>500</v>
      </c>
      <c r="N954" s="26">
        <f t="shared" si="976"/>
        <v>500</v>
      </c>
      <c r="O954" s="26">
        <f ca="1">IFERROR(__xludf.DUMMYFUNCTION("ROUND(GOOGLEFINANCE(""Currency:EURKZT"")*K954)"),2340091)</f>
        <v>2340091</v>
      </c>
      <c r="P954" s="26">
        <f ca="1">IFERROR(__xludf.DUMMYFUNCTION("ROUND(GOOGLEFINANCE(""Currency:EURKZT"")*M954)"),238785)</f>
        <v>238785</v>
      </c>
      <c r="Q954" s="26">
        <f ca="1">IFERROR(__xludf.DUMMYFUNCTION("ROUND(GOOGLEFINANCE(""Currency:EURKZT"")*N954)"),238785)</f>
        <v>238785</v>
      </c>
      <c r="R954" s="26">
        <f t="shared" ca="1" si="790"/>
        <v>280811</v>
      </c>
      <c r="S954" s="26">
        <f t="shared" ca="1" si="791"/>
        <v>3098472</v>
      </c>
      <c r="T954" s="26">
        <f ca="1">IFERROR(__xludf.DUMMYFUNCTION("ROUND(GOOGLEFINANCE(""Currency:EURKZT"")*L954+S954)"),3543089)</f>
        <v>3543089</v>
      </c>
      <c r="U954" s="26">
        <f ca="1">IFERROR(__xludf.DUMMYFUNCTION("D954*GOOGLEFINANCE(""RUBKZT"")*1000/F954"),4253232.09525408)</f>
        <v>4253232.0952540804</v>
      </c>
      <c r="V954" s="27">
        <f t="shared" ca="1" si="792"/>
        <v>0.20043049871286903</v>
      </c>
    </row>
    <row r="955" spans="1:22" ht="12.75" customHeight="1" x14ac:dyDescent="0.2">
      <c r="A955" s="6" t="s">
        <v>631</v>
      </c>
      <c r="B955" s="6" t="s">
        <v>32</v>
      </c>
      <c r="C955" s="7">
        <v>215820</v>
      </c>
      <c r="D955" s="8">
        <v>11055.6</v>
      </c>
      <c r="E955" s="9" t="s">
        <v>16</v>
      </c>
      <c r="F955" s="23">
        <v>20</v>
      </c>
      <c r="G955" s="25"/>
      <c r="H955" s="14">
        <f t="shared" si="786"/>
        <v>0.55000000000000004</v>
      </c>
      <c r="I955" s="25">
        <f ca="1">IFERROR(__xludf.DUMMYFUNCTION("ROUND(D955*GOOGLEFINANCE(""RUBKZT"")*H955)"),47450)</f>
        <v>47450</v>
      </c>
      <c r="J955" s="26">
        <f ca="1">IFERROR(__xludf.DUMMYFUNCTION("ROUND(I955*GOOGLEFINANCE(""KZTEUR""))"),99)</f>
        <v>99</v>
      </c>
      <c r="K955" s="26">
        <f t="shared" ca="1" si="787"/>
        <v>4950</v>
      </c>
      <c r="L955" s="26">
        <f t="shared" ca="1" si="788"/>
        <v>940.5</v>
      </c>
      <c r="M955" s="26">
        <f t="shared" ref="M955:N955" si="977">M$3</f>
        <v>500</v>
      </c>
      <c r="N955" s="26">
        <f t="shared" si="977"/>
        <v>500</v>
      </c>
      <c r="O955" s="26">
        <f ca="1">IFERROR(__xludf.DUMMYFUNCTION("ROUND(GOOGLEFINANCE(""Currency:EURKZT"")*K955)"),2363970)</f>
        <v>2363970</v>
      </c>
      <c r="P955" s="26">
        <f ca="1">IFERROR(__xludf.DUMMYFUNCTION("ROUND(GOOGLEFINANCE(""Currency:EURKZT"")*M955)"),238785)</f>
        <v>238785</v>
      </c>
      <c r="Q955" s="26">
        <f ca="1">IFERROR(__xludf.DUMMYFUNCTION("ROUND(GOOGLEFINANCE(""Currency:EURKZT"")*N955)"),238785)</f>
        <v>238785</v>
      </c>
      <c r="R955" s="26">
        <f t="shared" ca="1" si="790"/>
        <v>283676</v>
      </c>
      <c r="S955" s="26">
        <f t="shared" ca="1" si="791"/>
        <v>3125216</v>
      </c>
      <c r="T955" s="26">
        <f ca="1">IFERROR(__xludf.DUMMYFUNCTION("ROUND(GOOGLEFINANCE(""Currency:EURKZT"")*L955+S955)"),3574370)</f>
        <v>3574370</v>
      </c>
      <c r="U955" s="26">
        <f ca="1">IFERROR(__xludf.DUMMYFUNCTION("D955*GOOGLEFINANCE(""RUBKZT"")*1000/F955"),4313631.36212856)</f>
        <v>4313631.3621285604</v>
      </c>
      <c r="V955" s="27">
        <f t="shared" ca="1" si="792"/>
        <v>0.2068228421032407</v>
      </c>
    </row>
    <row r="956" spans="1:22" ht="12.75" customHeight="1" x14ac:dyDescent="0.2">
      <c r="A956" s="6" t="s">
        <v>633</v>
      </c>
      <c r="B956" s="6" t="s">
        <v>32</v>
      </c>
      <c r="C956" s="7">
        <v>215824</v>
      </c>
      <c r="D956" s="8">
        <v>11054.4</v>
      </c>
      <c r="E956" s="9" t="s">
        <v>7</v>
      </c>
      <c r="F956" s="23">
        <v>20</v>
      </c>
      <c r="G956" s="25"/>
      <c r="H956" s="14">
        <f t="shared" si="786"/>
        <v>0.55000000000000004</v>
      </c>
      <c r="I956" s="25">
        <f ca="1">IFERROR(__xludf.DUMMYFUNCTION("ROUND(D956*GOOGLEFINANCE(""RUBKZT"")*H956)"),47445)</f>
        <v>47445</v>
      </c>
      <c r="J956" s="26">
        <f ca="1">IFERROR(__xludf.DUMMYFUNCTION("ROUND(I956*GOOGLEFINANCE(""KZTEUR""))"),99)</f>
        <v>99</v>
      </c>
      <c r="K956" s="26">
        <f t="shared" ca="1" si="787"/>
        <v>4950</v>
      </c>
      <c r="L956" s="26">
        <f t="shared" ca="1" si="788"/>
        <v>940.5</v>
      </c>
      <c r="M956" s="26">
        <f t="shared" ref="M956:N956" si="978">M$3</f>
        <v>500</v>
      </c>
      <c r="N956" s="26">
        <f t="shared" si="978"/>
        <v>500</v>
      </c>
      <c r="O956" s="26">
        <f ca="1">IFERROR(__xludf.DUMMYFUNCTION("ROUND(GOOGLEFINANCE(""Currency:EURKZT"")*K956)"),2363970)</f>
        <v>2363970</v>
      </c>
      <c r="P956" s="26">
        <f ca="1">IFERROR(__xludf.DUMMYFUNCTION("ROUND(GOOGLEFINANCE(""Currency:EURKZT"")*M956)"),238785)</f>
        <v>238785</v>
      </c>
      <c r="Q956" s="26">
        <f ca="1">IFERROR(__xludf.DUMMYFUNCTION("ROUND(GOOGLEFINANCE(""Currency:EURKZT"")*N956)"),238785)</f>
        <v>238785</v>
      </c>
      <c r="R956" s="26">
        <f t="shared" ca="1" si="790"/>
        <v>283676</v>
      </c>
      <c r="S956" s="26">
        <f t="shared" ca="1" si="791"/>
        <v>3125216</v>
      </c>
      <c r="T956" s="26">
        <f ca="1">IFERROR(__xludf.DUMMYFUNCTION("ROUND(GOOGLEFINANCE(""Currency:EURKZT"")*L956+S956)"),3574370)</f>
        <v>3574370</v>
      </c>
      <c r="U956" s="26">
        <f ca="1">IFERROR(__xludf.DUMMYFUNCTION("D956*GOOGLEFINANCE(""RUBKZT"")*1000/F956"),4313163.15075744)</f>
        <v>4313163.1507574404</v>
      </c>
      <c r="V956" s="27">
        <f t="shared" ca="1" si="792"/>
        <v>0.20669185080376132</v>
      </c>
    </row>
    <row r="957" spans="1:22" ht="12.75" customHeight="1" x14ac:dyDescent="0.2">
      <c r="A957" s="6" t="s">
        <v>630</v>
      </c>
      <c r="B957" s="6" t="s">
        <v>32</v>
      </c>
      <c r="C957" s="7">
        <v>215825</v>
      </c>
      <c r="D957" s="8">
        <v>9180</v>
      </c>
      <c r="E957" s="9" t="s">
        <v>7</v>
      </c>
      <c r="F957" s="23">
        <v>20</v>
      </c>
      <c r="G957" s="25"/>
      <c r="H957" s="14">
        <f t="shared" si="786"/>
        <v>0.55000000000000004</v>
      </c>
      <c r="I957" s="25">
        <f ca="1">IFERROR(__xludf.DUMMYFUNCTION("ROUND(D957*GOOGLEFINANCE(""RUBKZT"")*H957)"),39400)</f>
        <v>39400</v>
      </c>
      <c r="J957" s="26">
        <f ca="1">IFERROR(__xludf.DUMMYFUNCTION("ROUND(I957*GOOGLEFINANCE(""KZTEUR""))"),83)</f>
        <v>83</v>
      </c>
      <c r="K957" s="26">
        <f t="shared" ca="1" si="787"/>
        <v>4150</v>
      </c>
      <c r="L957" s="26">
        <f t="shared" ca="1" si="788"/>
        <v>788.5</v>
      </c>
      <c r="M957" s="26">
        <f t="shared" ref="M957:N957" si="979">M$3</f>
        <v>500</v>
      </c>
      <c r="N957" s="26">
        <f t="shared" si="979"/>
        <v>500</v>
      </c>
      <c r="O957" s="26">
        <f ca="1">IFERROR(__xludf.DUMMYFUNCTION("ROUND(GOOGLEFINANCE(""Currency:EURKZT"")*K957)"),1981914)</f>
        <v>1981914</v>
      </c>
      <c r="P957" s="26">
        <f ca="1">IFERROR(__xludf.DUMMYFUNCTION("ROUND(GOOGLEFINANCE(""Currency:EURKZT"")*M957)"),238785)</f>
        <v>238785</v>
      </c>
      <c r="Q957" s="26">
        <f ca="1">IFERROR(__xludf.DUMMYFUNCTION("ROUND(GOOGLEFINANCE(""Currency:EURKZT"")*N957)"),238785)</f>
        <v>238785</v>
      </c>
      <c r="R957" s="26">
        <f t="shared" ca="1" si="790"/>
        <v>237830</v>
      </c>
      <c r="S957" s="26">
        <f t="shared" ca="1" si="791"/>
        <v>2697314</v>
      </c>
      <c r="T957" s="26">
        <f ca="1">IFERROR(__xludf.DUMMYFUNCTION("ROUND(GOOGLEFINANCE(""Currency:EURKZT"")*L957+S957)"),3073878)</f>
        <v>3073878</v>
      </c>
      <c r="U957" s="26">
        <f ca="1">IFERROR(__xludf.DUMMYFUNCTION("D957*GOOGLEFINANCE(""RUBKZT"")*1000/F957"),3581816.989068)</f>
        <v>3581816.9890680001</v>
      </c>
      <c r="V957" s="27">
        <f t="shared" ca="1" si="792"/>
        <v>0.16524370487963416</v>
      </c>
    </row>
    <row r="958" spans="1:22" ht="12.75" customHeight="1" x14ac:dyDescent="0.2">
      <c r="A958" s="6" t="s">
        <v>632</v>
      </c>
      <c r="B958" s="6" t="s">
        <v>32</v>
      </c>
      <c r="C958" s="7">
        <v>215828</v>
      </c>
      <c r="D958" s="8">
        <v>8743.1999999999989</v>
      </c>
      <c r="E958" s="9" t="s">
        <v>16</v>
      </c>
      <c r="F958" s="23">
        <v>20</v>
      </c>
      <c r="G958" s="25"/>
      <c r="H958" s="14">
        <f t="shared" si="786"/>
        <v>0.55000000000000004</v>
      </c>
      <c r="I958" s="25">
        <f ca="1">IFERROR(__xludf.DUMMYFUNCTION("ROUND(D958*GOOGLEFINANCE(""RUBKZT"")*H958)"),37525)</f>
        <v>37525</v>
      </c>
      <c r="J958" s="26">
        <f ca="1">IFERROR(__xludf.DUMMYFUNCTION("ROUND(I958*GOOGLEFINANCE(""KZTEUR""))"),79)</f>
        <v>79</v>
      </c>
      <c r="K958" s="26">
        <f t="shared" ca="1" si="787"/>
        <v>3950</v>
      </c>
      <c r="L958" s="26">
        <f t="shared" ca="1" si="788"/>
        <v>750.5</v>
      </c>
      <c r="M958" s="26">
        <f t="shared" ref="M958:N958" si="980">M$3</f>
        <v>500</v>
      </c>
      <c r="N958" s="26">
        <f t="shared" si="980"/>
        <v>500</v>
      </c>
      <c r="O958" s="26">
        <f ca="1">IFERROR(__xludf.DUMMYFUNCTION("ROUND(GOOGLEFINANCE(""Currency:EURKZT"")*K958)"),1886400)</f>
        <v>1886400</v>
      </c>
      <c r="P958" s="26">
        <f ca="1">IFERROR(__xludf.DUMMYFUNCTION("ROUND(GOOGLEFINANCE(""Currency:EURKZT"")*M958)"),238785)</f>
        <v>238785</v>
      </c>
      <c r="Q958" s="26">
        <f ca="1">IFERROR(__xludf.DUMMYFUNCTION("ROUND(GOOGLEFINANCE(""Currency:EURKZT"")*N958)"),238785)</f>
        <v>238785</v>
      </c>
      <c r="R958" s="26">
        <f t="shared" ca="1" si="790"/>
        <v>226368</v>
      </c>
      <c r="S958" s="26">
        <f t="shared" ca="1" si="791"/>
        <v>2590338</v>
      </c>
      <c r="T958" s="26">
        <f ca="1">IFERROR(__xludf.DUMMYFUNCTION("ROUND(GOOGLEFINANCE(""Currency:EURKZT"")*L958+S958)"),2948754)</f>
        <v>2948754</v>
      </c>
      <c r="U958" s="26">
        <f ca="1">IFERROR(__xludf.DUMMYFUNCTION("D958*GOOGLEFINANCE(""RUBKZT"")*1000/F958"),3411388.04998032)</f>
        <v>3411388.04998032</v>
      </c>
      <c r="V958" s="27">
        <f t="shared" ca="1" si="792"/>
        <v>0.15689136834755291</v>
      </c>
    </row>
    <row r="959" spans="1:22" ht="12.75" customHeight="1" x14ac:dyDescent="0.2">
      <c r="A959" s="6" t="s">
        <v>634</v>
      </c>
      <c r="B959" s="6" t="s">
        <v>32</v>
      </c>
      <c r="C959" s="7">
        <v>215837</v>
      </c>
      <c r="D959" s="8">
        <v>8895.6</v>
      </c>
      <c r="E959" s="9" t="s">
        <v>7</v>
      </c>
      <c r="F959" s="23">
        <v>20</v>
      </c>
      <c r="G959" s="25"/>
      <c r="H959" s="14">
        <f t="shared" si="786"/>
        <v>0.55000000000000004</v>
      </c>
      <c r="I959" s="25">
        <f ca="1">IFERROR(__xludf.DUMMYFUNCTION("ROUND(D959*GOOGLEFINANCE(""RUBKZT"")*H959)"),38179)</f>
        <v>38179</v>
      </c>
      <c r="J959" s="26">
        <f ca="1">IFERROR(__xludf.DUMMYFUNCTION("ROUND(I959*GOOGLEFINANCE(""KZTEUR""))"),80)</f>
        <v>80</v>
      </c>
      <c r="K959" s="26">
        <f t="shared" ca="1" si="787"/>
        <v>4000</v>
      </c>
      <c r="L959" s="26">
        <f t="shared" ca="1" si="788"/>
        <v>760</v>
      </c>
      <c r="M959" s="26">
        <f t="shared" ref="M959:N959" si="981">M$3</f>
        <v>500</v>
      </c>
      <c r="N959" s="26">
        <f t="shared" si="981"/>
        <v>500</v>
      </c>
      <c r="O959" s="26">
        <f ca="1">IFERROR(__xludf.DUMMYFUNCTION("ROUND(GOOGLEFINANCE(""Currency:EURKZT"")*K959)"),1910278)</f>
        <v>1910278</v>
      </c>
      <c r="P959" s="26">
        <f ca="1">IFERROR(__xludf.DUMMYFUNCTION("ROUND(GOOGLEFINANCE(""Currency:EURKZT"")*M959)"),238785)</f>
        <v>238785</v>
      </c>
      <c r="Q959" s="26">
        <f ca="1">IFERROR(__xludf.DUMMYFUNCTION("ROUND(GOOGLEFINANCE(""Currency:EURKZT"")*N959)"),238785)</f>
        <v>238785</v>
      </c>
      <c r="R959" s="26">
        <f t="shared" ca="1" si="790"/>
        <v>229233</v>
      </c>
      <c r="S959" s="26">
        <f t="shared" ca="1" si="791"/>
        <v>2617081</v>
      </c>
      <c r="T959" s="26">
        <f ca="1">IFERROR(__xludf.DUMMYFUNCTION("ROUND(GOOGLEFINANCE(""Currency:EURKZT"")*L959+S959)"),2980034)</f>
        <v>2980034</v>
      </c>
      <c r="U959" s="26">
        <f ca="1">IFERROR(__xludf.DUMMYFUNCTION("D959*GOOGLEFINANCE(""RUBKZT"")*1000/F959"),3470850.89411256)</f>
        <v>3470850.89411256</v>
      </c>
      <c r="V959" s="27">
        <f t="shared" ca="1" si="792"/>
        <v>0.16470177659468313</v>
      </c>
    </row>
    <row r="960" spans="1:22" ht="12.75" customHeight="1" x14ac:dyDescent="0.2">
      <c r="A960" s="6" t="s">
        <v>447</v>
      </c>
      <c r="B960" s="6" t="s">
        <v>32</v>
      </c>
      <c r="C960" s="7">
        <v>222301</v>
      </c>
      <c r="D960" s="8">
        <v>12289.199999999999</v>
      </c>
      <c r="E960" s="9" t="s">
        <v>16</v>
      </c>
      <c r="F960" s="23">
        <v>20</v>
      </c>
      <c r="G960" s="25"/>
      <c r="H960" s="14">
        <f t="shared" si="786"/>
        <v>0.55000000000000004</v>
      </c>
      <c r="I960" s="25">
        <f ca="1">IFERROR(__xludf.DUMMYFUNCTION("ROUND(D960*GOOGLEFINANCE(""RUBKZT"")*H960)"),52744)</f>
        <v>52744</v>
      </c>
      <c r="J960" s="26">
        <f ca="1">IFERROR(__xludf.DUMMYFUNCTION("ROUND(I960*GOOGLEFINANCE(""KZTEUR""))"),110)</f>
        <v>110</v>
      </c>
      <c r="K960" s="26">
        <f t="shared" ca="1" si="787"/>
        <v>5500</v>
      </c>
      <c r="L960" s="26">
        <f t="shared" ca="1" si="788"/>
        <v>1045</v>
      </c>
      <c r="M960" s="26">
        <f t="shared" ref="M960:N960" si="982">M$3</f>
        <v>500</v>
      </c>
      <c r="N960" s="26">
        <f t="shared" si="982"/>
        <v>500</v>
      </c>
      <c r="O960" s="26">
        <f ca="1">IFERROR(__xludf.DUMMYFUNCTION("ROUND(GOOGLEFINANCE(""Currency:EURKZT"")*K960)"),2626633)</f>
        <v>2626633</v>
      </c>
      <c r="P960" s="26">
        <f ca="1">IFERROR(__xludf.DUMMYFUNCTION("ROUND(GOOGLEFINANCE(""Currency:EURKZT"")*M960)"),238785)</f>
        <v>238785</v>
      </c>
      <c r="Q960" s="26">
        <f ca="1">IFERROR(__xludf.DUMMYFUNCTION("ROUND(GOOGLEFINANCE(""Currency:EURKZT"")*N960)"),238785)</f>
        <v>238785</v>
      </c>
      <c r="R960" s="26">
        <f t="shared" ca="1" si="790"/>
        <v>315196</v>
      </c>
      <c r="S960" s="26">
        <f t="shared" ca="1" si="791"/>
        <v>3419399</v>
      </c>
      <c r="T960" s="26">
        <f ca="1">IFERROR(__xludf.DUMMYFUNCTION("ROUND(GOOGLEFINANCE(""Currency:EURKZT"")*L960+S960)"),3918459)</f>
        <v>3918459</v>
      </c>
      <c r="U960" s="26">
        <f ca="1">IFERROR(__xludf.DUMMYFUNCTION("D960*GOOGLEFINANCE(""RUBKZT"")*1000/F960"),4794952.65163992)</f>
        <v>4794952.6516399197</v>
      </c>
      <c r="V960" s="27">
        <f t="shared" ca="1" si="792"/>
        <v>0.22368325192120672</v>
      </c>
    </row>
    <row r="961" spans="1:22" ht="12.75" customHeight="1" x14ac:dyDescent="0.2">
      <c r="A961" s="6" t="s">
        <v>642</v>
      </c>
      <c r="B961" s="6" t="s">
        <v>32</v>
      </c>
      <c r="C961" s="7">
        <v>223503</v>
      </c>
      <c r="D961" s="8">
        <v>14563.199999999999</v>
      </c>
      <c r="E961" s="9" t="s">
        <v>7</v>
      </c>
      <c r="F961" s="23">
        <v>20</v>
      </c>
      <c r="G961" s="25"/>
      <c r="H961" s="14">
        <f t="shared" si="786"/>
        <v>0.55000000000000004</v>
      </c>
      <c r="I961" s="25">
        <f ca="1">IFERROR(__xludf.DUMMYFUNCTION("ROUND(D961*GOOGLEFINANCE(""RUBKZT"")*H961)"),62504)</f>
        <v>62504</v>
      </c>
      <c r="J961" s="26">
        <f ca="1">IFERROR(__xludf.DUMMYFUNCTION("ROUND(I961*GOOGLEFINANCE(""KZTEUR""))"),131)</f>
        <v>131</v>
      </c>
      <c r="K961" s="26">
        <f t="shared" ca="1" si="787"/>
        <v>6550</v>
      </c>
      <c r="L961" s="26">
        <f t="shared" ca="1" si="788"/>
        <v>1244.5</v>
      </c>
      <c r="M961" s="26">
        <f t="shared" ref="M961:N961" si="983">M$3</f>
        <v>500</v>
      </c>
      <c r="N961" s="26">
        <f t="shared" si="983"/>
        <v>500</v>
      </c>
      <c r="O961" s="26">
        <f ca="1">IFERROR(__xludf.DUMMYFUNCTION("ROUND(GOOGLEFINANCE(""Currency:EURKZT"")*K961)"),3128081)</f>
        <v>3128081</v>
      </c>
      <c r="P961" s="26">
        <f ca="1">IFERROR(__xludf.DUMMYFUNCTION("ROUND(GOOGLEFINANCE(""Currency:EURKZT"")*M961)"),238785)</f>
        <v>238785</v>
      </c>
      <c r="Q961" s="26">
        <f ca="1">IFERROR(__xludf.DUMMYFUNCTION("ROUND(GOOGLEFINANCE(""Currency:EURKZT"")*N961)"),238785)</f>
        <v>238785</v>
      </c>
      <c r="R961" s="26">
        <f t="shared" ca="1" si="790"/>
        <v>375370</v>
      </c>
      <c r="S961" s="26">
        <f t="shared" ca="1" si="791"/>
        <v>3981021</v>
      </c>
      <c r="T961" s="26">
        <f ca="1">IFERROR(__xludf.DUMMYFUNCTION("ROUND(GOOGLEFINANCE(""Currency:EURKZT"")*L961+S961)"),4575356)</f>
        <v>4575356</v>
      </c>
      <c r="U961" s="26">
        <f ca="1">IFERROR(__xludf.DUMMYFUNCTION("D961*GOOGLEFINANCE(""RUBKZT"")*1000/F961"),5682213.19991232)</f>
        <v>5682213.1999123199</v>
      </c>
      <c r="V961" s="27">
        <f t="shared" ca="1" si="792"/>
        <v>0.24191717538751517</v>
      </c>
    </row>
    <row r="962" spans="1:22" ht="12.75" customHeight="1" x14ac:dyDescent="0.2">
      <c r="A962" s="6" t="s">
        <v>35</v>
      </c>
      <c r="B962" s="6" t="s">
        <v>32</v>
      </c>
      <c r="C962" s="7">
        <v>10030901</v>
      </c>
      <c r="D962" s="8">
        <v>7651.2</v>
      </c>
      <c r="E962" s="9" t="s">
        <v>16</v>
      </c>
      <c r="F962" s="23">
        <v>20</v>
      </c>
      <c r="G962" s="25"/>
      <c r="H962" s="14">
        <f t="shared" si="786"/>
        <v>0.55000000000000004</v>
      </c>
      <c r="I962" s="25">
        <f ca="1">IFERROR(__xludf.DUMMYFUNCTION("ROUND(D962*GOOGLEFINANCE(""RUBKZT"")*H962)"),32838)</f>
        <v>32838</v>
      </c>
      <c r="J962" s="26">
        <f ca="1">IFERROR(__xludf.DUMMYFUNCTION("ROUND(I962*GOOGLEFINANCE(""KZTEUR""))"),69)</f>
        <v>69</v>
      </c>
      <c r="K962" s="26">
        <f t="shared" ca="1" si="787"/>
        <v>3450</v>
      </c>
      <c r="L962" s="26">
        <f t="shared" ca="1" si="788"/>
        <v>655.5</v>
      </c>
      <c r="M962" s="26">
        <f t="shared" ref="M962:N962" si="984">M$3</f>
        <v>500</v>
      </c>
      <c r="N962" s="26">
        <f t="shared" si="984"/>
        <v>500</v>
      </c>
      <c r="O962" s="26">
        <f ca="1">IFERROR(__xludf.DUMMYFUNCTION("ROUND(GOOGLEFINANCE(""Currency:EURKZT"")*K962)"),1647615)</f>
        <v>1647615</v>
      </c>
      <c r="P962" s="26">
        <f ca="1">IFERROR(__xludf.DUMMYFUNCTION("ROUND(GOOGLEFINANCE(""Currency:EURKZT"")*M962)"),238785)</f>
        <v>238785</v>
      </c>
      <c r="Q962" s="26">
        <f ca="1">IFERROR(__xludf.DUMMYFUNCTION("ROUND(GOOGLEFINANCE(""Currency:EURKZT"")*N962)"),238785)</f>
        <v>238785</v>
      </c>
      <c r="R962" s="26">
        <f t="shared" ca="1" si="790"/>
        <v>197714</v>
      </c>
      <c r="S962" s="26">
        <f t="shared" ca="1" si="791"/>
        <v>2322899</v>
      </c>
      <c r="T962" s="26">
        <f ca="1">IFERROR(__xludf.DUMMYFUNCTION("ROUND(GOOGLEFINANCE(""Currency:EURKZT"")*L962+S962)"),2635946)</f>
        <v>2635946</v>
      </c>
      <c r="U962" s="26">
        <f ca="1">IFERROR(__xludf.DUMMYFUNCTION("D962*GOOGLEFINANCE(""RUBKZT"")*1000/F962"),2985315.70226112)</f>
        <v>2985315.7022611201</v>
      </c>
      <c r="V962" s="27">
        <f t="shared" ca="1" si="792"/>
        <v>0.1325405384864182</v>
      </c>
    </row>
    <row r="963" spans="1:22" ht="12.75" customHeight="1" x14ac:dyDescent="0.2">
      <c r="A963" s="6" t="s">
        <v>36</v>
      </c>
      <c r="B963" s="6" t="s">
        <v>32</v>
      </c>
      <c r="C963" s="7">
        <v>10040901</v>
      </c>
      <c r="D963" s="8">
        <v>6943.2</v>
      </c>
      <c r="E963" s="9" t="s">
        <v>16</v>
      </c>
      <c r="F963" s="23">
        <v>20</v>
      </c>
      <c r="G963" s="25"/>
      <c r="H963" s="14">
        <f t="shared" si="786"/>
        <v>0.55000000000000004</v>
      </c>
      <c r="I963" s="25">
        <f ca="1">IFERROR(__xludf.DUMMYFUNCTION("ROUND(D963*GOOGLEFINANCE(""RUBKZT"")*H963)"),29800)</f>
        <v>29800</v>
      </c>
      <c r="J963" s="26">
        <f ca="1">IFERROR(__xludf.DUMMYFUNCTION("ROUND(I963*GOOGLEFINANCE(""KZTEUR""))"),62)</f>
        <v>62</v>
      </c>
      <c r="K963" s="26">
        <f t="shared" ca="1" si="787"/>
        <v>3100</v>
      </c>
      <c r="L963" s="26">
        <f t="shared" ca="1" si="788"/>
        <v>589</v>
      </c>
      <c r="M963" s="26">
        <f t="shared" ref="M963:N963" si="985">M$3</f>
        <v>500</v>
      </c>
      <c r="N963" s="26">
        <f t="shared" si="985"/>
        <v>500</v>
      </c>
      <c r="O963" s="26">
        <f ca="1">IFERROR(__xludf.DUMMYFUNCTION("ROUND(GOOGLEFINANCE(""Currency:EURKZT"")*K963)"),1480466)</f>
        <v>1480466</v>
      </c>
      <c r="P963" s="26">
        <f ca="1">IFERROR(__xludf.DUMMYFUNCTION("ROUND(GOOGLEFINANCE(""Currency:EURKZT"")*M963)"),238785)</f>
        <v>238785</v>
      </c>
      <c r="Q963" s="26">
        <f ca="1">IFERROR(__xludf.DUMMYFUNCTION("ROUND(GOOGLEFINANCE(""Currency:EURKZT"")*N963)"),238785)</f>
        <v>238785</v>
      </c>
      <c r="R963" s="26">
        <f t="shared" ca="1" si="790"/>
        <v>177656</v>
      </c>
      <c r="S963" s="26">
        <f t="shared" ca="1" si="791"/>
        <v>2135692</v>
      </c>
      <c r="T963" s="26">
        <f ca="1">IFERROR(__xludf.DUMMYFUNCTION("ROUND(GOOGLEFINANCE(""Currency:EURKZT"")*L963+S963)"),2416981)</f>
        <v>2416981</v>
      </c>
      <c r="U963" s="26">
        <f ca="1">IFERROR(__xludf.DUMMYFUNCTION("D963*GOOGLEFINANCE(""RUBKZT"")*1000/F963"),2709070.99330031)</f>
        <v>2709070.9933003099</v>
      </c>
      <c r="V963" s="27">
        <f t="shared" ca="1" si="792"/>
        <v>0.12084910609570777</v>
      </c>
    </row>
    <row r="964" spans="1:22" ht="12.75" customHeight="1" x14ac:dyDescent="0.2">
      <c r="A964" s="6" t="s">
        <v>643</v>
      </c>
      <c r="B964" s="6" t="s">
        <v>32</v>
      </c>
      <c r="C964" s="7">
        <v>10080901</v>
      </c>
      <c r="D964" s="8">
        <v>7934.4</v>
      </c>
      <c r="E964" s="9" t="s">
        <v>16</v>
      </c>
      <c r="F964" s="23">
        <v>20</v>
      </c>
      <c r="G964" s="25"/>
      <c r="H964" s="14">
        <f t="shared" si="786"/>
        <v>0.55000000000000004</v>
      </c>
      <c r="I964" s="25">
        <f ca="1">IFERROR(__xludf.DUMMYFUNCTION("ROUND(D964*GOOGLEFINANCE(""RUBKZT"")*H964)"),34054)</f>
        <v>34054</v>
      </c>
      <c r="J964" s="26">
        <f ca="1">IFERROR(__xludf.DUMMYFUNCTION("ROUND(I964*GOOGLEFINANCE(""KZTEUR""))"),71)</f>
        <v>71</v>
      </c>
      <c r="K964" s="26">
        <f t="shared" ca="1" si="787"/>
        <v>3550</v>
      </c>
      <c r="L964" s="26">
        <f t="shared" ca="1" si="788"/>
        <v>674.5</v>
      </c>
      <c r="M964" s="26">
        <f t="shared" ref="M964:N964" si="986">M$3</f>
        <v>500</v>
      </c>
      <c r="N964" s="26">
        <f t="shared" si="986"/>
        <v>500</v>
      </c>
      <c r="O964" s="26">
        <f ca="1">IFERROR(__xludf.DUMMYFUNCTION("ROUND(GOOGLEFINANCE(""Currency:EURKZT"")*K964)"),1695372)</f>
        <v>1695372</v>
      </c>
      <c r="P964" s="26">
        <f ca="1">IFERROR(__xludf.DUMMYFUNCTION("ROUND(GOOGLEFINANCE(""Currency:EURKZT"")*M964)"),238785)</f>
        <v>238785</v>
      </c>
      <c r="Q964" s="26">
        <f ca="1">IFERROR(__xludf.DUMMYFUNCTION("ROUND(GOOGLEFINANCE(""Currency:EURKZT"")*N964)"),238785)</f>
        <v>238785</v>
      </c>
      <c r="R964" s="26">
        <f t="shared" ca="1" si="790"/>
        <v>203445</v>
      </c>
      <c r="S964" s="26">
        <f t="shared" ca="1" si="791"/>
        <v>2376387</v>
      </c>
      <c r="T964" s="26">
        <f ca="1">IFERROR(__xludf.DUMMYFUNCTION("ROUND(GOOGLEFINANCE(""Currency:EURKZT"")*L964+S964)"),2698508)</f>
        <v>2698508</v>
      </c>
      <c r="U964" s="26">
        <f ca="1">IFERROR(__xludf.DUMMYFUNCTION("D964*GOOGLEFINANCE(""RUBKZT"")*1000/F964"),3095813.58584543)</f>
        <v>3095813.5858454299</v>
      </c>
      <c r="V964" s="27">
        <f t="shared" ca="1" si="792"/>
        <v>0.14723157605811429</v>
      </c>
    </row>
    <row r="965" spans="1:22" ht="12.75" customHeight="1" x14ac:dyDescent="0.2">
      <c r="A965" s="6" t="s">
        <v>645</v>
      </c>
      <c r="B965" s="6" t="s">
        <v>32</v>
      </c>
      <c r="C965" s="7">
        <v>10090901</v>
      </c>
      <c r="D965" s="8">
        <v>8331.6</v>
      </c>
      <c r="E965" s="9" t="s">
        <v>16</v>
      </c>
      <c r="F965" s="23">
        <v>20</v>
      </c>
      <c r="G965" s="25"/>
      <c r="H965" s="14">
        <f t="shared" si="786"/>
        <v>0.55000000000000004</v>
      </c>
      <c r="I965" s="25">
        <f ca="1">IFERROR(__xludf.DUMMYFUNCTION("ROUND(D965*GOOGLEFINANCE(""RUBKZT"")*H965)"),35759)</f>
        <v>35759</v>
      </c>
      <c r="J965" s="26">
        <f ca="1">IFERROR(__xludf.DUMMYFUNCTION("ROUND(I965*GOOGLEFINANCE(""KZTEUR""))"),75)</f>
        <v>75</v>
      </c>
      <c r="K965" s="26">
        <f t="shared" ca="1" si="787"/>
        <v>3750</v>
      </c>
      <c r="L965" s="26">
        <f t="shared" ca="1" si="788"/>
        <v>712.5</v>
      </c>
      <c r="M965" s="26">
        <f t="shared" ref="M965:N965" si="987">M$3</f>
        <v>500</v>
      </c>
      <c r="N965" s="26">
        <f t="shared" si="987"/>
        <v>500</v>
      </c>
      <c r="O965" s="26">
        <f ca="1">IFERROR(__xludf.DUMMYFUNCTION("ROUND(GOOGLEFINANCE(""Currency:EURKZT"")*K965)"),1790886)</f>
        <v>1790886</v>
      </c>
      <c r="P965" s="26">
        <f ca="1">IFERROR(__xludf.DUMMYFUNCTION("ROUND(GOOGLEFINANCE(""Currency:EURKZT"")*M965)"),238785)</f>
        <v>238785</v>
      </c>
      <c r="Q965" s="26">
        <f ca="1">IFERROR(__xludf.DUMMYFUNCTION("ROUND(GOOGLEFINANCE(""Currency:EURKZT"")*N965)"),238785)</f>
        <v>238785</v>
      </c>
      <c r="R965" s="26">
        <f t="shared" ca="1" si="790"/>
        <v>214906</v>
      </c>
      <c r="S965" s="26">
        <f t="shared" ca="1" si="791"/>
        <v>2483362</v>
      </c>
      <c r="T965" s="26">
        <f ca="1">IFERROR(__xludf.DUMMYFUNCTION("ROUND(GOOGLEFINANCE(""Currency:EURKZT"")*L965+S965)"),2823630)</f>
        <v>2823630</v>
      </c>
      <c r="U965" s="26">
        <f ca="1">IFERROR(__xludf.DUMMYFUNCTION("D965*GOOGLEFINANCE(""RUBKZT"")*1000/F965"),3250791.54968616)</f>
        <v>3250791.5496861599</v>
      </c>
      <c r="V965" s="27">
        <f t="shared" ca="1" si="792"/>
        <v>0.15128099279514665</v>
      </c>
    </row>
    <row r="966" spans="1:22" ht="12.75" customHeight="1" x14ac:dyDescent="0.2">
      <c r="A966" s="6" t="s">
        <v>648</v>
      </c>
      <c r="B966" s="6" t="s">
        <v>32</v>
      </c>
      <c r="C966" s="7">
        <v>10100901</v>
      </c>
      <c r="D966" s="8">
        <v>8142</v>
      </c>
      <c r="E966" s="9" t="s">
        <v>16</v>
      </c>
      <c r="F966" s="23">
        <v>20</v>
      </c>
      <c r="G966" s="25"/>
      <c r="H966" s="14">
        <f t="shared" si="786"/>
        <v>0.55000000000000004</v>
      </c>
      <c r="I966" s="25">
        <f ca="1">IFERROR(__xludf.DUMMYFUNCTION("ROUND(D966*GOOGLEFINANCE(""RUBKZT"")*H966)"),34945)</f>
        <v>34945</v>
      </c>
      <c r="J966" s="26">
        <f ca="1">IFERROR(__xludf.DUMMYFUNCTION("ROUND(I966*GOOGLEFINANCE(""KZTEUR""))"),73)</f>
        <v>73</v>
      </c>
      <c r="K966" s="26">
        <f t="shared" ca="1" si="787"/>
        <v>3650</v>
      </c>
      <c r="L966" s="26">
        <f t="shared" ca="1" si="788"/>
        <v>693.5</v>
      </c>
      <c r="M966" s="26">
        <f t="shared" ref="M966:N966" si="988">M$3</f>
        <v>500</v>
      </c>
      <c r="N966" s="26">
        <f t="shared" si="988"/>
        <v>500</v>
      </c>
      <c r="O966" s="26">
        <f ca="1">IFERROR(__xludf.DUMMYFUNCTION("ROUND(GOOGLEFINANCE(""Currency:EURKZT"")*K966)"),1743129)</f>
        <v>1743129</v>
      </c>
      <c r="P966" s="26">
        <f ca="1">IFERROR(__xludf.DUMMYFUNCTION("ROUND(GOOGLEFINANCE(""Currency:EURKZT"")*M966)"),238785)</f>
        <v>238785</v>
      </c>
      <c r="Q966" s="26">
        <f ca="1">IFERROR(__xludf.DUMMYFUNCTION("ROUND(GOOGLEFINANCE(""Currency:EURKZT"")*N966)"),238785)</f>
        <v>238785</v>
      </c>
      <c r="R966" s="26">
        <f t="shared" ca="1" si="790"/>
        <v>209175</v>
      </c>
      <c r="S966" s="26">
        <f t="shared" ca="1" si="791"/>
        <v>2429874</v>
      </c>
      <c r="T966" s="26">
        <f ca="1">IFERROR(__xludf.DUMMYFUNCTION("ROUND(GOOGLEFINANCE(""Currency:EURKZT"")*L966+S966)"),2761069)</f>
        <v>2761069</v>
      </c>
      <c r="U966" s="26">
        <f ca="1">IFERROR(__xludf.DUMMYFUNCTION("D966*GOOGLEFINANCE(""RUBKZT"")*1000/F966"),3176814.1530492)</f>
        <v>3176814.1530491998</v>
      </c>
      <c r="V966" s="27">
        <f t="shared" ca="1" si="792"/>
        <v>0.15057398168941083</v>
      </c>
    </row>
    <row r="967" spans="1:22" ht="12.75" customHeight="1" x14ac:dyDescent="0.2">
      <c r="A967" s="6" t="s">
        <v>60</v>
      </c>
      <c r="B967" s="6" t="s">
        <v>32</v>
      </c>
      <c r="C967" s="7">
        <v>10110901</v>
      </c>
      <c r="D967" s="8">
        <v>7084.8</v>
      </c>
      <c r="E967" s="9" t="s">
        <v>16</v>
      </c>
      <c r="F967" s="23">
        <v>20</v>
      </c>
      <c r="G967" s="25"/>
      <c r="H967" s="14">
        <f t="shared" si="786"/>
        <v>0.55000000000000004</v>
      </c>
      <c r="I967" s="25">
        <f ca="1">IFERROR(__xludf.DUMMYFUNCTION("ROUND(D967*GOOGLEFINANCE(""RUBKZT"")*H967)"),30408)</f>
        <v>30408</v>
      </c>
      <c r="J967" s="26">
        <f ca="1">IFERROR(__xludf.DUMMYFUNCTION("ROUND(I967*GOOGLEFINANCE(""KZTEUR""))"),64)</f>
        <v>64</v>
      </c>
      <c r="K967" s="26">
        <f t="shared" ca="1" si="787"/>
        <v>3200</v>
      </c>
      <c r="L967" s="26">
        <f t="shared" ca="1" si="788"/>
        <v>608</v>
      </c>
      <c r="M967" s="26">
        <f t="shared" ref="M967:N967" si="989">M$3</f>
        <v>500</v>
      </c>
      <c r="N967" s="26">
        <f t="shared" si="989"/>
        <v>500</v>
      </c>
      <c r="O967" s="26">
        <f ca="1">IFERROR(__xludf.DUMMYFUNCTION("ROUND(GOOGLEFINANCE(""Currency:EURKZT"")*K967)"),1528223)</f>
        <v>1528223</v>
      </c>
      <c r="P967" s="26">
        <f ca="1">IFERROR(__xludf.DUMMYFUNCTION("ROUND(GOOGLEFINANCE(""Currency:EURKZT"")*M967)"),238785)</f>
        <v>238785</v>
      </c>
      <c r="Q967" s="26">
        <f ca="1">IFERROR(__xludf.DUMMYFUNCTION("ROUND(GOOGLEFINANCE(""Currency:EURKZT"")*N967)"),238785)</f>
        <v>238785</v>
      </c>
      <c r="R967" s="26">
        <f t="shared" ca="1" si="790"/>
        <v>183387</v>
      </c>
      <c r="S967" s="26">
        <f t="shared" ca="1" si="791"/>
        <v>2189180</v>
      </c>
      <c r="T967" s="26">
        <f ca="1">IFERROR(__xludf.DUMMYFUNCTION("ROUND(GOOGLEFINANCE(""Currency:EURKZT"")*L967+S967)"),2479542)</f>
        <v>2479542</v>
      </c>
      <c r="U967" s="26">
        <f ca="1">IFERROR(__xludf.DUMMYFUNCTION("D967*GOOGLEFINANCE(""RUBKZT"")*1000/F967"),2764319.93509248)</f>
        <v>2764319.9350924799</v>
      </c>
      <c r="V967" s="27">
        <f t="shared" ca="1" si="792"/>
        <v>0.11485102292781486</v>
      </c>
    </row>
    <row r="968" spans="1:22" ht="12.75" customHeight="1" x14ac:dyDescent="0.2">
      <c r="A968" s="6" t="s">
        <v>61</v>
      </c>
      <c r="B968" s="6" t="s">
        <v>32</v>
      </c>
      <c r="C968" s="7">
        <v>10120901</v>
      </c>
      <c r="D968" s="8">
        <v>7438.7999999999993</v>
      </c>
      <c r="E968" s="9" t="s">
        <v>16</v>
      </c>
      <c r="F968" s="23">
        <v>20</v>
      </c>
      <c r="G968" s="25"/>
      <c r="H968" s="14">
        <f t="shared" si="786"/>
        <v>0.55000000000000004</v>
      </c>
      <c r="I968" s="25">
        <f ca="1">IFERROR(__xludf.DUMMYFUNCTION("ROUND(D968*GOOGLEFINANCE(""RUBKZT"")*H968)"),31927)</f>
        <v>31927</v>
      </c>
      <c r="J968" s="26">
        <f ca="1">IFERROR(__xludf.DUMMYFUNCTION("ROUND(I968*GOOGLEFINANCE(""KZTEUR""))"),67)</f>
        <v>67</v>
      </c>
      <c r="K968" s="26">
        <f t="shared" ca="1" si="787"/>
        <v>3350</v>
      </c>
      <c r="L968" s="26">
        <f t="shared" ca="1" si="788"/>
        <v>636.5</v>
      </c>
      <c r="M968" s="26">
        <f t="shared" ref="M968:N968" si="990">M$3</f>
        <v>500</v>
      </c>
      <c r="N968" s="26">
        <f t="shared" si="990"/>
        <v>500</v>
      </c>
      <c r="O968" s="26">
        <f ca="1">IFERROR(__xludf.DUMMYFUNCTION("ROUND(GOOGLEFINANCE(""Currency:EURKZT"")*K968)"),1599858)</f>
        <v>1599858</v>
      </c>
      <c r="P968" s="26">
        <f ca="1">IFERROR(__xludf.DUMMYFUNCTION("ROUND(GOOGLEFINANCE(""Currency:EURKZT"")*M968)"),238785)</f>
        <v>238785</v>
      </c>
      <c r="Q968" s="26">
        <f ca="1">IFERROR(__xludf.DUMMYFUNCTION("ROUND(GOOGLEFINANCE(""Currency:EURKZT"")*N968)"),238785)</f>
        <v>238785</v>
      </c>
      <c r="R968" s="26">
        <f t="shared" ca="1" si="790"/>
        <v>191983</v>
      </c>
      <c r="S968" s="26">
        <f t="shared" ca="1" si="791"/>
        <v>2269411</v>
      </c>
      <c r="T968" s="26">
        <f ca="1">IFERROR(__xludf.DUMMYFUNCTION("ROUND(GOOGLEFINANCE(""Currency:EURKZT"")*L968+S968)"),2573384)</f>
        <v>2573384</v>
      </c>
      <c r="U968" s="26">
        <f ca="1">IFERROR(__xludf.DUMMYFUNCTION("D968*GOOGLEFINANCE(""RUBKZT"")*1000/F968"),2902442.28957288)</f>
        <v>2902442.2895728801</v>
      </c>
      <c r="V968" s="27">
        <f t="shared" ca="1" si="792"/>
        <v>0.12786987467586655</v>
      </c>
    </row>
    <row r="969" spans="1:22" ht="12.75" customHeight="1" x14ac:dyDescent="0.2">
      <c r="A969" s="6" t="s">
        <v>649</v>
      </c>
      <c r="B969" s="6" t="s">
        <v>32</v>
      </c>
      <c r="C969" s="7">
        <v>10260901</v>
      </c>
      <c r="D969" s="8">
        <v>8743.1999999999989</v>
      </c>
      <c r="E969" s="9" t="s">
        <v>16</v>
      </c>
      <c r="F969" s="23">
        <v>20</v>
      </c>
      <c r="G969" s="25"/>
      <c r="H969" s="14">
        <f t="shared" si="786"/>
        <v>0.55000000000000004</v>
      </c>
      <c r="I969" s="25">
        <f ca="1">IFERROR(__xludf.DUMMYFUNCTION("ROUND(D969*GOOGLEFINANCE(""RUBKZT"")*H969)"),37525)</f>
        <v>37525</v>
      </c>
      <c r="J969" s="26">
        <f ca="1">IFERROR(__xludf.DUMMYFUNCTION("ROUND(I969*GOOGLEFINANCE(""KZTEUR""))"),79)</f>
        <v>79</v>
      </c>
      <c r="K969" s="26">
        <f t="shared" ca="1" si="787"/>
        <v>3950</v>
      </c>
      <c r="L969" s="26">
        <f t="shared" ca="1" si="788"/>
        <v>750.5</v>
      </c>
      <c r="M969" s="26">
        <f t="shared" ref="M969:N969" si="991">M$3</f>
        <v>500</v>
      </c>
      <c r="N969" s="26">
        <f t="shared" si="991"/>
        <v>500</v>
      </c>
      <c r="O969" s="26">
        <f ca="1">IFERROR(__xludf.DUMMYFUNCTION("ROUND(GOOGLEFINANCE(""Currency:EURKZT"")*K969)"),1886400)</f>
        <v>1886400</v>
      </c>
      <c r="P969" s="26">
        <f ca="1">IFERROR(__xludf.DUMMYFUNCTION("ROUND(GOOGLEFINANCE(""Currency:EURKZT"")*M969)"),238785)</f>
        <v>238785</v>
      </c>
      <c r="Q969" s="26">
        <f ca="1">IFERROR(__xludf.DUMMYFUNCTION("ROUND(GOOGLEFINANCE(""Currency:EURKZT"")*N969)"),238785)</f>
        <v>238785</v>
      </c>
      <c r="R969" s="26">
        <f t="shared" ca="1" si="790"/>
        <v>226368</v>
      </c>
      <c r="S969" s="26">
        <f t="shared" ca="1" si="791"/>
        <v>2590338</v>
      </c>
      <c r="T969" s="26">
        <f ca="1">IFERROR(__xludf.DUMMYFUNCTION("ROUND(GOOGLEFINANCE(""Currency:EURKZT"")*L969+S969)"),2948754)</f>
        <v>2948754</v>
      </c>
      <c r="U969" s="26">
        <f ca="1">IFERROR(__xludf.DUMMYFUNCTION("D969*GOOGLEFINANCE(""RUBKZT"")*1000/F969"),3411388.04998032)</f>
        <v>3411388.04998032</v>
      </c>
      <c r="V969" s="27">
        <f t="shared" ca="1" si="792"/>
        <v>0.15689136834755291</v>
      </c>
    </row>
    <row r="970" spans="1:22" ht="12.75" customHeight="1" x14ac:dyDescent="0.2">
      <c r="A970" s="6" t="s">
        <v>137</v>
      </c>
      <c r="B970" s="6" t="s">
        <v>32</v>
      </c>
      <c r="C970" s="7">
        <v>10270901</v>
      </c>
      <c r="D970" s="8">
        <v>7831.2</v>
      </c>
      <c r="E970" s="9" t="s">
        <v>16</v>
      </c>
      <c r="F970" s="23">
        <v>20</v>
      </c>
      <c r="G970" s="25"/>
      <c r="H970" s="14">
        <f t="shared" si="786"/>
        <v>0.55000000000000004</v>
      </c>
      <c r="I970" s="25">
        <f ca="1">IFERROR(__xludf.DUMMYFUNCTION("ROUND(D970*GOOGLEFINANCE(""RUBKZT"")*H970)"),33611)</f>
        <v>33611</v>
      </c>
      <c r="J970" s="26">
        <f ca="1">IFERROR(__xludf.DUMMYFUNCTION("ROUND(I970*GOOGLEFINANCE(""KZTEUR""))"),70)</f>
        <v>70</v>
      </c>
      <c r="K970" s="26">
        <f t="shared" ca="1" si="787"/>
        <v>3500</v>
      </c>
      <c r="L970" s="26">
        <f t="shared" ca="1" si="788"/>
        <v>665</v>
      </c>
      <c r="M970" s="26">
        <f t="shared" ref="M970:N970" si="992">M$3</f>
        <v>500</v>
      </c>
      <c r="N970" s="26">
        <f t="shared" si="992"/>
        <v>500</v>
      </c>
      <c r="O970" s="26">
        <f ca="1">IFERROR(__xludf.DUMMYFUNCTION("ROUND(GOOGLEFINANCE(""Currency:EURKZT"")*K970)"),1671494)</f>
        <v>1671494</v>
      </c>
      <c r="P970" s="26">
        <f ca="1">IFERROR(__xludf.DUMMYFUNCTION("ROUND(GOOGLEFINANCE(""Currency:EURKZT"")*M970)"),238785)</f>
        <v>238785</v>
      </c>
      <c r="Q970" s="26">
        <f ca="1">IFERROR(__xludf.DUMMYFUNCTION("ROUND(GOOGLEFINANCE(""Currency:EURKZT"")*N970)"),238785)</f>
        <v>238785</v>
      </c>
      <c r="R970" s="26">
        <f t="shared" ca="1" si="790"/>
        <v>200579</v>
      </c>
      <c r="S970" s="26">
        <f t="shared" ca="1" si="791"/>
        <v>2349643</v>
      </c>
      <c r="T970" s="26">
        <f ca="1">IFERROR(__xludf.DUMMYFUNCTION("ROUND(GOOGLEFINANCE(""Currency:EURKZT"")*L970+S970)"),2667227)</f>
        <v>2667227</v>
      </c>
      <c r="U970" s="26">
        <f ca="1">IFERROR(__xludf.DUMMYFUNCTION("D970*GOOGLEFINANCE(""RUBKZT"")*1000/F970"),3055547.40792912)</f>
        <v>3055547.4079291201</v>
      </c>
      <c r="V970" s="27">
        <f t="shared" ca="1" si="792"/>
        <v>0.14558956096692188</v>
      </c>
    </row>
    <row r="971" spans="1:22" ht="12.75" customHeight="1" x14ac:dyDescent="0.2">
      <c r="A971" s="6" t="s">
        <v>137</v>
      </c>
      <c r="B971" s="6" t="s">
        <v>32</v>
      </c>
      <c r="C971" s="7">
        <v>113430</v>
      </c>
      <c r="D971" s="8">
        <v>7831.2</v>
      </c>
      <c r="E971" s="9" t="s">
        <v>16</v>
      </c>
      <c r="F971" s="23">
        <v>20</v>
      </c>
      <c r="G971" s="25"/>
      <c r="H971" s="14">
        <f t="shared" si="786"/>
        <v>0.55000000000000004</v>
      </c>
      <c r="I971" s="25">
        <f ca="1">IFERROR(__xludf.DUMMYFUNCTION("ROUND(D971*GOOGLEFINANCE(""RUBKZT"")*H971)"),33611)</f>
        <v>33611</v>
      </c>
      <c r="J971" s="26">
        <f ca="1">IFERROR(__xludf.DUMMYFUNCTION("ROUND(I971*GOOGLEFINANCE(""KZTEUR""))"),70)</f>
        <v>70</v>
      </c>
      <c r="K971" s="26">
        <f t="shared" ca="1" si="787"/>
        <v>3500</v>
      </c>
      <c r="L971" s="26">
        <f t="shared" ca="1" si="788"/>
        <v>665</v>
      </c>
      <c r="M971" s="26">
        <f t="shared" ref="M971:N971" si="993">M$3</f>
        <v>500</v>
      </c>
      <c r="N971" s="26">
        <f t="shared" si="993"/>
        <v>500</v>
      </c>
      <c r="O971" s="26">
        <f ca="1">IFERROR(__xludf.DUMMYFUNCTION("ROUND(GOOGLEFINANCE(""Currency:EURKZT"")*K971)"),1671494)</f>
        <v>1671494</v>
      </c>
      <c r="P971" s="26">
        <f ca="1">IFERROR(__xludf.DUMMYFUNCTION("ROUND(GOOGLEFINANCE(""Currency:EURKZT"")*M971)"),238785)</f>
        <v>238785</v>
      </c>
      <c r="Q971" s="26">
        <f ca="1">IFERROR(__xludf.DUMMYFUNCTION("ROUND(GOOGLEFINANCE(""Currency:EURKZT"")*N971)"),238785)</f>
        <v>238785</v>
      </c>
      <c r="R971" s="26">
        <f t="shared" ca="1" si="790"/>
        <v>200579</v>
      </c>
      <c r="S971" s="26">
        <f t="shared" ca="1" si="791"/>
        <v>2349643</v>
      </c>
      <c r="T971" s="26">
        <f ca="1">IFERROR(__xludf.DUMMYFUNCTION("ROUND(GOOGLEFINANCE(""Currency:EURKZT"")*L971+S971)"),2667227)</f>
        <v>2667227</v>
      </c>
      <c r="U971" s="26">
        <f ca="1">IFERROR(__xludf.DUMMYFUNCTION("D971*GOOGLEFINANCE(""RUBKZT"")*1000/F971"),3055547.40792912)</f>
        <v>3055547.4079291201</v>
      </c>
      <c r="V971" s="27">
        <f t="shared" ca="1" si="792"/>
        <v>0.14558956096692188</v>
      </c>
    </row>
    <row r="972" spans="1:22" ht="12.75" customHeight="1" x14ac:dyDescent="0.2">
      <c r="A972" s="6" t="s">
        <v>650</v>
      </c>
      <c r="B972" s="6" t="s">
        <v>32</v>
      </c>
      <c r="C972" s="7">
        <v>10460901</v>
      </c>
      <c r="D972" s="8">
        <v>6520.8</v>
      </c>
      <c r="E972" s="9" t="s">
        <v>16</v>
      </c>
      <c r="F972" s="23">
        <v>20</v>
      </c>
      <c r="G972" s="25"/>
      <c r="H972" s="14">
        <f t="shared" si="786"/>
        <v>0.55000000000000004</v>
      </c>
      <c r="I972" s="25">
        <f ca="1">IFERROR(__xludf.DUMMYFUNCTION("ROUND(D972*GOOGLEFINANCE(""RUBKZT"")*H972)"),27987)</f>
        <v>27987</v>
      </c>
      <c r="J972" s="26">
        <f ca="1">IFERROR(__xludf.DUMMYFUNCTION("ROUND(I972*GOOGLEFINANCE(""KZTEUR""))"),59)</f>
        <v>59</v>
      </c>
      <c r="K972" s="26">
        <f t="shared" ca="1" si="787"/>
        <v>2950</v>
      </c>
      <c r="L972" s="26">
        <f t="shared" ca="1" si="788"/>
        <v>560.5</v>
      </c>
      <c r="M972" s="26">
        <f t="shared" ref="M972:N972" si="994">M$3</f>
        <v>500</v>
      </c>
      <c r="N972" s="26">
        <f t="shared" si="994"/>
        <v>500</v>
      </c>
      <c r="O972" s="26">
        <f ca="1">IFERROR(__xludf.DUMMYFUNCTION("ROUND(GOOGLEFINANCE(""Currency:EURKZT"")*K972)"),1408830)</f>
        <v>1408830</v>
      </c>
      <c r="P972" s="26">
        <f ca="1">IFERROR(__xludf.DUMMYFUNCTION("ROUND(GOOGLEFINANCE(""Currency:EURKZT"")*M972)"),238785)</f>
        <v>238785</v>
      </c>
      <c r="Q972" s="26">
        <f ca="1">IFERROR(__xludf.DUMMYFUNCTION("ROUND(GOOGLEFINANCE(""Currency:EURKZT"")*N972)"),238785)</f>
        <v>238785</v>
      </c>
      <c r="R972" s="26">
        <f t="shared" ca="1" si="790"/>
        <v>169060</v>
      </c>
      <c r="S972" s="26">
        <f t="shared" ca="1" si="791"/>
        <v>2055460</v>
      </c>
      <c r="T972" s="26">
        <f ca="1">IFERROR(__xludf.DUMMYFUNCTION("ROUND(GOOGLEFINANCE(""Currency:EURKZT"")*L972+S972)"),2323138)</f>
        <v>2323138</v>
      </c>
      <c r="U972" s="26">
        <f ca="1">IFERROR(__xludf.DUMMYFUNCTION("D972*GOOGLEFINANCE(""RUBKZT"")*1000/F972"),2544260.59066608)</f>
        <v>2544260.5906660799</v>
      </c>
      <c r="V972" s="27">
        <f t="shared" ca="1" si="792"/>
        <v>9.5182718661603355E-2</v>
      </c>
    </row>
    <row r="973" spans="1:22" ht="12.75" customHeight="1" x14ac:dyDescent="0.2">
      <c r="A973" s="6" t="s">
        <v>651</v>
      </c>
      <c r="B973" s="6" t="s">
        <v>32</v>
      </c>
      <c r="C973" s="7">
        <v>10520901</v>
      </c>
      <c r="D973" s="8">
        <v>7290</v>
      </c>
      <c r="E973" s="9" t="s">
        <v>16</v>
      </c>
      <c r="F973" s="23">
        <v>20</v>
      </c>
      <c r="G973" s="25"/>
      <c r="H973" s="14">
        <f t="shared" si="786"/>
        <v>0.55000000000000004</v>
      </c>
      <c r="I973" s="25">
        <f ca="1">IFERROR(__xludf.DUMMYFUNCTION("ROUND(D973*GOOGLEFINANCE(""RUBKZT"")*H973)"),31288)</f>
        <v>31288</v>
      </c>
      <c r="J973" s="26">
        <f ca="1">IFERROR(__xludf.DUMMYFUNCTION("ROUND(I973*GOOGLEFINANCE(""KZTEUR""))"),66)</f>
        <v>66</v>
      </c>
      <c r="K973" s="26">
        <f t="shared" ca="1" si="787"/>
        <v>3300</v>
      </c>
      <c r="L973" s="26">
        <f t="shared" ca="1" si="788"/>
        <v>627</v>
      </c>
      <c r="M973" s="26">
        <f t="shared" ref="M973:N973" si="995">M$3</f>
        <v>500</v>
      </c>
      <c r="N973" s="26">
        <f t="shared" si="995"/>
        <v>500</v>
      </c>
      <c r="O973" s="26">
        <f ca="1">IFERROR(__xludf.DUMMYFUNCTION("ROUND(GOOGLEFINANCE(""Currency:EURKZT"")*K973)"),1575980)</f>
        <v>1575980</v>
      </c>
      <c r="P973" s="26">
        <f ca="1">IFERROR(__xludf.DUMMYFUNCTION("ROUND(GOOGLEFINANCE(""Currency:EURKZT"")*M973)"),238785)</f>
        <v>238785</v>
      </c>
      <c r="Q973" s="26">
        <f ca="1">IFERROR(__xludf.DUMMYFUNCTION("ROUND(GOOGLEFINANCE(""Currency:EURKZT"")*N973)"),238785)</f>
        <v>238785</v>
      </c>
      <c r="R973" s="26">
        <f t="shared" ca="1" si="790"/>
        <v>189118</v>
      </c>
      <c r="S973" s="26">
        <f t="shared" ca="1" si="791"/>
        <v>2242668</v>
      </c>
      <c r="T973" s="26">
        <f ca="1">IFERROR(__xludf.DUMMYFUNCTION("ROUND(GOOGLEFINANCE(""Currency:EURKZT"")*L973+S973)"),2542104)</f>
        <v>2542104</v>
      </c>
      <c r="U973" s="26">
        <f ca="1">IFERROR(__xludf.DUMMYFUNCTION("D973*GOOGLEFINANCE(""RUBKZT"")*1000/F973"),2844384.079554)</f>
        <v>2844384.0795539999</v>
      </c>
      <c r="V973" s="27">
        <f t="shared" ca="1" si="792"/>
        <v>0.11890940715014017</v>
      </c>
    </row>
    <row r="974" spans="1:22" ht="12.75" customHeight="1" x14ac:dyDescent="0.2">
      <c r="A974" s="6" t="s">
        <v>653</v>
      </c>
      <c r="B974" s="6" t="s">
        <v>32</v>
      </c>
      <c r="C974" s="7">
        <v>10550901</v>
      </c>
      <c r="D974" s="8">
        <v>7650</v>
      </c>
      <c r="E974" s="9" t="s">
        <v>16</v>
      </c>
      <c r="F974" s="23">
        <v>20</v>
      </c>
      <c r="G974" s="25"/>
      <c r="H974" s="14">
        <f t="shared" si="786"/>
        <v>0.55000000000000004</v>
      </c>
      <c r="I974" s="25">
        <f ca="1">IFERROR(__xludf.DUMMYFUNCTION("ROUND(D974*GOOGLEFINANCE(""RUBKZT"")*H974)"),32833)</f>
        <v>32833</v>
      </c>
      <c r="J974" s="26">
        <f ca="1">IFERROR(__xludf.DUMMYFUNCTION("ROUND(I974*GOOGLEFINANCE(""KZTEUR""))"),69)</f>
        <v>69</v>
      </c>
      <c r="K974" s="26">
        <f t="shared" ca="1" si="787"/>
        <v>3450</v>
      </c>
      <c r="L974" s="26">
        <f t="shared" ca="1" si="788"/>
        <v>655.5</v>
      </c>
      <c r="M974" s="26">
        <f t="shared" ref="M974:N974" si="996">M$3</f>
        <v>500</v>
      </c>
      <c r="N974" s="26">
        <f t="shared" si="996"/>
        <v>500</v>
      </c>
      <c r="O974" s="26">
        <f ca="1">IFERROR(__xludf.DUMMYFUNCTION("ROUND(GOOGLEFINANCE(""Currency:EURKZT"")*K974)"),1647615)</f>
        <v>1647615</v>
      </c>
      <c r="P974" s="26">
        <f ca="1">IFERROR(__xludf.DUMMYFUNCTION("ROUND(GOOGLEFINANCE(""Currency:EURKZT"")*M974)"),238785)</f>
        <v>238785</v>
      </c>
      <c r="Q974" s="26">
        <f ca="1">IFERROR(__xludf.DUMMYFUNCTION("ROUND(GOOGLEFINANCE(""Currency:EURKZT"")*N974)"),238785)</f>
        <v>238785</v>
      </c>
      <c r="R974" s="26">
        <f t="shared" ca="1" si="790"/>
        <v>197714</v>
      </c>
      <c r="S974" s="26">
        <f t="shared" ca="1" si="791"/>
        <v>2322899</v>
      </c>
      <c r="T974" s="26">
        <f ca="1">IFERROR(__xludf.DUMMYFUNCTION("ROUND(GOOGLEFINANCE(""Currency:EURKZT"")*L974+S974)"),2635946)</f>
        <v>2635946</v>
      </c>
      <c r="U974" s="26">
        <f ca="1">IFERROR(__xludf.DUMMYFUNCTION("D974*GOOGLEFINANCE(""RUBKZT"")*1000/F974"),2984847.49089)</f>
        <v>2984847.49089</v>
      </c>
      <c r="V974" s="27">
        <f t="shared" ca="1" si="792"/>
        <v>0.13236291293144853</v>
      </c>
    </row>
    <row r="975" spans="1:22" ht="12.75" customHeight="1" x14ac:dyDescent="0.2">
      <c r="A975" s="6" t="s">
        <v>654</v>
      </c>
      <c r="B975" s="6" t="s">
        <v>32</v>
      </c>
      <c r="C975" s="7">
        <v>10780901</v>
      </c>
      <c r="D975" s="8">
        <v>6956.4</v>
      </c>
      <c r="E975" s="9" t="s">
        <v>16</v>
      </c>
      <c r="F975" s="23">
        <v>20</v>
      </c>
      <c r="G975" s="25"/>
      <c r="H975" s="14">
        <f t="shared" si="786"/>
        <v>0.55000000000000004</v>
      </c>
      <c r="I975" s="25">
        <f ca="1">IFERROR(__xludf.DUMMYFUNCTION("ROUND(D975*GOOGLEFINANCE(""RUBKZT"")*H975)"),29856)</f>
        <v>29856</v>
      </c>
      <c r="J975" s="26">
        <f ca="1">IFERROR(__xludf.DUMMYFUNCTION("ROUND(I975*GOOGLEFINANCE(""KZTEUR""))"),63)</f>
        <v>63</v>
      </c>
      <c r="K975" s="26">
        <f t="shared" ca="1" si="787"/>
        <v>3150</v>
      </c>
      <c r="L975" s="26">
        <f t="shared" ca="1" si="788"/>
        <v>598.5</v>
      </c>
      <c r="M975" s="26">
        <f t="shared" ref="M975:N975" si="997">M$3</f>
        <v>500</v>
      </c>
      <c r="N975" s="26">
        <f t="shared" si="997"/>
        <v>500</v>
      </c>
      <c r="O975" s="26">
        <f ca="1">IFERROR(__xludf.DUMMYFUNCTION("ROUND(GOOGLEFINANCE(""Currency:EURKZT"")*K975)"),1504344)</f>
        <v>1504344</v>
      </c>
      <c r="P975" s="26">
        <f ca="1">IFERROR(__xludf.DUMMYFUNCTION("ROUND(GOOGLEFINANCE(""Currency:EURKZT"")*M975)"),238785)</f>
        <v>238785</v>
      </c>
      <c r="Q975" s="26">
        <f ca="1">IFERROR(__xludf.DUMMYFUNCTION("ROUND(GOOGLEFINANCE(""Currency:EURKZT"")*N975)"),238785)</f>
        <v>238785</v>
      </c>
      <c r="R975" s="26">
        <f t="shared" ca="1" si="790"/>
        <v>180521</v>
      </c>
      <c r="S975" s="26">
        <f t="shared" ca="1" si="791"/>
        <v>2162435</v>
      </c>
      <c r="T975" s="26">
        <f ca="1">IFERROR(__xludf.DUMMYFUNCTION("ROUND(GOOGLEFINANCE(""Currency:EURKZT"")*L975+S975)"),2448260)</f>
        <v>2448260</v>
      </c>
      <c r="U975" s="26">
        <f ca="1">IFERROR(__xludf.DUMMYFUNCTION("D975*GOOGLEFINANCE(""RUBKZT"")*1000/F975"),2714221.31838264)</f>
        <v>2714221.3183826399</v>
      </c>
      <c r="V975" s="27">
        <f t="shared" ca="1" si="792"/>
        <v>0.10863279160817883</v>
      </c>
    </row>
    <row r="976" spans="1:22" ht="12.75" customHeight="1" x14ac:dyDescent="0.2">
      <c r="A976" s="6" t="s">
        <v>197</v>
      </c>
      <c r="B976" s="6" t="s">
        <v>32</v>
      </c>
      <c r="C976" s="7">
        <v>10470901</v>
      </c>
      <c r="D976" s="8">
        <v>9421.1999999999989</v>
      </c>
      <c r="E976" s="9" t="s">
        <v>16</v>
      </c>
      <c r="F976" s="23">
        <v>20</v>
      </c>
      <c r="G976" s="25"/>
      <c r="H976" s="14">
        <f t="shared" si="786"/>
        <v>0.55000000000000004</v>
      </c>
      <c r="I976" s="25">
        <f ca="1">IFERROR(__xludf.DUMMYFUNCTION("ROUND(D976*GOOGLEFINANCE(""RUBKZT"")*H976)"),40435)</f>
        <v>40435</v>
      </c>
      <c r="J976" s="26">
        <f ca="1">IFERROR(__xludf.DUMMYFUNCTION("ROUND(I976*GOOGLEFINANCE(""KZTEUR""))"),85)</f>
        <v>85</v>
      </c>
      <c r="K976" s="26">
        <f t="shared" ca="1" si="787"/>
        <v>4250</v>
      </c>
      <c r="L976" s="26">
        <f t="shared" ca="1" si="788"/>
        <v>807.5</v>
      </c>
      <c r="M976" s="26">
        <f t="shared" ref="M976:N976" si="998">M$3</f>
        <v>500</v>
      </c>
      <c r="N976" s="26">
        <f t="shared" si="998"/>
        <v>500</v>
      </c>
      <c r="O976" s="26">
        <f ca="1">IFERROR(__xludf.DUMMYFUNCTION("ROUND(GOOGLEFINANCE(""Currency:EURKZT"")*K976)"),2029671)</f>
        <v>2029671</v>
      </c>
      <c r="P976" s="26">
        <f ca="1">IFERROR(__xludf.DUMMYFUNCTION("ROUND(GOOGLEFINANCE(""Currency:EURKZT"")*M976)"),238785)</f>
        <v>238785</v>
      </c>
      <c r="Q976" s="26">
        <f ca="1">IFERROR(__xludf.DUMMYFUNCTION("ROUND(GOOGLEFINANCE(""Currency:EURKZT"")*N976)"),238785)</f>
        <v>238785</v>
      </c>
      <c r="R976" s="26">
        <f t="shared" ca="1" si="790"/>
        <v>243561</v>
      </c>
      <c r="S976" s="26">
        <f t="shared" ca="1" si="791"/>
        <v>2750802</v>
      </c>
      <c r="T976" s="26">
        <f ca="1">IFERROR(__xludf.DUMMYFUNCTION("ROUND(GOOGLEFINANCE(""Currency:EURKZT"")*L976+S976)"),3136439)</f>
        <v>3136439</v>
      </c>
      <c r="U976" s="26">
        <f ca="1">IFERROR(__xludf.DUMMYFUNCTION("D976*GOOGLEFINANCE(""RUBKZT"")*1000/F976"),3675927.47466311)</f>
        <v>3675927.47466311</v>
      </c>
      <c r="V976" s="27">
        <f t="shared" ca="1" si="792"/>
        <v>0.17200668486239012</v>
      </c>
    </row>
    <row r="977" spans="1:22" ht="12.75" customHeight="1" x14ac:dyDescent="0.2">
      <c r="A977" s="6" t="s">
        <v>36</v>
      </c>
      <c r="B977" s="6" t="s">
        <v>32</v>
      </c>
      <c r="C977" s="7" t="s">
        <v>656</v>
      </c>
      <c r="D977" s="8">
        <v>6943.2</v>
      </c>
      <c r="E977" s="9" t="s">
        <v>16</v>
      </c>
      <c r="F977" s="23">
        <v>20</v>
      </c>
      <c r="G977" s="25"/>
      <c r="H977" s="14">
        <f t="shared" si="786"/>
        <v>0.55000000000000004</v>
      </c>
      <c r="I977" s="25">
        <f ca="1">IFERROR(__xludf.DUMMYFUNCTION("ROUND(D977*GOOGLEFINANCE(""RUBKZT"")*H977)"),29800)</f>
        <v>29800</v>
      </c>
      <c r="J977" s="26">
        <f ca="1">IFERROR(__xludf.DUMMYFUNCTION("ROUND(I977*GOOGLEFINANCE(""KZTEUR""))"),62)</f>
        <v>62</v>
      </c>
      <c r="K977" s="26">
        <f t="shared" ca="1" si="787"/>
        <v>3100</v>
      </c>
      <c r="L977" s="26">
        <f t="shared" ca="1" si="788"/>
        <v>589</v>
      </c>
      <c r="M977" s="26">
        <f t="shared" ref="M977:N977" si="999">M$3</f>
        <v>500</v>
      </c>
      <c r="N977" s="26">
        <f t="shared" si="999"/>
        <v>500</v>
      </c>
      <c r="O977" s="26">
        <f ca="1">IFERROR(__xludf.DUMMYFUNCTION("ROUND(GOOGLEFINANCE(""Currency:EURKZT"")*K977)"),1480466)</f>
        <v>1480466</v>
      </c>
      <c r="P977" s="26">
        <f ca="1">IFERROR(__xludf.DUMMYFUNCTION("ROUND(GOOGLEFINANCE(""Currency:EURKZT"")*M977)"),238785)</f>
        <v>238785</v>
      </c>
      <c r="Q977" s="26">
        <f ca="1">IFERROR(__xludf.DUMMYFUNCTION("ROUND(GOOGLEFINANCE(""Currency:EURKZT"")*N977)"),238785)</f>
        <v>238785</v>
      </c>
      <c r="R977" s="26">
        <f t="shared" ca="1" si="790"/>
        <v>177656</v>
      </c>
      <c r="S977" s="26">
        <f t="shared" ca="1" si="791"/>
        <v>2135692</v>
      </c>
      <c r="T977" s="26">
        <f ca="1">IFERROR(__xludf.DUMMYFUNCTION("ROUND(GOOGLEFINANCE(""Currency:EURKZT"")*L977+S977)"),2416981)</f>
        <v>2416981</v>
      </c>
      <c r="U977" s="26">
        <f ca="1">IFERROR(__xludf.DUMMYFUNCTION("D977*GOOGLEFINANCE(""RUBKZT"")*1000/F977"),2709070.99330031)</f>
        <v>2709070.9933003099</v>
      </c>
      <c r="V977" s="27">
        <f t="shared" ca="1" si="792"/>
        <v>0.12084910609570777</v>
      </c>
    </row>
    <row r="978" spans="1:22" ht="12.75" customHeight="1" x14ac:dyDescent="0.2">
      <c r="A978" s="6" t="s">
        <v>37</v>
      </c>
      <c r="B978" s="6" t="s">
        <v>32</v>
      </c>
      <c r="C978" s="7" t="s">
        <v>658</v>
      </c>
      <c r="D978" s="8">
        <v>6943.2</v>
      </c>
      <c r="E978" s="9" t="s">
        <v>16</v>
      </c>
      <c r="F978" s="23">
        <v>20</v>
      </c>
      <c r="G978" s="25"/>
      <c r="H978" s="14">
        <f t="shared" si="786"/>
        <v>0.55000000000000004</v>
      </c>
      <c r="I978" s="25">
        <f ca="1">IFERROR(__xludf.DUMMYFUNCTION("ROUND(D978*GOOGLEFINANCE(""RUBKZT"")*H978)"),29800)</f>
        <v>29800</v>
      </c>
      <c r="J978" s="26">
        <f ca="1">IFERROR(__xludf.DUMMYFUNCTION("ROUND(I978*GOOGLEFINANCE(""KZTEUR""))"),62)</f>
        <v>62</v>
      </c>
      <c r="K978" s="26">
        <f t="shared" ca="1" si="787"/>
        <v>3100</v>
      </c>
      <c r="L978" s="26">
        <f t="shared" ca="1" si="788"/>
        <v>589</v>
      </c>
      <c r="M978" s="26">
        <f t="shared" ref="M978:N978" si="1000">M$3</f>
        <v>500</v>
      </c>
      <c r="N978" s="26">
        <f t="shared" si="1000"/>
        <v>500</v>
      </c>
      <c r="O978" s="26">
        <f ca="1">IFERROR(__xludf.DUMMYFUNCTION("ROUND(GOOGLEFINANCE(""Currency:EURKZT"")*K978)"),1480466)</f>
        <v>1480466</v>
      </c>
      <c r="P978" s="26">
        <f ca="1">IFERROR(__xludf.DUMMYFUNCTION("ROUND(GOOGLEFINANCE(""Currency:EURKZT"")*M978)"),238785)</f>
        <v>238785</v>
      </c>
      <c r="Q978" s="26">
        <f ca="1">IFERROR(__xludf.DUMMYFUNCTION("ROUND(GOOGLEFINANCE(""Currency:EURKZT"")*N978)"),238785)</f>
        <v>238785</v>
      </c>
      <c r="R978" s="26">
        <f t="shared" ca="1" si="790"/>
        <v>177656</v>
      </c>
      <c r="S978" s="26">
        <f t="shared" ca="1" si="791"/>
        <v>2135692</v>
      </c>
      <c r="T978" s="26">
        <f ca="1">IFERROR(__xludf.DUMMYFUNCTION("ROUND(GOOGLEFINANCE(""Currency:EURKZT"")*L978+S978)"),2416981)</f>
        <v>2416981</v>
      </c>
      <c r="U978" s="26">
        <f ca="1">IFERROR(__xludf.DUMMYFUNCTION("D978*GOOGLEFINANCE(""RUBKZT"")*1000/F978"),2709070.99330031)</f>
        <v>2709070.9933003099</v>
      </c>
      <c r="V978" s="27">
        <f t="shared" ca="1" si="792"/>
        <v>0.12084910609570777</v>
      </c>
    </row>
    <row r="979" spans="1:22" ht="12.75" customHeight="1" x14ac:dyDescent="0.2">
      <c r="A979" s="6" t="s">
        <v>40</v>
      </c>
      <c r="B979" s="6" t="s">
        <v>32</v>
      </c>
      <c r="C979" s="7" t="s">
        <v>662</v>
      </c>
      <c r="D979" s="8">
        <v>10768.8</v>
      </c>
      <c r="E979" s="9" t="s">
        <v>16</v>
      </c>
      <c r="F979" s="23">
        <v>20</v>
      </c>
      <c r="G979" s="25"/>
      <c r="H979" s="14">
        <f t="shared" si="786"/>
        <v>0.55000000000000004</v>
      </c>
      <c r="I979" s="25">
        <f ca="1">IFERROR(__xludf.DUMMYFUNCTION("ROUND(D979*GOOGLEFINANCE(""RUBKZT"")*H979)"),46219)</f>
        <v>46219</v>
      </c>
      <c r="J979" s="26">
        <f ca="1">IFERROR(__xludf.DUMMYFUNCTION("ROUND(I979*GOOGLEFINANCE(""KZTEUR""))"),97)</f>
        <v>97</v>
      </c>
      <c r="K979" s="26">
        <f t="shared" ca="1" si="787"/>
        <v>4850</v>
      </c>
      <c r="L979" s="26">
        <f t="shared" ca="1" si="788"/>
        <v>921.5</v>
      </c>
      <c r="M979" s="26">
        <f t="shared" ref="M979:N979" si="1001">M$3</f>
        <v>500</v>
      </c>
      <c r="N979" s="26">
        <f t="shared" si="1001"/>
        <v>500</v>
      </c>
      <c r="O979" s="26">
        <f ca="1">IFERROR(__xludf.DUMMYFUNCTION("ROUND(GOOGLEFINANCE(""Currency:EURKZT"")*K979)"),2316213)</f>
        <v>2316213</v>
      </c>
      <c r="P979" s="26">
        <f ca="1">IFERROR(__xludf.DUMMYFUNCTION("ROUND(GOOGLEFINANCE(""Currency:EURKZT"")*M979)"),238785)</f>
        <v>238785</v>
      </c>
      <c r="Q979" s="26">
        <f ca="1">IFERROR(__xludf.DUMMYFUNCTION("ROUND(GOOGLEFINANCE(""Currency:EURKZT"")*N979)"),238785)</f>
        <v>238785</v>
      </c>
      <c r="R979" s="26">
        <f t="shared" ca="1" si="790"/>
        <v>277946</v>
      </c>
      <c r="S979" s="26">
        <f t="shared" ca="1" si="791"/>
        <v>3071729</v>
      </c>
      <c r="T979" s="26">
        <f ca="1">IFERROR(__xludf.DUMMYFUNCTION("ROUND(GOOGLEFINANCE(""Currency:EURKZT"")*L979+S979)"),3511809)</f>
        <v>3511809</v>
      </c>
      <c r="U979" s="26">
        <f ca="1">IFERROR(__xludf.DUMMYFUNCTION("D979*GOOGLEFINANCE(""RUBKZT"")*1000/F979"),4201728.84443088)</f>
        <v>4201728.8444308797</v>
      </c>
      <c r="V979" s="27">
        <f t="shared" ca="1" si="792"/>
        <v>0.19645710926501975</v>
      </c>
    </row>
    <row r="980" spans="1:22" ht="12.75" customHeight="1" x14ac:dyDescent="0.2">
      <c r="A980" s="6" t="s">
        <v>41</v>
      </c>
      <c r="B980" s="6" t="s">
        <v>32</v>
      </c>
      <c r="C980" s="7" t="s">
        <v>664</v>
      </c>
      <c r="D980" s="8">
        <v>10910.4</v>
      </c>
      <c r="E980" s="9" t="s">
        <v>16</v>
      </c>
      <c r="F980" s="23">
        <v>20</v>
      </c>
      <c r="G980" s="25"/>
      <c r="H980" s="14">
        <f t="shared" si="786"/>
        <v>0.55000000000000004</v>
      </c>
      <c r="I980" s="25">
        <f ca="1">IFERROR(__xludf.DUMMYFUNCTION("ROUND(D980*GOOGLEFINANCE(""RUBKZT"")*H980)"),46827)</f>
        <v>46827</v>
      </c>
      <c r="J980" s="26">
        <f ca="1">IFERROR(__xludf.DUMMYFUNCTION("ROUND(I980*GOOGLEFINANCE(""KZTEUR""))"),98)</f>
        <v>98</v>
      </c>
      <c r="K980" s="26">
        <f t="shared" ca="1" si="787"/>
        <v>4900</v>
      </c>
      <c r="L980" s="26">
        <f t="shared" ca="1" si="788"/>
        <v>931</v>
      </c>
      <c r="M980" s="26">
        <f t="shared" ref="M980:N980" si="1002">M$3</f>
        <v>500</v>
      </c>
      <c r="N980" s="26">
        <f t="shared" si="1002"/>
        <v>500</v>
      </c>
      <c r="O980" s="26">
        <f ca="1">IFERROR(__xludf.DUMMYFUNCTION("ROUND(GOOGLEFINANCE(""Currency:EURKZT"")*K980)"),2340091)</f>
        <v>2340091</v>
      </c>
      <c r="P980" s="26">
        <f ca="1">IFERROR(__xludf.DUMMYFUNCTION("ROUND(GOOGLEFINANCE(""Currency:EURKZT"")*M980)"),238785)</f>
        <v>238785</v>
      </c>
      <c r="Q980" s="26">
        <f ca="1">IFERROR(__xludf.DUMMYFUNCTION("ROUND(GOOGLEFINANCE(""Currency:EURKZT"")*N980)"),238785)</f>
        <v>238785</v>
      </c>
      <c r="R980" s="26">
        <f t="shared" ca="1" si="790"/>
        <v>280811</v>
      </c>
      <c r="S980" s="26">
        <f t="shared" ca="1" si="791"/>
        <v>3098472</v>
      </c>
      <c r="T980" s="26">
        <f ca="1">IFERROR(__xludf.DUMMYFUNCTION("ROUND(GOOGLEFINANCE(""Currency:EURKZT"")*L980+S980)"),3543089)</f>
        <v>3543089</v>
      </c>
      <c r="U980" s="26">
        <f ca="1">IFERROR(__xludf.DUMMYFUNCTION("D980*GOOGLEFINANCE(""RUBKZT"")*1000/F980"),4256977.78622304)</f>
        <v>4256977.78622304</v>
      </c>
      <c r="V980" s="27">
        <f t="shared" ca="1" si="792"/>
        <v>0.20148768101028225</v>
      </c>
    </row>
    <row r="981" spans="1:22" ht="12.75" customHeight="1" x14ac:dyDescent="0.2">
      <c r="A981" s="6" t="s">
        <v>244</v>
      </c>
      <c r="B981" s="6" t="s">
        <v>32</v>
      </c>
      <c r="C981" s="7" t="s">
        <v>674</v>
      </c>
      <c r="D981" s="8">
        <v>6943.2</v>
      </c>
      <c r="E981" s="9" t="s">
        <v>16</v>
      </c>
      <c r="F981" s="23">
        <v>20</v>
      </c>
      <c r="G981" s="25"/>
      <c r="H981" s="14">
        <f t="shared" si="786"/>
        <v>0.55000000000000004</v>
      </c>
      <c r="I981" s="25">
        <f ca="1">IFERROR(__xludf.DUMMYFUNCTION("ROUND(D981*GOOGLEFINANCE(""RUBKZT"")*H981)"),29800)</f>
        <v>29800</v>
      </c>
      <c r="J981" s="26">
        <f ca="1">IFERROR(__xludf.DUMMYFUNCTION("ROUND(I981*GOOGLEFINANCE(""KZTEUR""))"),62)</f>
        <v>62</v>
      </c>
      <c r="K981" s="26">
        <f t="shared" ca="1" si="787"/>
        <v>3100</v>
      </c>
      <c r="L981" s="26">
        <f t="shared" ca="1" si="788"/>
        <v>589</v>
      </c>
      <c r="M981" s="26">
        <f t="shared" ref="M981:N981" si="1003">M$3</f>
        <v>500</v>
      </c>
      <c r="N981" s="26">
        <f t="shared" si="1003"/>
        <v>500</v>
      </c>
      <c r="O981" s="26">
        <f ca="1">IFERROR(__xludf.DUMMYFUNCTION("ROUND(GOOGLEFINANCE(""Currency:EURKZT"")*K981)"),1480466)</f>
        <v>1480466</v>
      </c>
      <c r="P981" s="26">
        <f ca="1">IFERROR(__xludf.DUMMYFUNCTION("ROUND(GOOGLEFINANCE(""Currency:EURKZT"")*M981)"),238785)</f>
        <v>238785</v>
      </c>
      <c r="Q981" s="26">
        <f ca="1">IFERROR(__xludf.DUMMYFUNCTION("ROUND(GOOGLEFINANCE(""Currency:EURKZT"")*N981)"),238785)</f>
        <v>238785</v>
      </c>
      <c r="R981" s="26">
        <f t="shared" ca="1" si="790"/>
        <v>177656</v>
      </c>
      <c r="S981" s="26">
        <f t="shared" ca="1" si="791"/>
        <v>2135692</v>
      </c>
      <c r="T981" s="26">
        <f ca="1">IFERROR(__xludf.DUMMYFUNCTION("ROUND(GOOGLEFINANCE(""Currency:EURKZT"")*L981+S981)"),2416981)</f>
        <v>2416981</v>
      </c>
      <c r="U981" s="26">
        <f ca="1">IFERROR(__xludf.DUMMYFUNCTION("D981*GOOGLEFINANCE(""RUBKZT"")*1000/F981"),2709070.99330031)</f>
        <v>2709070.9933003099</v>
      </c>
      <c r="V981" s="27">
        <f t="shared" ca="1" si="792"/>
        <v>0.12084910609570777</v>
      </c>
    </row>
    <row r="982" spans="1:22" ht="12.75" customHeight="1" x14ac:dyDescent="0.2">
      <c r="A982" s="6" t="s">
        <v>681</v>
      </c>
      <c r="B982" s="6" t="s">
        <v>32</v>
      </c>
      <c r="C982" s="7" t="s">
        <v>683</v>
      </c>
      <c r="D982" s="8">
        <v>8182.7999999999993</v>
      </c>
      <c r="E982" s="9" t="s">
        <v>16</v>
      </c>
      <c r="F982" s="23">
        <v>20</v>
      </c>
      <c r="G982" s="25"/>
      <c r="H982" s="14">
        <f t="shared" si="786"/>
        <v>0.55000000000000004</v>
      </c>
      <c r="I982" s="25">
        <f ca="1">IFERROR(__xludf.DUMMYFUNCTION("ROUND(D982*GOOGLEFINANCE(""RUBKZT"")*H982)"),35120)</f>
        <v>35120</v>
      </c>
      <c r="J982" s="26">
        <f ca="1">IFERROR(__xludf.DUMMYFUNCTION("ROUND(I982*GOOGLEFINANCE(""KZTEUR""))"),74)</f>
        <v>74</v>
      </c>
      <c r="K982" s="26">
        <f t="shared" ca="1" si="787"/>
        <v>3700</v>
      </c>
      <c r="L982" s="26">
        <f t="shared" ca="1" si="788"/>
        <v>703</v>
      </c>
      <c r="M982" s="26">
        <f t="shared" ref="M982:N982" si="1004">M$3</f>
        <v>500</v>
      </c>
      <c r="N982" s="26">
        <f t="shared" si="1004"/>
        <v>500</v>
      </c>
      <c r="O982" s="26">
        <f ca="1">IFERROR(__xludf.DUMMYFUNCTION("ROUND(GOOGLEFINANCE(""Currency:EURKZT"")*K982)"),1767008)</f>
        <v>1767008</v>
      </c>
      <c r="P982" s="26">
        <f ca="1">IFERROR(__xludf.DUMMYFUNCTION("ROUND(GOOGLEFINANCE(""Currency:EURKZT"")*M982)"),238785)</f>
        <v>238785</v>
      </c>
      <c r="Q982" s="26">
        <f ca="1">IFERROR(__xludf.DUMMYFUNCTION("ROUND(GOOGLEFINANCE(""Currency:EURKZT"")*N982)"),238785)</f>
        <v>238785</v>
      </c>
      <c r="R982" s="26">
        <f t="shared" ca="1" si="790"/>
        <v>212041</v>
      </c>
      <c r="S982" s="26">
        <f t="shared" ca="1" si="791"/>
        <v>2456619</v>
      </c>
      <c r="T982" s="26">
        <f ca="1">IFERROR(__xludf.DUMMYFUNCTION("ROUND(GOOGLEFINANCE(""Currency:EURKZT"")*L982+S982)"),2792350)</f>
        <v>2792350</v>
      </c>
      <c r="U982" s="26">
        <f ca="1">IFERROR(__xludf.DUMMYFUNCTION("D982*GOOGLEFINANCE(""RUBKZT"")*1000/F982"),3192733.33966728)</f>
        <v>3192733.3396672802</v>
      </c>
      <c r="V982" s="27">
        <f t="shared" ca="1" si="792"/>
        <v>0.14338580037147214</v>
      </c>
    </row>
    <row r="983" spans="1:22" ht="12.75" customHeight="1" x14ac:dyDescent="0.2">
      <c r="A983" s="6" t="s">
        <v>35</v>
      </c>
      <c r="B983" s="6" t="s">
        <v>32</v>
      </c>
      <c r="C983" s="7">
        <v>166505</v>
      </c>
      <c r="D983" s="8">
        <v>9196.7999999999993</v>
      </c>
      <c r="E983" s="9" t="s">
        <v>16</v>
      </c>
      <c r="F983" s="23">
        <v>20</v>
      </c>
      <c r="G983" s="25"/>
      <c r="H983" s="14">
        <f t="shared" si="786"/>
        <v>0.55000000000000004</v>
      </c>
      <c r="I983" s="25">
        <f ca="1">IFERROR(__xludf.DUMMYFUNCTION("ROUND(D983*GOOGLEFINANCE(""RUBKZT"")*H983)"),39472)</f>
        <v>39472</v>
      </c>
      <c r="J983" s="26">
        <f ca="1">IFERROR(__xludf.DUMMYFUNCTION("ROUND(I983*GOOGLEFINANCE(""KZTEUR""))"),83)</f>
        <v>83</v>
      </c>
      <c r="K983" s="26">
        <f t="shared" ca="1" si="787"/>
        <v>4150</v>
      </c>
      <c r="L983" s="26">
        <f t="shared" ca="1" si="788"/>
        <v>788.5</v>
      </c>
      <c r="M983" s="26">
        <f t="shared" ref="M983:N983" si="1005">M$3</f>
        <v>500</v>
      </c>
      <c r="N983" s="26">
        <f t="shared" si="1005"/>
        <v>500</v>
      </c>
      <c r="O983" s="26">
        <f ca="1">IFERROR(__xludf.DUMMYFUNCTION("ROUND(GOOGLEFINANCE(""Currency:EURKZT"")*K983)"),1981914)</f>
        <v>1981914</v>
      </c>
      <c r="P983" s="26">
        <f ca="1">IFERROR(__xludf.DUMMYFUNCTION("ROUND(GOOGLEFINANCE(""Currency:EURKZT"")*M983)"),238785)</f>
        <v>238785</v>
      </c>
      <c r="Q983" s="26">
        <f ca="1">IFERROR(__xludf.DUMMYFUNCTION("ROUND(GOOGLEFINANCE(""Currency:EURKZT"")*N983)"),238785)</f>
        <v>238785</v>
      </c>
      <c r="R983" s="26">
        <f t="shared" ca="1" si="790"/>
        <v>237830</v>
      </c>
      <c r="S983" s="26">
        <f t="shared" ca="1" si="791"/>
        <v>2697314</v>
      </c>
      <c r="T983" s="26">
        <f ca="1">IFERROR(__xludf.DUMMYFUNCTION("ROUND(GOOGLEFINANCE(""Currency:EURKZT"")*L983+S983)"),3073878)</f>
        <v>3073878</v>
      </c>
      <c r="U983" s="26">
        <f ca="1">IFERROR(__xludf.DUMMYFUNCTION("D983*GOOGLEFINANCE(""RUBKZT"")*1000/F983"),3588371.94826368)</f>
        <v>3588371.9482636801</v>
      </c>
      <c r="V983" s="27">
        <f t="shared" ca="1" si="792"/>
        <v>0.16737617701928317</v>
      </c>
    </row>
    <row r="984" spans="1:22" ht="12.75" customHeight="1" x14ac:dyDescent="0.2">
      <c r="A984" s="6" t="s">
        <v>36</v>
      </c>
      <c r="B984" s="6" t="s">
        <v>32</v>
      </c>
      <c r="C984" s="7">
        <v>166463</v>
      </c>
      <c r="D984" s="8">
        <v>8870.4</v>
      </c>
      <c r="E984" s="9" t="s">
        <v>16</v>
      </c>
      <c r="F984" s="23">
        <v>20</v>
      </c>
      <c r="G984" s="25"/>
      <c r="H984" s="14">
        <f t="shared" si="786"/>
        <v>0.55000000000000004</v>
      </c>
      <c r="I984" s="25">
        <f ca="1">IFERROR(__xludf.DUMMYFUNCTION("ROUND(D984*GOOGLEFINANCE(""RUBKZT"")*H984)"),38071)</f>
        <v>38071</v>
      </c>
      <c r="J984" s="26">
        <f ca="1">IFERROR(__xludf.DUMMYFUNCTION("ROUND(I984*GOOGLEFINANCE(""KZTEUR""))"),80)</f>
        <v>80</v>
      </c>
      <c r="K984" s="26">
        <f t="shared" ca="1" si="787"/>
        <v>4000</v>
      </c>
      <c r="L984" s="26">
        <f t="shared" ca="1" si="788"/>
        <v>760</v>
      </c>
      <c r="M984" s="26">
        <f t="shared" ref="M984:N984" si="1006">M$3</f>
        <v>500</v>
      </c>
      <c r="N984" s="26">
        <f t="shared" si="1006"/>
        <v>500</v>
      </c>
      <c r="O984" s="26">
        <f ca="1">IFERROR(__xludf.DUMMYFUNCTION("ROUND(GOOGLEFINANCE(""Currency:EURKZT"")*K984)"),1910278)</f>
        <v>1910278</v>
      </c>
      <c r="P984" s="26">
        <f ca="1">IFERROR(__xludf.DUMMYFUNCTION("ROUND(GOOGLEFINANCE(""Currency:EURKZT"")*M984)"),238785)</f>
        <v>238785</v>
      </c>
      <c r="Q984" s="26">
        <f ca="1">IFERROR(__xludf.DUMMYFUNCTION("ROUND(GOOGLEFINANCE(""Currency:EURKZT"")*N984)"),238785)</f>
        <v>238785</v>
      </c>
      <c r="R984" s="26">
        <f t="shared" ca="1" si="790"/>
        <v>229233</v>
      </c>
      <c r="S984" s="26">
        <f t="shared" ca="1" si="791"/>
        <v>2617081</v>
      </c>
      <c r="T984" s="26">
        <f ca="1">IFERROR(__xludf.DUMMYFUNCTION("ROUND(GOOGLEFINANCE(""Currency:EURKZT"")*L984+S984)"),2980034)</f>
        <v>2980034</v>
      </c>
      <c r="U984" s="26">
        <f ca="1">IFERROR(__xludf.DUMMYFUNCTION("D984*GOOGLEFINANCE(""RUBKZT"")*1000/F984"),3461018.45531904)</f>
        <v>3461018.45531904</v>
      </c>
      <c r="V984" s="27">
        <f t="shared" ca="1" si="792"/>
        <v>0.16140233813407498</v>
      </c>
    </row>
    <row r="985" spans="1:22" ht="12.75" customHeight="1" x14ac:dyDescent="0.2">
      <c r="A985" s="6" t="s">
        <v>37</v>
      </c>
      <c r="B985" s="6" t="s">
        <v>32</v>
      </c>
      <c r="C985" s="7">
        <v>166515</v>
      </c>
      <c r="D985" s="8">
        <v>9056.4</v>
      </c>
      <c r="E985" s="9" t="s">
        <v>16</v>
      </c>
      <c r="F985" s="23">
        <v>20</v>
      </c>
      <c r="G985" s="25"/>
      <c r="H985" s="14">
        <f t="shared" si="786"/>
        <v>0.55000000000000004</v>
      </c>
      <c r="I985" s="25">
        <f ca="1">IFERROR(__xludf.DUMMYFUNCTION("ROUND(D985*GOOGLEFINANCE(""RUBKZT"")*H985)"),38870)</f>
        <v>38870</v>
      </c>
      <c r="J985" s="26">
        <f ca="1">IFERROR(__xludf.DUMMYFUNCTION("ROUND(I985*GOOGLEFINANCE(""KZTEUR""))"),81)</f>
        <v>81</v>
      </c>
      <c r="K985" s="26">
        <f t="shared" ca="1" si="787"/>
        <v>4050</v>
      </c>
      <c r="L985" s="26">
        <f t="shared" ca="1" si="788"/>
        <v>769.5</v>
      </c>
      <c r="M985" s="26">
        <f t="shared" ref="M985:N985" si="1007">M$3</f>
        <v>500</v>
      </c>
      <c r="N985" s="26">
        <f t="shared" si="1007"/>
        <v>500</v>
      </c>
      <c r="O985" s="26">
        <f ca="1">IFERROR(__xludf.DUMMYFUNCTION("ROUND(GOOGLEFINANCE(""Currency:EURKZT"")*K985)"),1934157)</f>
        <v>1934157</v>
      </c>
      <c r="P985" s="26">
        <f ca="1">IFERROR(__xludf.DUMMYFUNCTION("ROUND(GOOGLEFINANCE(""Currency:EURKZT"")*M985)"),238785)</f>
        <v>238785</v>
      </c>
      <c r="Q985" s="26">
        <f ca="1">IFERROR(__xludf.DUMMYFUNCTION("ROUND(GOOGLEFINANCE(""Currency:EURKZT"")*N985)"),238785)</f>
        <v>238785</v>
      </c>
      <c r="R985" s="26">
        <f t="shared" ca="1" si="790"/>
        <v>232099</v>
      </c>
      <c r="S985" s="26">
        <f t="shared" ca="1" si="791"/>
        <v>2643826</v>
      </c>
      <c r="T985" s="26">
        <f ca="1">IFERROR(__xludf.DUMMYFUNCTION("ROUND(GOOGLEFINANCE(""Currency:EURKZT"")*L985+S985)"),3011316)</f>
        <v>3011316</v>
      </c>
      <c r="U985" s="26">
        <f ca="1">IFERROR(__xludf.DUMMYFUNCTION("D985*GOOGLEFINANCE(""RUBKZT"")*1000/F985"),3533591.21784264)</f>
        <v>3533591.2178426399</v>
      </c>
      <c r="V985" s="27">
        <f t="shared" ca="1" si="792"/>
        <v>0.17343753290675568</v>
      </c>
    </row>
    <row r="986" spans="1:22" ht="12.75" customHeight="1" x14ac:dyDescent="0.2">
      <c r="A986" s="6" t="s">
        <v>38</v>
      </c>
      <c r="B986" s="6" t="s">
        <v>32</v>
      </c>
      <c r="C986" s="7">
        <v>166530</v>
      </c>
      <c r="D986" s="8">
        <v>11161.199999999999</v>
      </c>
      <c r="E986" s="9" t="s">
        <v>16</v>
      </c>
      <c r="F986" s="23">
        <v>20</v>
      </c>
      <c r="G986" s="25"/>
      <c r="H986" s="14">
        <f t="shared" si="786"/>
        <v>0.55000000000000004</v>
      </c>
      <c r="I986" s="25">
        <f ca="1">IFERROR(__xludf.DUMMYFUNCTION("ROUND(D986*GOOGLEFINANCE(""RUBKZT"")*H986)"),47903)</f>
        <v>47903</v>
      </c>
      <c r="J986" s="26">
        <f ca="1">IFERROR(__xludf.DUMMYFUNCTION("ROUND(I986*GOOGLEFINANCE(""KZTEUR""))"),100)</f>
        <v>100</v>
      </c>
      <c r="K986" s="26">
        <f t="shared" ca="1" si="787"/>
        <v>5000</v>
      </c>
      <c r="L986" s="26">
        <f t="shared" ca="1" si="788"/>
        <v>950</v>
      </c>
      <c r="M986" s="26">
        <f t="shared" ref="M986:N986" si="1008">M$3</f>
        <v>500</v>
      </c>
      <c r="N986" s="26">
        <f t="shared" si="1008"/>
        <v>500</v>
      </c>
      <c r="O986" s="26">
        <f ca="1">IFERROR(__xludf.DUMMYFUNCTION("ROUND(GOOGLEFINANCE(""Currency:EURKZT"")*K986)"),2387848)</f>
        <v>2387848</v>
      </c>
      <c r="P986" s="26">
        <f ca="1">IFERROR(__xludf.DUMMYFUNCTION("ROUND(GOOGLEFINANCE(""Currency:EURKZT"")*M986)"),238785)</f>
        <v>238785</v>
      </c>
      <c r="Q986" s="26">
        <f ca="1">IFERROR(__xludf.DUMMYFUNCTION("ROUND(GOOGLEFINANCE(""Currency:EURKZT"")*N986)"),238785)</f>
        <v>238785</v>
      </c>
      <c r="R986" s="26">
        <f t="shared" ca="1" si="790"/>
        <v>286542</v>
      </c>
      <c r="S986" s="26">
        <f t="shared" ca="1" si="791"/>
        <v>3151960</v>
      </c>
      <c r="T986" s="26">
        <f ca="1">IFERROR(__xludf.DUMMYFUNCTION("ROUND(GOOGLEFINANCE(""Currency:EURKZT"")*L986+S986)"),3605651)</f>
        <v>3605651</v>
      </c>
      <c r="U986" s="26">
        <f ca="1">IFERROR(__xludf.DUMMYFUNCTION("D986*GOOGLEFINANCE(""RUBKZT"")*1000/F986"),4354833.96278712)</f>
        <v>4354833.9627871197</v>
      </c>
      <c r="V986" s="27">
        <f t="shared" ca="1" si="792"/>
        <v>0.2077802213212315</v>
      </c>
    </row>
    <row r="987" spans="1:22" ht="12.75" customHeight="1" x14ac:dyDescent="0.2">
      <c r="A987" s="6" t="s">
        <v>39</v>
      </c>
      <c r="B987" s="6" t="s">
        <v>32</v>
      </c>
      <c r="C987" s="7">
        <v>166810</v>
      </c>
      <c r="D987" s="8">
        <v>11019.6</v>
      </c>
      <c r="E987" s="9" t="s">
        <v>16</v>
      </c>
      <c r="F987" s="23">
        <v>20</v>
      </c>
      <c r="G987" s="25"/>
      <c r="H987" s="14">
        <f t="shared" si="786"/>
        <v>0.55000000000000004</v>
      </c>
      <c r="I987" s="25">
        <f ca="1">IFERROR(__xludf.DUMMYFUNCTION("ROUND(D987*GOOGLEFINANCE(""RUBKZT"")*H987)"),47295)</f>
        <v>47295</v>
      </c>
      <c r="J987" s="26">
        <f ca="1">IFERROR(__xludf.DUMMYFUNCTION("ROUND(I987*GOOGLEFINANCE(""KZTEUR""))"),99)</f>
        <v>99</v>
      </c>
      <c r="K987" s="26">
        <f t="shared" ca="1" si="787"/>
        <v>4950</v>
      </c>
      <c r="L987" s="26">
        <f t="shared" ca="1" si="788"/>
        <v>940.5</v>
      </c>
      <c r="M987" s="26">
        <f t="shared" ref="M987:N987" si="1009">M$3</f>
        <v>500</v>
      </c>
      <c r="N987" s="26">
        <f t="shared" si="1009"/>
        <v>500</v>
      </c>
      <c r="O987" s="26">
        <f ca="1">IFERROR(__xludf.DUMMYFUNCTION("ROUND(GOOGLEFINANCE(""Currency:EURKZT"")*K987)"),2363970)</f>
        <v>2363970</v>
      </c>
      <c r="P987" s="26">
        <f ca="1">IFERROR(__xludf.DUMMYFUNCTION("ROUND(GOOGLEFINANCE(""Currency:EURKZT"")*M987)"),238785)</f>
        <v>238785</v>
      </c>
      <c r="Q987" s="26">
        <f ca="1">IFERROR(__xludf.DUMMYFUNCTION("ROUND(GOOGLEFINANCE(""Currency:EURKZT"")*N987)"),238785)</f>
        <v>238785</v>
      </c>
      <c r="R987" s="26">
        <f t="shared" ca="1" si="790"/>
        <v>283676</v>
      </c>
      <c r="S987" s="26">
        <f t="shared" ca="1" si="791"/>
        <v>3125216</v>
      </c>
      <c r="T987" s="26">
        <f ca="1">IFERROR(__xludf.DUMMYFUNCTION("ROUND(GOOGLEFINANCE(""Currency:EURKZT"")*L987+S987)"),3574370)</f>
        <v>3574370</v>
      </c>
      <c r="U987" s="26">
        <f ca="1">IFERROR(__xludf.DUMMYFUNCTION("D987*GOOGLEFINANCE(""RUBKZT"")*1000/F987"),4299585.02099496)</f>
        <v>4299585.0209949603</v>
      </c>
      <c r="V987" s="27">
        <f t="shared" ca="1" si="792"/>
        <v>0.20289310311886019</v>
      </c>
    </row>
    <row r="988" spans="1:22" ht="12.75" customHeight="1" x14ac:dyDescent="0.2">
      <c r="A988" s="6" t="s">
        <v>40</v>
      </c>
      <c r="B988" s="6" t="s">
        <v>32</v>
      </c>
      <c r="C988" s="7">
        <v>166521</v>
      </c>
      <c r="D988" s="8">
        <v>11205.6</v>
      </c>
      <c r="E988" s="9" t="s">
        <v>16</v>
      </c>
      <c r="F988" s="23">
        <v>20</v>
      </c>
      <c r="G988" s="25"/>
      <c r="H988" s="14">
        <f t="shared" si="786"/>
        <v>0.55000000000000004</v>
      </c>
      <c r="I988" s="25">
        <f ca="1">IFERROR(__xludf.DUMMYFUNCTION("ROUND(D988*GOOGLEFINANCE(""RUBKZT"")*H988)"),48094)</f>
        <v>48094</v>
      </c>
      <c r="J988" s="26">
        <f ca="1">IFERROR(__xludf.DUMMYFUNCTION("ROUND(I988*GOOGLEFINANCE(""KZTEUR""))"),101)</f>
        <v>101</v>
      </c>
      <c r="K988" s="26">
        <f t="shared" ca="1" si="787"/>
        <v>5050</v>
      </c>
      <c r="L988" s="26">
        <f t="shared" ca="1" si="788"/>
        <v>959.5</v>
      </c>
      <c r="M988" s="26">
        <f t="shared" ref="M988:N988" si="1010">M$3</f>
        <v>500</v>
      </c>
      <c r="N988" s="26">
        <f t="shared" si="1010"/>
        <v>500</v>
      </c>
      <c r="O988" s="26">
        <f ca="1">IFERROR(__xludf.DUMMYFUNCTION("ROUND(GOOGLEFINANCE(""Currency:EURKZT"")*K988)"),2411727)</f>
        <v>2411727</v>
      </c>
      <c r="P988" s="26">
        <f ca="1">IFERROR(__xludf.DUMMYFUNCTION("ROUND(GOOGLEFINANCE(""Currency:EURKZT"")*M988)"),238785)</f>
        <v>238785</v>
      </c>
      <c r="Q988" s="26">
        <f ca="1">IFERROR(__xludf.DUMMYFUNCTION("ROUND(GOOGLEFINANCE(""Currency:EURKZT"")*N988)"),238785)</f>
        <v>238785</v>
      </c>
      <c r="R988" s="26">
        <f t="shared" ca="1" si="790"/>
        <v>289407</v>
      </c>
      <c r="S988" s="26">
        <f t="shared" ca="1" si="791"/>
        <v>3178704</v>
      </c>
      <c r="T988" s="26">
        <f ca="1">IFERROR(__xludf.DUMMYFUNCTION("ROUND(GOOGLEFINANCE(""Currency:EURKZT"")*L988+S988)"),3636932)</f>
        <v>3636932</v>
      </c>
      <c r="U988" s="26">
        <f ca="1">IFERROR(__xludf.DUMMYFUNCTION("D988*GOOGLEFINANCE(""RUBKZT"")*1000/F988"),4372157.78351856)</f>
        <v>4372157.7835185602</v>
      </c>
      <c r="V988" s="27">
        <f t="shared" ca="1" si="792"/>
        <v>0.20215549356396001</v>
      </c>
    </row>
    <row r="989" spans="1:22" ht="12.75" customHeight="1" x14ac:dyDescent="0.2">
      <c r="A989" s="6" t="s">
        <v>42</v>
      </c>
      <c r="B989" s="6" t="s">
        <v>32</v>
      </c>
      <c r="C989" s="7">
        <v>166523</v>
      </c>
      <c r="D989" s="8">
        <v>11764.8</v>
      </c>
      <c r="E989" s="9" t="s">
        <v>16</v>
      </c>
      <c r="F989" s="23">
        <v>20</v>
      </c>
      <c r="G989" s="25"/>
      <c r="H989" s="14">
        <f t="shared" si="786"/>
        <v>0.55000000000000004</v>
      </c>
      <c r="I989" s="25">
        <f ca="1">IFERROR(__xludf.DUMMYFUNCTION("ROUND(D989*GOOGLEFINANCE(""RUBKZT"")*H989)"),50494)</f>
        <v>50494</v>
      </c>
      <c r="J989" s="26">
        <f ca="1">IFERROR(__xludf.DUMMYFUNCTION("ROUND(I989*GOOGLEFINANCE(""KZTEUR""))"),106)</f>
        <v>106</v>
      </c>
      <c r="K989" s="26">
        <f t="shared" ca="1" si="787"/>
        <v>5300</v>
      </c>
      <c r="L989" s="26">
        <f t="shared" ca="1" si="788"/>
        <v>1007</v>
      </c>
      <c r="M989" s="26">
        <f t="shared" ref="M989:N989" si="1011">M$3</f>
        <v>500</v>
      </c>
      <c r="N989" s="26">
        <f t="shared" si="1011"/>
        <v>500</v>
      </c>
      <c r="O989" s="26">
        <f ca="1">IFERROR(__xludf.DUMMYFUNCTION("ROUND(GOOGLEFINANCE(""Currency:EURKZT"")*K989)"),2531119)</f>
        <v>2531119</v>
      </c>
      <c r="P989" s="26">
        <f ca="1">IFERROR(__xludf.DUMMYFUNCTION("ROUND(GOOGLEFINANCE(""Currency:EURKZT"")*M989)"),238785)</f>
        <v>238785</v>
      </c>
      <c r="Q989" s="26">
        <f ca="1">IFERROR(__xludf.DUMMYFUNCTION("ROUND(GOOGLEFINANCE(""Currency:EURKZT"")*N989)"),238785)</f>
        <v>238785</v>
      </c>
      <c r="R989" s="26">
        <f t="shared" ca="1" si="790"/>
        <v>303734</v>
      </c>
      <c r="S989" s="26">
        <f t="shared" ca="1" si="791"/>
        <v>3312423</v>
      </c>
      <c r="T989" s="26">
        <f ca="1">IFERROR(__xludf.DUMMYFUNCTION("ROUND(GOOGLEFINANCE(""Currency:EURKZT"")*L989+S989)"),3793336)</f>
        <v>3793336</v>
      </c>
      <c r="U989" s="26">
        <f ca="1">IFERROR(__xludf.DUMMYFUNCTION("D989*GOOGLEFINANCE(""RUBKZT"")*1000/F989"),4590344.28246047)</f>
        <v>4590344.2824604698</v>
      </c>
      <c r="V989" s="27">
        <f t="shared" ca="1" si="792"/>
        <v>0.21010748387711231</v>
      </c>
    </row>
    <row r="990" spans="1:22" ht="12.75" customHeight="1" x14ac:dyDescent="0.2">
      <c r="A990" s="6" t="s">
        <v>58</v>
      </c>
      <c r="B990" s="6" t="s">
        <v>32</v>
      </c>
      <c r="C990" s="7">
        <v>166518</v>
      </c>
      <c r="D990" s="8">
        <v>11965.199999999999</v>
      </c>
      <c r="E990" s="9" t="s">
        <v>16</v>
      </c>
      <c r="F990" s="23">
        <v>20</v>
      </c>
      <c r="G990" s="25"/>
      <c r="H990" s="14">
        <f t="shared" si="786"/>
        <v>0.55000000000000004</v>
      </c>
      <c r="I990" s="25">
        <f ca="1">IFERROR(__xludf.DUMMYFUNCTION("ROUND(D990*GOOGLEFINANCE(""RUBKZT"")*H990)"),51354)</f>
        <v>51354</v>
      </c>
      <c r="J990" s="26">
        <f ca="1">IFERROR(__xludf.DUMMYFUNCTION("ROUND(I990*GOOGLEFINANCE(""KZTEUR""))"),108)</f>
        <v>108</v>
      </c>
      <c r="K990" s="26">
        <f t="shared" ca="1" si="787"/>
        <v>5400</v>
      </c>
      <c r="L990" s="26">
        <f t="shared" ca="1" si="788"/>
        <v>1026</v>
      </c>
      <c r="M990" s="26">
        <f t="shared" ref="M990:N990" si="1012">M$3</f>
        <v>500</v>
      </c>
      <c r="N990" s="26">
        <f t="shared" si="1012"/>
        <v>500</v>
      </c>
      <c r="O990" s="26">
        <f ca="1">IFERROR(__xludf.DUMMYFUNCTION("ROUND(GOOGLEFINANCE(""Currency:EURKZT"")*K990)"),2578876)</f>
        <v>2578876</v>
      </c>
      <c r="P990" s="26">
        <f ca="1">IFERROR(__xludf.DUMMYFUNCTION("ROUND(GOOGLEFINANCE(""Currency:EURKZT"")*M990)"),238785)</f>
        <v>238785</v>
      </c>
      <c r="Q990" s="26">
        <f ca="1">IFERROR(__xludf.DUMMYFUNCTION("ROUND(GOOGLEFINANCE(""Currency:EURKZT"")*N990)"),238785)</f>
        <v>238785</v>
      </c>
      <c r="R990" s="26">
        <f t="shared" ca="1" si="790"/>
        <v>309465</v>
      </c>
      <c r="S990" s="26">
        <f t="shared" ca="1" si="791"/>
        <v>3365911</v>
      </c>
      <c r="T990" s="26">
        <f ca="1">IFERROR(__xludf.DUMMYFUNCTION("ROUND(GOOGLEFINANCE(""Currency:EURKZT"")*L990+S990)"),3855897)</f>
        <v>3855897</v>
      </c>
      <c r="U990" s="26">
        <f ca="1">IFERROR(__xludf.DUMMYFUNCTION("D990*GOOGLEFINANCE(""RUBKZT"")*1000/F990"),4668535.58143752)</f>
        <v>4668535.5814375198</v>
      </c>
      <c r="V990" s="27">
        <f t="shared" ca="1" si="792"/>
        <v>0.21075214961331171</v>
      </c>
    </row>
    <row r="991" spans="1:22" ht="12.75" customHeight="1" x14ac:dyDescent="0.2">
      <c r="A991" s="6" t="s">
        <v>60</v>
      </c>
      <c r="B991" s="6" t="s">
        <v>32</v>
      </c>
      <c r="C991" s="7">
        <v>166508</v>
      </c>
      <c r="D991" s="8">
        <v>8072.4</v>
      </c>
      <c r="E991" s="9" t="s">
        <v>16</v>
      </c>
      <c r="F991" s="23">
        <v>20</v>
      </c>
      <c r="G991" s="25"/>
      <c r="H991" s="14">
        <f t="shared" si="786"/>
        <v>0.55000000000000004</v>
      </c>
      <c r="I991" s="25">
        <f ca="1">IFERROR(__xludf.DUMMYFUNCTION("ROUND(D991*GOOGLEFINANCE(""RUBKZT"")*H991)"),34646)</f>
        <v>34646</v>
      </c>
      <c r="J991" s="26">
        <f ca="1">IFERROR(__xludf.DUMMYFUNCTION("ROUND(I991*GOOGLEFINANCE(""KZTEUR""))"),73)</f>
        <v>73</v>
      </c>
      <c r="K991" s="26">
        <f t="shared" ca="1" si="787"/>
        <v>3650</v>
      </c>
      <c r="L991" s="26">
        <f t="shared" ca="1" si="788"/>
        <v>693.5</v>
      </c>
      <c r="M991" s="26">
        <f t="shared" ref="M991:N991" si="1013">M$3</f>
        <v>500</v>
      </c>
      <c r="N991" s="26">
        <f t="shared" si="1013"/>
        <v>500</v>
      </c>
      <c r="O991" s="26">
        <f ca="1">IFERROR(__xludf.DUMMYFUNCTION("ROUND(GOOGLEFINANCE(""Currency:EURKZT"")*K991)"),1743129)</f>
        <v>1743129</v>
      </c>
      <c r="P991" s="26">
        <f ca="1">IFERROR(__xludf.DUMMYFUNCTION("ROUND(GOOGLEFINANCE(""Currency:EURKZT"")*M991)"),238785)</f>
        <v>238785</v>
      </c>
      <c r="Q991" s="26">
        <f ca="1">IFERROR(__xludf.DUMMYFUNCTION("ROUND(GOOGLEFINANCE(""Currency:EURKZT"")*N991)"),238785)</f>
        <v>238785</v>
      </c>
      <c r="R991" s="26">
        <f t="shared" ca="1" si="790"/>
        <v>209175</v>
      </c>
      <c r="S991" s="26">
        <f t="shared" ca="1" si="791"/>
        <v>2429874</v>
      </c>
      <c r="T991" s="26">
        <f ca="1">IFERROR(__xludf.DUMMYFUNCTION("ROUND(GOOGLEFINANCE(""Currency:EURKZT"")*L991+S991)"),2761069)</f>
        <v>2761069</v>
      </c>
      <c r="U991" s="26">
        <f ca="1">IFERROR(__xludf.DUMMYFUNCTION("D991*GOOGLEFINANCE(""RUBKZT"")*1000/F991"),3149657.89352424)</f>
        <v>3149657.8935242398</v>
      </c>
      <c r="V991" s="27">
        <f t="shared" ca="1" si="792"/>
        <v>0.14073856666538931</v>
      </c>
    </row>
    <row r="992" spans="1:22" ht="12.75" customHeight="1" x14ac:dyDescent="0.2">
      <c r="A992" s="6" t="s">
        <v>61</v>
      </c>
      <c r="B992" s="6" t="s">
        <v>32</v>
      </c>
      <c r="C992" s="7">
        <v>166510</v>
      </c>
      <c r="D992" s="8">
        <v>8718</v>
      </c>
      <c r="E992" s="9" t="s">
        <v>16</v>
      </c>
      <c r="F992" s="23">
        <v>20</v>
      </c>
      <c r="G992" s="25"/>
      <c r="H992" s="14">
        <f t="shared" si="786"/>
        <v>0.55000000000000004</v>
      </c>
      <c r="I992" s="25">
        <f ca="1">IFERROR(__xludf.DUMMYFUNCTION("ROUND(D992*GOOGLEFINANCE(""RUBKZT"")*H992)"),37417)</f>
        <v>37417</v>
      </c>
      <c r="J992" s="26">
        <f ca="1">IFERROR(__xludf.DUMMYFUNCTION("ROUND(I992*GOOGLEFINANCE(""KZTEUR""))"),78)</f>
        <v>78</v>
      </c>
      <c r="K992" s="26">
        <f t="shared" ca="1" si="787"/>
        <v>3900</v>
      </c>
      <c r="L992" s="26">
        <f t="shared" ca="1" si="788"/>
        <v>741</v>
      </c>
      <c r="M992" s="26">
        <f t="shared" ref="M992:N992" si="1014">M$3</f>
        <v>500</v>
      </c>
      <c r="N992" s="26">
        <f t="shared" si="1014"/>
        <v>500</v>
      </c>
      <c r="O992" s="26">
        <f ca="1">IFERROR(__xludf.DUMMYFUNCTION("ROUND(GOOGLEFINANCE(""Currency:EURKZT"")*K992)"),1862521)</f>
        <v>1862521</v>
      </c>
      <c r="P992" s="26">
        <f ca="1">IFERROR(__xludf.DUMMYFUNCTION("ROUND(GOOGLEFINANCE(""Currency:EURKZT"")*M992)"),238785)</f>
        <v>238785</v>
      </c>
      <c r="Q992" s="26">
        <f ca="1">IFERROR(__xludf.DUMMYFUNCTION("ROUND(GOOGLEFINANCE(""Currency:EURKZT"")*N992)"),238785)</f>
        <v>238785</v>
      </c>
      <c r="R992" s="26">
        <f t="shared" ca="1" si="790"/>
        <v>223503</v>
      </c>
      <c r="S992" s="26">
        <f t="shared" ca="1" si="791"/>
        <v>2563594</v>
      </c>
      <c r="T992" s="26">
        <f ca="1">IFERROR(__xludf.DUMMYFUNCTION("ROUND(GOOGLEFINANCE(""Currency:EURKZT"")*L992+S992)"),2917473)</f>
        <v>2917473</v>
      </c>
      <c r="U992" s="26">
        <f ca="1">IFERROR(__xludf.DUMMYFUNCTION("D992*GOOGLEFINANCE(""RUBKZT"")*1000/F992"),3401555.6111868)</f>
        <v>3401555.6111868001</v>
      </c>
      <c r="V992" s="27">
        <f t="shared" ca="1" si="792"/>
        <v>0.1659253097412727</v>
      </c>
    </row>
    <row r="993" spans="1:22" ht="12.75" customHeight="1" x14ac:dyDescent="0.2">
      <c r="A993" s="6" t="s">
        <v>62</v>
      </c>
      <c r="B993" s="6" t="s">
        <v>32</v>
      </c>
      <c r="C993" s="7">
        <v>166513</v>
      </c>
      <c r="D993" s="8">
        <v>8548.7999999999993</v>
      </c>
      <c r="E993" s="9" t="s">
        <v>16</v>
      </c>
      <c r="F993" s="23">
        <v>20</v>
      </c>
      <c r="G993" s="25"/>
      <c r="H993" s="14">
        <f t="shared" si="786"/>
        <v>0.55000000000000004</v>
      </c>
      <c r="I993" s="25">
        <f ca="1">IFERROR(__xludf.DUMMYFUNCTION("ROUND(D993*GOOGLEFINANCE(""RUBKZT"")*H993)"),36691)</f>
        <v>36691</v>
      </c>
      <c r="J993" s="26">
        <f ca="1">IFERROR(__xludf.DUMMYFUNCTION("ROUND(I993*GOOGLEFINANCE(""KZTEUR""))"),77)</f>
        <v>77</v>
      </c>
      <c r="K993" s="26">
        <f t="shared" ca="1" si="787"/>
        <v>3850</v>
      </c>
      <c r="L993" s="26">
        <f t="shared" ca="1" si="788"/>
        <v>731.5</v>
      </c>
      <c r="M993" s="26">
        <f t="shared" ref="M993:N993" si="1015">M$3</f>
        <v>500</v>
      </c>
      <c r="N993" s="26">
        <f t="shared" si="1015"/>
        <v>500</v>
      </c>
      <c r="O993" s="26">
        <f ca="1">IFERROR(__xludf.DUMMYFUNCTION("ROUND(GOOGLEFINANCE(""Currency:EURKZT"")*K993)"),1838643)</f>
        <v>1838643</v>
      </c>
      <c r="P993" s="26">
        <f ca="1">IFERROR(__xludf.DUMMYFUNCTION("ROUND(GOOGLEFINANCE(""Currency:EURKZT"")*M993)"),238785)</f>
        <v>238785</v>
      </c>
      <c r="Q993" s="26">
        <f ca="1">IFERROR(__xludf.DUMMYFUNCTION("ROUND(GOOGLEFINANCE(""Currency:EURKZT"")*N993)"),238785)</f>
        <v>238785</v>
      </c>
      <c r="R993" s="26">
        <f t="shared" ca="1" si="790"/>
        <v>220637</v>
      </c>
      <c r="S993" s="26">
        <f t="shared" ca="1" si="791"/>
        <v>2536850</v>
      </c>
      <c r="T993" s="26">
        <f ca="1">IFERROR(__xludf.DUMMYFUNCTION("ROUND(GOOGLEFINANCE(""Currency:EURKZT"")*L993+S993)"),2886192)</f>
        <v>2886192</v>
      </c>
      <c r="U993" s="26">
        <f ca="1">IFERROR(__xludf.DUMMYFUNCTION("D993*GOOGLEFINANCE(""RUBKZT"")*1000/F993"),3335537.80785888)</f>
        <v>3335537.8078588801</v>
      </c>
      <c r="V993" s="27">
        <f t="shared" ca="1" si="792"/>
        <v>0.15568812049194236</v>
      </c>
    </row>
    <row r="994" spans="1:22" ht="12.75" customHeight="1" x14ac:dyDescent="0.2">
      <c r="A994" s="6" t="s">
        <v>67</v>
      </c>
      <c r="B994" s="6" t="s">
        <v>32</v>
      </c>
      <c r="C994" s="7">
        <v>166805</v>
      </c>
      <c r="D994" s="8">
        <v>9686.4</v>
      </c>
      <c r="E994" s="9" t="s">
        <v>16</v>
      </c>
      <c r="F994" s="23">
        <v>20</v>
      </c>
      <c r="G994" s="25"/>
      <c r="H994" s="14">
        <f t="shared" si="786"/>
        <v>0.55000000000000004</v>
      </c>
      <c r="I994" s="25">
        <f ca="1">IFERROR(__xludf.DUMMYFUNCTION("ROUND(D994*GOOGLEFINANCE(""RUBKZT"")*H994)"),41573)</f>
        <v>41573</v>
      </c>
      <c r="J994" s="26">
        <f ca="1">IFERROR(__xludf.DUMMYFUNCTION("ROUND(I994*GOOGLEFINANCE(""KZTEUR""))"),87)</f>
        <v>87</v>
      </c>
      <c r="K994" s="26">
        <f t="shared" ca="1" si="787"/>
        <v>4350</v>
      </c>
      <c r="L994" s="26">
        <f t="shared" ca="1" si="788"/>
        <v>826.5</v>
      </c>
      <c r="M994" s="26">
        <f t="shared" ref="M994:N994" si="1016">M$3</f>
        <v>500</v>
      </c>
      <c r="N994" s="26">
        <f t="shared" si="1016"/>
        <v>500</v>
      </c>
      <c r="O994" s="26">
        <f ca="1">IFERROR(__xludf.DUMMYFUNCTION("ROUND(GOOGLEFINANCE(""Currency:EURKZT"")*K994)"),2077428)</f>
        <v>2077428</v>
      </c>
      <c r="P994" s="26">
        <f ca="1">IFERROR(__xludf.DUMMYFUNCTION("ROUND(GOOGLEFINANCE(""Currency:EURKZT"")*M994)"),238785)</f>
        <v>238785</v>
      </c>
      <c r="Q994" s="26">
        <f ca="1">IFERROR(__xludf.DUMMYFUNCTION("ROUND(GOOGLEFINANCE(""Currency:EURKZT"")*N994)"),238785)</f>
        <v>238785</v>
      </c>
      <c r="R994" s="26">
        <f t="shared" ca="1" si="790"/>
        <v>249291</v>
      </c>
      <c r="S994" s="26">
        <f t="shared" ca="1" si="791"/>
        <v>2804289</v>
      </c>
      <c r="T994" s="26">
        <f ca="1">IFERROR(__xludf.DUMMYFUNCTION("ROUND(GOOGLEFINANCE(""Currency:EURKZT"")*L994+S994)"),3199000)</f>
        <v>3199000</v>
      </c>
      <c r="U994" s="26">
        <f ca="1">IFERROR(__xludf.DUMMYFUNCTION("D994*GOOGLEFINANCE(""RUBKZT"")*1000/F994"),3779402.18768064)</f>
        <v>3779402.1876806398</v>
      </c>
      <c r="V994" s="27">
        <f t="shared" ca="1" si="792"/>
        <v>0.1814323812693466</v>
      </c>
    </row>
    <row r="995" spans="1:22" ht="12.75" customHeight="1" x14ac:dyDescent="0.2">
      <c r="A995" s="6" t="s">
        <v>72</v>
      </c>
      <c r="B995" s="6" t="s">
        <v>32</v>
      </c>
      <c r="C995" s="7">
        <v>166798</v>
      </c>
      <c r="D995" s="8">
        <v>8463.6</v>
      </c>
      <c r="E995" s="9" t="s">
        <v>16</v>
      </c>
      <c r="F995" s="23">
        <v>20</v>
      </c>
      <c r="G995" s="25"/>
      <c r="H995" s="14">
        <f t="shared" si="786"/>
        <v>0.55000000000000004</v>
      </c>
      <c r="I995" s="25">
        <f ca="1">IFERROR(__xludf.DUMMYFUNCTION("ROUND(D995*GOOGLEFINANCE(""RUBKZT"")*H995)"),36325)</f>
        <v>36325</v>
      </c>
      <c r="J995" s="26">
        <f ca="1">IFERROR(__xludf.DUMMYFUNCTION("ROUND(I995*GOOGLEFINANCE(""KZTEUR""))"),76)</f>
        <v>76</v>
      </c>
      <c r="K995" s="26">
        <f t="shared" ca="1" si="787"/>
        <v>3800</v>
      </c>
      <c r="L995" s="26">
        <f t="shared" ca="1" si="788"/>
        <v>722</v>
      </c>
      <c r="M995" s="26">
        <f t="shared" ref="M995:N995" si="1017">M$3</f>
        <v>500</v>
      </c>
      <c r="N995" s="26">
        <f t="shared" si="1017"/>
        <v>500</v>
      </c>
      <c r="O995" s="26">
        <f ca="1">IFERROR(__xludf.DUMMYFUNCTION("ROUND(GOOGLEFINANCE(""Currency:EURKZT"")*K995)"),1814765)</f>
        <v>1814765</v>
      </c>
      <c r="P995" s="26">
        <f ca="1">IFERROR(__xludf.DUMMYFUNCTION("ROUND(GOOGLEFINANCE(""Currency:EURKZT"")*M995)"),238785)</f>
        <v>238785</v>
      </c>
      <c r="Q995" s="26">
        <f ca="1">IFERROR(__xludf.DUMMYFUNCTION("ROUND(GOOGLEFINANCE(""Currency:EURKZT"")*N995)"),238785)</f>
        <v>238785</v>
      </c>
      <c r="R995" s="26">
        <f t="shared" ca="1" si="790"/>
        <v>217772</v>
      </c>
      <c r="S995" s="26">
        <f t="shared" ca="1" si="791"/>
        <v>2510107</v>
      </c>
      <c r="T995" s="26">
        <f ca="1">IFERROR(__xludf.DUMMYFUNCTION("ROUND(GOOGLEFINANCE(""Currency:EURKZT"")*L995+S995)"),2854912)</f>
        <v>2854912</v>
      </c>
      <c r="U995" s="26">
        <f ca="1">IFERROR(__xludf.DUMMYFUNCTION("D995*GOOGLEFINANCE(""RUBKZT"")*1000/F995"),3302294.80050936)</f>
        <v>3302294.8005093602</v>
      </c>
      <c r="V995" s="27">
        <f t="shared" ca="1" si="792"/>
        <v>0.15670633648580418</v>
      </c>
    </row>
    <row r="996" spans="1:22" ht="12.75" customHeight="1" x14ac:dyDescent="0.2">
      <c r="A996" s="6" t="s">
        <v>73</v>
      </c>
      <c r="B996" s="6" t="s">
        <v>32</v>
      </c>
      <c r="C996" s="7">
        <v>165999</v>
      </c>
      <c r="D996" s="8">
        <v>9981.6</v>
      </c>
      <c r="E996" s="9" t="s">
        <v>16</v>
      </c>
      <c r="F996" s="23">
        <v>20</v>
      </c>
      <c r="G996" s="24">
        <v>0.02</v>
      </c>
      <c r="H996" s="14">
        <f t="shared" si="786"/>
        <v>0.57000000000000006</v>
      </c>
      <c r="I996" s="25">
        <f ca="1">IFERROR(__xludf.DUMMYFUNCTION("ROUND(D996*GOOGLEFINANCE(""RUBKZT"")*H996)"),44398)</f>
        <v>44398</v>
      </c>
      <c r="J996" s="26">
        <f ca="1">IFERROR(__xludf.DUMMYFUNCTION("ROUND(I996*GOOGLEFINANCE(""KZTEUR""))"),93)</f>
        <v>93</v>
      </c>
      <c r="K996" s="26">
        <f t="shared" ca="1" si="787"/>
        <v>4650</v>
      </c>
      <c r="L996" s="26">
        <f t="shared" ca="1" si="788"/>
        <v>883.5</v>
      </c>
      <c r="M996" s="26">
        <f t="shared" ref="M996:N996" si="1018">M$3</f>
        <v>500</v>
      </c>
      <c r="N996" s="26">
        <f t="shared" si="1018"/>
        <v>500</v>
      </c>
      <c r="O996" s="26">
        <f ca="1">IFERROR(__xludf.DUMMYFUNCTION("ROUND(GOOGLEFINANCE(""Currency:EURKZT"")*K996)"),2220699)</f>
        <v>2220699</v>
      </c>
      <c r="P996" s="26">
        <f ca="1">IFERROR(__xludf.DUMMYFUNCTION("ROUND(GOOGLEFINANCE(""Currency:EURKZT"")*M996)"),238785)</f>
        <v>238785</v>
      </c>
      <c r="Q996" s="26">
        <f ca="1">IFERROR(__xludf.DUMMYFUNCTION("ROUND(GOOGLEFINANCE(""Currency:EURKZT"")*N996)"),238785)</f>
        <v>238785</v>
      </c>
      <c r="R996" s="26">
        <f t="shared" ca="1" si="790"/>
        <v>266484</v>
      </c>
      <c r="S996" s="26">
        <f t="shared" ca="1" si="791"/>
        <v>2964753</v>
      </c>
      <c r="T996" s="26">
        <f ca="1">IFERROR(__xludf.DUMMYFUNCTION("ROUND(GOOGLEFINANCE(""Currency:EURKZT"")*L996+S996)"),3386686)</f>
        <v>3386686</v>
      </c>
      <c r="U996" s="26">
        <f ca="1">IFERROR(__xludf.DUMMYFUNCTION("D996*GOOGLEFINANCE(""RUBKZT"")*1000/F996"),3894582.18497616)</f>
        <v>3894582.1849761601</v>
      </c>
      <c r="V996" s="27">
        <f t="shared" ca="1" si="792"/>
        <v>0.14996848983819583</v>
      </c>
    </row>
    <row r="997" spans="1:22" ht="12.75" customHeight="1" x14ac:dyDescent="0.2">
      <c r="A997" s="6" t="s">
        <v>43</v>
      </c>
      <c r="B997" s="6" t="s">
        <v>32</v>
      </c>
      <c r="C997" s="7">
        <v>166525</v>
      </c>
      <c r="D997" s="8">
        <v>10503.6</v>
      </c>
      <c r="E997" s="9" t="s">
        <v>16</v>
      </c>
      <c r="F997" s="23">
        <v>20</v>
      </c>
      <c r="G997" s="25"/>
      <c r="H997" s="14">
        <f t="shared" si="786"/>
        <v>0.55000000000000004</v>
      </c>
      <c r="I997" s="25">
        <f ca="1">IFERROR(__xludf.DUMMYFUNCTION("ROUND(D997*GOOGLEFINANCE(""RUBKZT"")*H997)"),45081)</f>
        <v>45081</v>
      </c>
      <c r="J997" s="26">
        <f ca="1">IFERROR(__xludf.DUMMYFUNCTION("ROUND(I997*GOOGLEFINANCE(""KZTEUR""))"),94)</f>
        <v>94</v>
      </c>
      <c r="K997" s="26">
        <f t="shared" ca="1" si="787"/>
        <v>4700</v>
      </c>
      <c r="L997" s="26">
        <f t="shared" ca="1" si="788"/>
        <v>893</v>
      </c>
      <c r="M997" s="26">
        <f t="shared" ref="M997:N997" si="1019">M$3</f>
        <v>500</v>
      </c>
      <c r="N997" s="26">
        <f t="shared" si="1019"/>
        <v>500</v>
      </c>
      <c r="O997" s="26">
        <f ca="1">IFERROR(__xludf.DUMMYFUNCTION("ROUND(GOOGLEFINANCE(""Currency:EURKZT"")*K997)"),2244577)</f>
        <v>2244577</v>
      </c>
      <c r="P997" s="26">
        <f ca="1">IFERROR(__xludf.DUMMYFUNCTION("ROUND(GOOGLEFINANCE(""Currency:EURKZT"")*M997)"),238785)</f>
        <v>238785</v>
      </c>
      <c r="Q997" s="26">
        <f ca="1">IFERROR(__xludf.DUMMYFUNCTION("ROUND(GOOGLEFINANCE(""Currency:EURKZT"")*N997)"),238785)</f>
        <v>238785</v>
      </c>
      <c r="R997" s="26">
        <f t="shared" ca="1" si="790"/>
        <v>269349</v>
      </c>
      <c r="S997" s="26">
        <f t="shared" ca="1" si="791"/>
        <v>2991496</v>
      </c>
      <c r="T997" s="26">
        <f ca="1">IFERROR(__xludf.DUMMYFUNCTION("ROUND(GOOGLEFINANCE(""Currency:EURKZT"")*L997+S997)"),3417966)</f>
        <v>3417966</v>
      </c>
      <c r="U997" s="26">
        <f ca="1">IFERROR(__xludf.DUMMYFUNCTION("D997*GOOGLEFINANCE(""RUBKZT"")*1000/F997"),4098254.13141336)</f>
        <v>4098254.1314133601</v>
      </c>
      <c r="V997" s="27">
        <f t="shared" ca="1" si="792"/>
        <v>0.19903303058408425</v>
      </c>
    </row>
    <row r="998" spans="1:22" ht="12.75" customHeight="1" x14ac:dyDescent="0.2">
      <c r="A998" s="6" t="s">
        <v>41</v>
      </c>
      <c r="B998" s="6" t="s">
        <v>32</v>
      </c>
      <c r="C998" s="7">
        <v>166532</v>
      </c>
      <c r="D998" s="8">
        <v>11284.8</v>
      </c>
      <c r="E998" s="9" t="s">
        <v>16</v>
      </c>
      <c r="F998" s="23">
        <v>20</v>
      </c>
      <c r="G998" s="25"/>
      <c r="H998" s="14">
        <f t="shared" si="786"/>
        <v>0.55000000000000004</v>
      </c>
      <c r="I998" s="25">
        <f ca="1">IFERROR(__xludf.DUMMYFUNCTION("ROUND(D998*GOOGLEFINANCE(""RUBKZT"")*H998)"),48434)</f>
        <v>48434</v>
      </c>
      <c r="J998" s="26">
        <f ca="1">IFERROR(__xludf.DUMMYFUNCTION("ROUND(I998*GOOGLEFINANCE(""KZTEUR""))"),101)</f>
        <v>101</v>
      </c>
      <c r="K998" s="26">
        <f t="shared" ca="1" si="787"/>
        <v>5050</v>
      </c>
      <c r="L998" s="26">
        <f t="shared" ca="1" si="788"/>
        <v>959.5</v>
      </c>
      <c r="M998" s="26">
        <f t="shared" ref="M998:N998" si="1020">M$3</f>
        <v>500</v>
      </c>
      <c r="N998" s="26">
        <f t="shared" si="1020"/>
        <v>500</v>
      </c>
      <c r="O998" s="26">
        <f ca="1">IFERROR(__xludf.DUMMYFUNCTION("ROUND(GOOGLEFINANCE(""Currency:EURKZT"")*K998)"),2411727)</f>
        <v>2411727</v>
      </c>
      <c r="P998" s="26">
        <f ca="1">IFERROR(__xludf.DUMMYFUNCTION("ROUND(GOOGLEFINANCE(""Currency:EURKZT"")*M998)"),238785)</f>
        <v>238785</v>
      </c>
      <c r="Q998" s="26">
        <f ca="1">IFERROR(__xludf.DUMMYFUNCTION("ROUND(GOOGLEFINANCE(""Currency:EURKZT"")*N998)"),238785)</f>
        <v>238785</v>
      </c>
      <c r="R998" s="26">
        <f t="shared" ca="1" si="790"/>
        <v>289407</v>
      </c>
      <c r="S998" s="26">
        <f t="shared" ca="1" si="791"/>
        <v>3178704</v>
      </c>
      <c r="T998" s="26">
        <f ca="1">IFERROR(__xludf.DUMMYFUNCTION("ROUND(GOOGLEFINANCE(""Currency:EURKZT"")*L998+S998)"),3636932)</f>
        <v>3636932</v>
      </c>
      <c r="U998" s="26">
        <f ca="1">IFERROR(__xludf.DUMMYFUNCTION("D998*GOOGLEFINANCE(""RUBKZT"")*1000/F998"),4403059.73401248)</f>
        <v>4403059.7340124799</v>
      </c>
      <c r="V998" s="27">
        <f t="shared" ca="1" si="792"/>
        <v>0.21065220191427278</v>
      </c>
    </row>
    <row r="999" spans="1:22" ht="12.75" customHeight="1" x14ac:dyDescent="0.2">
      <c r="A999" s="6" t="s">
        <v>153</v>
      </c>
      <c r="B999" s="6" t="s">
        <v>32</v>
      </c>
      <c r="C999" s="7">
        <v>166792</v>
      </c>
      <c r="D999" s="8">
        <v>8515.1999999999989</v>
      </c>
      <c r="E999" s="9" t="s">
        <v>16</v>
      </c>
      <c r="F999" s="23">
        <v>20</v>
      </c>
      <c r="G999" s="25"/>
      <c r="H999" s="14">
        <f t="shared" si="786"/>
        <v>0.55000000000000004</v>
      </c>
      <c r="I999" s="25">
        <f ca="1">IFERROR(__xludf.DUMMYFUNCTION("ROUND(D999*GOOGLEFINANCE(""RUBKZT"")*H999)"),36547)</f>
        <v>36547</v>
      </c>
      <c r="J999" s="26">
        <f ca="1">IFERROR(__xludf.DUMMYFUNCTION("ROUND(I999*GOOGLEFINANCE(""KZTEUR""))"),77)</f>
        <v>77</v>
      </c>
      <c r="K999" s="26">
        <f t="shared" ca="1" si="787"/>
        <v>3850</v>
      </c>
      <c r="L999" s="26">
        <f t="shared" ca="1" si="788"/>
        <v>731.5</v>
      </c>
      <c r="M999" s="26">
        <f t="shared" ref="M999:N999" si="1021">M$3</f>
        <v>500</v>
      </c>
      <c r="N999" s="26">
        <f t="shared" si="1021"/>
        <v>500</v>
      </c>
      <c r="O999" s="26">
        <f ca="1">IFERROR(__xludf.DUMMYFUNCTION("ROUND(GOOGLEFINANCE(""Currency:EURKZT"")*K999)"),1838643)</f>
        <v>1838643</v>
      </c>
      <c r="P999" s="26">
        <f ca="1">IFERROR(__xludf.DUMMYFUNCTION("ROUND(GOOGLEFINANCE(""Currency:EURKZT"")*M999)"),238785)</f>
        <v>238785</v>
      </c>
      <c r="Q999" s="26">
        <f ca="1">IFERROR(__xludf.DUMMYFUNCTION("ROUND(GOOGLEFINANCE(""Currency:EURKZT"")*N999)"),238785)</f>
        <v>238785</v>
      </c>
      <c r="R999" s="26">
        <f t="shared" ca="1" si="790"/>
        <v>220637</v>
      </c>
      <c r="S999" s="26">
        <f t="shared" ca="1" si="791"/>
        <v>2536850</v>
      </c>
      <c r="T999" s="26">
        <f ca="1">IFERROR(__xludf.DUMMYFUNCTION("ROUND(GOOGLEFINANCE(""Currency:EURKZT"")*L999+S999)"),2886192)</f>
        <v>2886192</v>
      </c>
      <c r="U999" s="26">
        <f ca="1">IFERROR(__xludf.DUMMYFUNCTION("D999*GOOGLEFINANCE(""RUBKZT"")*1000/F999"),3322427.88946751)</f>
        <v>3322427.8894675099</v>
      </c>
      <c r="V999" s="27">
        <f t="shared" ca="1" si="792"/>
        <v>0.15114583141645113</v>
      </c>
    </row>
    <row r="1000" spans="1:22" ht="12.75" customHeight="1" x14ac:dyDescent="0.2">
      <c r="A1000" s="6" t="s">
        <v>208</v>
      </c>
      <c r="B1000" s="6" t="s">
        <v>32</v>
      </c>
      <c r="C1000" s="7">
        <v>173645</v>
      </c>
      <c r="D1000" s="8">
        <v>10876.8</v>
      </c>
      <c r="E1000" s="9" t="s">
        <v>16</v>
      </c>
      <c r="F1000" s="23">
        <v>20</v>
      </c>
      <c r="G1000" s="25"/>
      <c r="H1000" s="14">
        <f t="shared" si="786"/>
        <v>0.55000000000000004</v>
      </c>
      <c r="I1000" s="25">
        <f ca="1">IFERROR(__xludf.DUMMYFUNCTION("ROUND(D1000*GOOGLEFINANCE(""RUBKZT"")*H1000)"),46683)</f>
        <v>46683</v>
      </c>
      <c r="J1000" s="26">
        <f ca="1">IFERROR(__xludf.DUMMYFUNCTION("ROUND(I1000*GOOGLEFINANCE(""KZTEUR""))"),98)</f>
        <v>98</v>
      </c>
      <c r="K1000" s="26">
        <f t="shared" ca="1" si="787"/>
        <v>4900</v>
      </c>
      <c r="L1000" s="26">
        <f t="shared" ca="1" si="788"/>
        <v>931</v>
      </c>
      <c r="M1000" s="26">
        <f t="shared" ref="M1000:N1000" si="1022">M$3</f>
        <v>500</v>
      </c>
      <c r="N1000" s="26">
        <f t="shared" si="1022"/>
        <v>500</v>
      </c>
      <c r="O1000" s="26">
        <f ca="1">IFERROR(__xludf.DUMMYFUNCTION("ROUND(GOOGLEFINANCE(""Currency:EURKZT"")*K1000)"),2340091)</f>
        <v>2340091</v>
      </c>
      <c r="P1000" s="26">
        <f ca="1">IFERROR(__xludf.DUMMYFUNCTION("ROUND(GOOGLEFINANCE(""Currency:EURKZT"")*M1000)"),238785)</f>
        <v>238785</v>
      </c>
      <c r="Q1000" s="26">
        <f ca="1">IFERROR(__xludf.DUMMYFUNCTION("ROUND(GOOGLEFINANCE(""Currency:EURKZT"")*N1000)"),238785)</f>
        <v>238785</v>
      </c>
      <c r="R1000" s="26">
        <f t="shared" ca="1" si="790"/>
        <v>280811</v>
      </c>
      <c r="S1000" s="26">
        <f t="shared" ca="1" si="791"/>
        <v>3098472</v>
      </c>
      <c r="T1000" s="26">
        <f ca="1">IFERROR(__xludf.DUMMYFUNCTION("ROUND(GOOGLEFINANCE(""Currency:EURKZT"")*L1000+S1000)"),3543089)</f>
        <v>3543089</v>
      </c>
      <c r="U1000" s="26">
        <f ca="1">IFERROR(__xludf.DUMMYFUNCTION("D1000*GOOGLEFINANCE(""RUBKZT"")*1000/F1000"),4243867.86783168)</f>
        <v>4243867.86783168</v>
      </c>
      <c r="V1000" s="27">
        <f t="shared" ca="1" si="792"/>
        <v>0.19778754296933551</v>
      </c>
    </row>
    <row r="1001" spans="1:22" ht="12.75" customHeight="1" x14ac:dyDescent="0.2">
      <c r="A1001" s="6" t="s">
        <v>199</v>
      </c>
      <c r="B1001" s="6" t="s">
        <v>32</v>
      </c>
      <c r="C1001" s="7">
        <v>174755</v>
      </c>
      <c r="D1001" s="8">
        <v>9871.1999999999989</v>
      </c>
      <c r="E1001" s="9" t="s">
        <v>16</v>
      </c>
      <c r="F1001" s="23">
        <v>20</v>
      </c>
      <c r="G1001" s="24">
        <v>0.02</v>
      </c>
      <c r="H1001" s="14">
        <f t="shared" si="786"/>
        <v>0.57000000000000006</v>
      </c>
      <c r="I1001" s="25">
        <f ca="1">IFERROR(__xludf.DUMMYFUNCTION("ROUND(D1001*GOOGLEFINANCE(""RUBKZT"")*H1001)"),43907)</f>
        <v>43907</v>
      </c>
      <c r="J1001" s="26">
        <f ca="1">IFERROR(__xludf.DUMMYFUNCTION("ROUND(I1001*GOOGLEFINANCE(""KZTEUR""))"),92)</f>
        <v>92</v>
      </c>
      <c r="K1001" s="26">
        <f t="shared" ca="1" si="787"/>
        <v>4600</v>
      </c>
      <c r="L1001" s="26">
        <f t="shared" ca="1" si="788"/>
        <v>874</v>
      </c>
      <c r="M1001" s="26">
        <f t="shared" ref="M1001:N1001" si="1023">M$3</f>
        <v>500</v>
      </c>
      <c r="N1001" s="26">
        <f t="shared" si="1023"/>
        <v>500</v>
      </c>
      <c r="O1001" s="26">
        <f ca="1">IFERROR(__xludf.DUMMYFUNCTION("ROUND(GOOGLEFINANCE(""Currency:EURKZT"")*K1001)"),2196820)</f>
        <v>2196820</v>
      </c>
      <c r="P1001" s="26">
        <f ca="1">IFERROR(__xludf.DUMMYFUNCTION("ROUND(GOOGLEFINANCE(""Currency:EURKZT"")*M1001)"),238785)</f>
        <v>238785</v>
      </c>
      <c r="Q1001" s="26">
        <f ca="1">IFERROR(__xludf.DUMMYFUNCTION("ROUND(GOOGLEFINANCE(""Currency:EURKZT"")*N1001)"),238785)</f>
        <v>238785</v>
      </c>
      <c r="R1001" s="26">
        <f t="shared" ca="1" si="790"/>
        <v>263618</v>
      </c>
      <c r="S1001" s="26">
        <f t="shared" ca="1" si="791"/>
        <v>2938008</v>
      </c>
      <c r="T1001" s="26">
        <f ca="1">IFERROR(__xludf.DUMMYFUNCTION("ROUND(GOOGLEFINANCE(""Currency:EURKZT"")*L1001+S1001)"),3355404)</f>
        <v>3355404</v>
      </c>
      <c r="U1001" s="26">
        <f ca="1">IFERROR(__xludf.DUMMYFUNCTION("D1001*GOOGLEFINANCE(""RUBKZT"")*1000/F1001"),3851506.73883311)</f>
        <v>3851506.7388331098</v>
      </c>
      <c r="V1001" s="27">
        <f t="shared" ca="1" si="792"/>
        <v>0.14785186488217511</v>
      </c>
    </row>
    <row r="1002" spans="1:22" ht="12.75" customHeight="1" x14ac:dyDescent="0.2">
      <c r="A1002" s="6" t="s">
        <v>264</v>
      </c>
      <c r="B1002" s="6" t="s">
        <v>32</v>
      </c>
      <c r="C1002" s="7">
        <v>187704</v>
      </c>
      <c r="D1002" s="8">
        <v>10276.799999999999</v>
      </c>
      <c r="E1002" s="9" t="s">
        <v>16</v>
      </c>
      <c r="F1002" s="23">
        <v>20</v>
      </c>
      <c r="G1002" s="25"/>
      <c r="H1002" s="14">
        <f t="shared" si="786"/>
        <v>0.55000000000000004</v>
      </c>
      <c r="I1002" s="25">
        <f ca="1">IFERROR(__xludf.DUMMYFUNCTION("ROUND(D1002*GOOGLEFINANCE(""RUBKZT"")*H1002)"),44107)</f>
        <v>44107</v>
      </c>
      <c r="J1002" s="26">
        <f ca="1">IFERROR(__xludf.DUMMYFUNCTION("ROUND(I1002*GOOGLEFINANCE(""KZTEUR""))"),92)</f>
        <v>92</v>
      </c>
      <c r="K1002" s="26">
        <f t="shared" ca="1" si="787"/>
        <v>4600</v>
      </c>
      <c r="L1002" s="26">
        <f t="shared" ca="1" si="788"/>
        <v>874</v>
      </c>
      <c r="M1002" s="26">
        <f t="shared" ref="M1002:N1002" si="1024">M$3</f>
        <v>500</v>
      </c>
      <c r="N1002" s="26">
        <f t="shared" si="1024"/>
        <v>500</v>
      </c>
      <c r="O1002" s="26">
        <f ca="1">IFERROR(__xludf.DUMMYFUNCTION("ROUND(GOOGLEFINANCE(""Currency:EURKZT"")*K1002)"),2196820)</f>
        <v>2196820</v>
      </c>
      <c r="P1002" s="26">
        <f ca="1">IFERROR(__xludf.DUMMYFUNCTION("ROUND(GOOGLEFINANCE(""Currency:EURKZT"")*M1002)"),238785)</f>
        <v>238785</v>
      </c>
      <c r="Q1002" s="26">
        <f ca="1">IFERROR(__xludf.DUMMYFUNCTION("ROUND(GOOGLEFINANCE(""Currency:EURKZT"")*N1002)"),238785)</f>
        <v>238785</v>
      </c>
      <c r="R1002" s="26">
        <f t="shared" ca="1" si="790"/>
        <v>263618</v>
      </c>
      <c r="S1002" s="26">
        <f t="shared" ca="1" si="791"/>
        <v>2938008</v>
      </c>
      <c r="T1002" s="26">
        <f ca="1">IFERROR(__xludf.DUMMYFUNCTION("ROUND(GOOGLEFINANCE(""Currency:EURKZT"")*L1002+S1002)"),3355404)</f>
        <v>3355404</v>
      </c>
      <c r="U1002" s="26">
        <f ca="1">IFERROR(__xludf.DUMMYFUNCTION("D1002*GOOGLEFINANCE(""RUBKZT"")*1000/F1002"),4009762.18227168)</f>
        <v>4009762.1822716799</v>
      </c>
      <c r="V1002" s="27">
        <f t="shared" ca="1" si="792"/>
        <v>0.19501621332980465</v>
      </c>
    </row>
    <row r="1003" spans="1:22" ht="12.75" customHeight="1" x14ac:dyDescent="0.2">
      <c r="A1003" s="6" t="s">
        <v>437</v>
      </c>
      <c r="B1003" s="6" t="s">
        <v>32</v>
      </c>
      <c r="C1003" s="7">
        <v>209575</v>
      </c>
      <c r="D1003" s="8">
        <v>9673.1999999999989</v>
      </c>
      <c r="E1003" s="9" t="s">
        <v>16</v>
      </c>
      <c r="F1003" s="23">
        <v>20</v>
      </c>
      <c r="G1003" s="25"/>
      <c r="H1003" s="14">
        <f t="shared" si="786"/>
        <v>0.55000000000000004</v>
      </c>
      <c r="I1003" s="25">
        <f ca="1">IFERROR(__xludf.DUMMYFUNCTION("ROUND(D1003*GOOGLEFINANCE(""RUBKZT"")*H1003)"),41517)</f>
        <v>41517</v>
      </c>
      <c r="J1003" s="26">
        <f ca="1">IFERROR(__xludf.DUMMYFUNCTION("ROUND(I1003*GOOGLEFINANCE(""KZTEUR""))"),87)</f>
        <v>87</v>
      </c>
      <c r="K1003" s="26">
        <f t="shared" ca="1" si="787"/>
        <v>4350</v>
      </c>
      <c r="L1003" s="26">
        <f t="shared" ca="1" si="788"/>
        <v>826.5</v>
      </c>
      <c r="M1003" s="26">
        <f t="shared" ref="M1003:N1003" si="1025">M$3</f>
        <v>500</v>
      </c>
      <c r="N1003" s="26">
        <f t="shared" si="1025"/>
        <v>500</v>
      </c>
      <c r="O1003" s="26">
        <f ca="1">IFERROR(__xludf.DUMMYFUNCTION("ROUND(GOOGLEFINANCE(""Currency:EURKZT"")*K1003)"),2077428)</f>
        <v>2077428</v>
      </c>
      <c r="P1003" s="26">
        <f ca="1">IFERROR(__xludf.DUMMYFUNCTION("ROUND(GOOGLEFINANCE(""Currency:EURKZT"")*M1003)"),238785)</f>
        <v>238785</v>
      </c>
      <c r="Q1003" s="26">
        <f ca="1">IFERROR(__xludf.DUMMYFUNCTION("ROUND(GOOGLEFINANCE(""Currency:EURKZT"")*N1003)"),238785)</f>
        <v>238785</v>
      </c>
      <c r="R1003" s="26">
        <f t="shared" ca="1" si="790"/>
        <v>249291</v>
      </c>
      <c r="S1003" s="26">
        <f t="shared" ca="1" si="791"/>
        <v>2804289</v>
      </c>
      <c r="T1003" s="26">
        <f ca="1">IFERROR(__xludf.DUMMYFUNCTION("ROUND(GOOGLEFINANCE(""Currency:EURKZT"")*L1003+S1003)"),3199000)</f>
        <v>3199000</v>
      </c>
      <c r="U1003" s="26">
        <f ca="1">IFERROR(__xludf.DUMMYFUNCTION("D1003*GOOGLEFINANCE(""RUBKZT"")*1000/F1003"),3774251.86259831)</f>
        <v>3774251.8625983102</v>
      </c>
      <c r="V1003" s="27">
        <f t="shared" ca="1" si="792"/>
        <v>0.17982240156246021</v>
      </c>
    </row>
    <row r="1004" spans="1:22" ht="12.75" customHeight="1" x14ac:dyDescent="0.2">
      <c r="A1004" s="6" t="s">
        <v>445</v>
      </c>
      <c r="B1004" s="6" t="s">
        <v>32</v>
      </c>
      <c r="C1004" s="7">
        <v>209643</v>
      </c>
      <c r="D1004" s="8">
        <v>16900.8</v>
      </c>
      <c r="E1004" s="9" t="s">
        <v>16</v>
      </c>
      <c r="F1004" s="23">
        <v>20</v>
      </c>
      <c r="G1004" s="25"/>
      <c r="H1004" s="14">
        <f t="shared" si="786"/>
        <v>0.55000000000000004</v>
      </c>
      <c r="I1004" s="25">
        <f ca="1">IFERROR(__xludf.DUMMYFUNCTION("ROUND(D1004*GOOGLEFINANCE(""RUBKZT"")*H1004)"),72537)</f>
        <v>72537</v>
      </c>
      <c r="J1004" s="26">
        <f ca="1">IFERROR(__xludf.DUMMYFUNCTION("ROUND(I1004*GOOGLEFINANCE(""KZTEUR""))"),152)</f>
        <v>152</v>
      </c>
      <c r="K1004" s="26">
        <f t="shared" ca="1" si="787"/>
        <v>7600</v>
      </c>
      <c r="L1004" s="26">
        <f t="shared" ca="1" si="788"/>
        <v>1444</v>
      </c>
      <c r="M1004" s="26">
        <f t="shared" ref="M1004:N1004" si="1026">M$3</f>
        <v>500</v>
      </c>
      <c r="N1004" s="26">
        <f t="shared" si="1026"/>
        <v>500</v>
      </c>
      <c r="O1004" s="26">
        <f ca="1">IFERROR(__xludf.DUMMYFUNCTION("ROUND(GOOGLEFINANCE(""Currency:EURKZT"")*K1004)"),3629529)</f>
        <v>3629529</v>
      </c>
      <c r="P1004" s="26">
        <f ca="1">IFERROR(__xludf.DUMMYFUNCTION("ROUND(GOOGLEFINANCE(""Currency:EURKZT"")*M1004)"),238785)</f>
        <v>238785</v>
      </c>
      <c r="Q1004" s="26">
        <f ca="1">IFERROR(__xludf.DUMMYFUNCTION("ROUND(GOOGLEFINANCE(""Currency:EURKZT"")*N1004)"),238785)</f>
        <v>238785</v>
      </c>
      <c r="R1004" s="26">
        <f t="shared" ca="1" si="790"/>
        <v>435543</v>
      </c>
      <c r="S1004" s="26">
        <f t="shared" ca="1" si="791"/>
        <v>4542642</v>
      </c>
      <c r="T1004" s="26">
        <f ca="1">IFERROR(__xludf.DUMMYFUNCTION("ROUND(GOOGLEFINANCE(""Currency:EURKZT"")*L1004+S1004)"),5232253)</f>
        <v>5232253</v>
      </c>
      <c r="U1004" s="26">
        <f ca="1">IFERROR(__xludf.DUMMYFUNCTION("D1004*GOOGLEFINANCE(""RUBKZT"")*1000/F1004"),6594288.95085408)</f>
        <v>6594288.9508540798</v>
      </c>
      <c r="V1004" s="27">
        <f t="shared" ca="1" si="792"/>
        <v>0.26031538437726154</v>
      </c>
    </row>
    <row r="1005" spans="1:22" ht="12.75" customHeight="1" x14ac:dyDescent="0.2">
      <c r="A1005" s="6" t="s">
        <v>137</v>
      </c>
      <c r="B1005" s="6" t="s">
        <v>32</v>
      </c>
      <c r="C1005" s="7">
        <v>166795</v>
      </c>
      <c r="D1005" s="8">
        <v>7831.2</v>
      </c>
      <c r="E1005" s="9" t="s">
        <v>16</v>
      </c>
      <c r="F1005" s="23">
        <v>20</v>
      </c>
      <c r="G1005" s="25"/>
      <c r="H1005" s="14">
        <f t="shared" si="786"/>
        <v>0.55000000000000004</v>
      </c>
      <c r="I1005" s="25">
        <f ca="1">IFERROR(__xludf.DUMMYFUNCTION("ROUND(D1005*GOOGLEFINANCE(""RUBKZT"")*H1005)"),33611)</f>
        <v>33611</v>
      </c>
      <c r="J1005" s="26">
        <f ca="1">IFERROR(__xludf.DUMMYFUNCTION("ROUND(I1005*GOOGLEFINANCE(""KZTEUR""))"),70)</f>
        <v>70</v>
      </c>
      <c r="K1005" s="26">
        <f t="shared" ca="1" si="787"/>
        <v>3500</v>
      </c>
      <c r="L1005" s="26">
        <f t="shared" ca="1" si="788"/>
        <v>665</v>
      </c>
      <c r="M1005" s="26">
        <f t="shared" ref="M1005:N1005" si="1027">M$3</f>
        <v>500</v>
      </c>
      <c r="N1005" s="26">
        <f t="shared" si="1027"/>
        <v>500</v>
      </c>
      <c r="O1005" s="26">
        <f ca="1">IFERROR(__xludf.DUMMYFUNCTION("ROUND(GOOGLEFINANCE(""Currency:EURKZT"")*K1005)"),1671494)</f>
        <v>1671494</v>
      </c>
      <c r="P1005" s="26">
        <f ca="1">IFERROR(__xludf.DUMMYFUNCTION("ROUND(GOOGLEFINANCE(""Currency:EURKZT"")*M1005)"),238785)</f>
        <v>238785</v>
      </c>
      <c r="Q1005" s="26">
        <f ca="1">IFERROR(__xludf.DUMMYFUNCTION("ROUND(GOOGLEFINANCE(""Currency:EURKZT"")*N1005)"),238785)</f>
        <v>238785</v>
      </c>
      <c r="R1005" s="26">
        <f t="shared" ca="1" si="790"/>
        <v>200579</v>
      </c>
      <c r="S1005" s="26">
        <f t="shared" ca="1" si="791"/>
        <v>2349643</v>
      </c>
      <c r="T1005" s="26">
        <f ca="1">IFERROR(__xludf.DUMMYFUNCTION("ROUND(GOOGLEFINANCE(""Currency:EURKZT"")*L1005+S1005)"),2667227)</f>
        <v>2667227</v>
      </c>
      <c r="U1005" s="26">
        <f ca="1">IFERROR(__xludf.DUMMYFUNCTION("D1005*GOOGLEFINANCE(""RUBKZT"")*1000/F1005"),3055547.40792912)</f>
        <v>3055547.4079291201</v>
      </c>
      <c r="V1005" s="27">
        <f t="shared" ca="1" si="792"/>
        <v>0.14558956096692188</v>
      </c>
    </row>
    <row r="1006" spans="1:22" ht="12.75" customHeight="1" x14ac:dyDescent="0.2">
      <c r="A1006" s="6" t="s">
        <v>455</v>
      </c>
      <c r="B1006" s="6" t="s">
        <v>32</v>
      </c>
      <c r="C1006" s="7">
        <v>134149</v>
      </c>
      <c r="D1006" s="8">
        <v>9440.4</v>
      </c>
      <c r="E1006" s="9" t="s">
        <v>16</v>
      </c>
      <c r="F1006" s="23">
        <v>20</v>
      </c>
      <c r="G1006" s="25"/>
      <c r="H1006" s="14">
        <f t="shared" si="786"/>
        <v>0.55000000000000004</v>
      </c>
      <c r="I1006" s="25">
        <f ca="1">IFERROR(__xludf.DUMMYFUNCTION("ROUND(D1006*GOOGLEFINANCE(""RUBKZT"")*H1006)"),40518)</f>
        <v>40518</v>
      </c>
      <c r="J1006" s="26">
        <f ca="1">IFERROR(__xludf.DUMMYFUNCTION("ROUND(I1006*GOOGLEFINANCE(""KZTEUR""))"),85)</f>
        <v>85</v>
      </c>
      <c r="K1006" s="26">
        <f t="shared" ca="1" si="787"/>
        <v>4250</v>
      </c>
      <c r="L1006" s="26">
        <f t="shared" ca="1" si="788"/>
        <v>807.5</v>
      </c>
      <c r="M1006" s="26">
        <f t="shared" ref="M1006:N1006" si="1028">M$3</f>
        <v>500</v>
      </c>
      <c r="N1006" s="26">
        <f t="shared" si="1028"/>
        <v>500</v>
      </c>
      <c r="O1006" s="26">
        <f ca="1">IFERROR(__xludf.DUMMYFUNCTION("ROUND(GOOGLEFINANCE(""Currency:EURKZT"")*K1006)"),2029671)</f>
        <v>2029671</v>
      </c>
      <c r="P1006" s="26">
        <f ca="1">IFERROR(__xludf.DUMMYFUNCTION("ROUND(GOOGLEFINANCE(""Currency:EURKZT"")*M1006)"),238785)</f>
        <v>238785</v>
      </c>
      <c r="Q1006" s="26">
        <f ca="1">IFERROR(__xludf.DUMMYFUNCTION("ROUND(GOOGLEFINANCE(""Currency:EURKZT"")*N1006)"),238785)</f>
        <v>238785</v>
      </c>
      <c r="R1006" s="26">
        <f t="shared" ca="1" si="790"/>
        <v>243561</v>
      </c>
      <c r="S1006" s="26">
        <f t="shared" ca="1" si="791"/>
        <v>2750802</v>
      </c>
      <c r="T1006" s="26">
        <f ca="1">IFERROR(__xludf.DUMMYFUNCTION("ROUND(GOOGLEFINANCE(""Currency:EURKZT"")*L1006+S1006)"),3136439)</f>
        <v>3136439</v>
      </c>
      <c r="U1006" s="26">
        <f ca="1">IFERROR(__xludf.DUMMYFUNCTION("D1006*GOOGLEFINANCE(""RUBKZT"")*1000/F1006"),3683418.85660104)</f>
        <v>3683418.8566010399</v>
      </c>
      <c r="V1006" s="27">
        <f t="shared" ca="1" si="792"/>
        <v>0.17439518402909793</v>
      </c>
    </row>
    <row r="1007" spans="1:22" ht="12.75" customHeight="1" x14ac:dyDescent="0.2">
      <c r="A1007" s="6" t="s">
        <v>600</v>
      </c>
      <c r="B1007" s="6" t="s">
        <v>32</v>
      </c>
      <c r="C1007" s="7">
        <v>201292</v>
      </c>
      <c r="D1007" s="8">
        <v>9692.4</v>
      </c>
      <c r="E1007" s="9" t="s">
        <v>16</v>
      </c>
      <c r="F1007" s="23">
        <v>20</v>
      </c>
      <c r="G1007" s="25"/>
      <c r="H1007" s="14">
        <f t="shared" si="786"/>
        <v>0.55000000000000004</v>
      </c>
      <c r="I1007" s="25">
        <f ca="1">IFERROR(__xludf.DUMMYFUNCTION("ROUND(D1007*GOOGLEFINANCE(""RUBKZT"")*H1007)"),41599)</f>
        <v>41599</v>
      </c>
      <c r="J1007" s="26">
        <f ca="1">IFERROR(__xludf.DUMMYFUNCTION("ROUND(I1007*GOOGLEFINANCE(""KZTEUR""))"),87)</f>
        <v>87</v>
      </c>
      <c r="K1007" s="26">
        <f t="shared" ca="1" si="787"/>
        <v>4350</v>
      </c>
      <c r="L1007" s="26">
        <f t="shared" ca="1" si="788"/>
        <v>826.5</v>
      </c>
      <c r="M1007" s="26">
        <f t="shared" ref="M1007:N1007" si="1029">M$3</f>
        <v>500</v>
      </c>
      <c r="N1007" s="26">
        <f t="shared" si="1029"/>
        <v>500</v>
      </c>
      <c r="O1007" s="26">
        <f ca="1">IFERROR(__xludf.DUMMYFUNCTION("ROUND(GOOGLEFINANCE(""Currency:EURKZT"")*K1007)"),2077428)</f>
        <v>2077428</v>
      </c>
      <c r="P1007" s="26">
        <f ca="1">IFERROR(__xludf.DUMMYFUNCTION("ROUND(GOOGLEFINANCE(""Currency:EURKZT"")*M1007)"),238785)</f>
        <v>238785</v>
      </c>
      <c r="Q1007" s="26">
        <f ca="1">IFERROR(__xludf.DUMMYFUNCTION("ROUND(GOOGLEFINANCE(""Currency:EURKZT"")*N1007)"),238785)</f>
        <v>238785</v>
      </c>
      <c r="R1007" s="26">
        <f t="shared" ca="1" si="790"/>
        <v>249291</v>
      </c>
      <c r="S1007" s="26">
        <f t="shared" ca="1" si="791"/>
        <v>2804289</v>
      </c>
      <c r="T1007" s="26">
        <f ca="1">IFERROR(__xludf.DUMMYFUNCTION("ROUND(GOOGLEFINANCE(""Currency:EURKZT"")*L1007+S1007)"),3199000)</f>
        <v>3199000</v>
      </c>
      <c r="U1007" s="26">
        <f ca="1">IFERROR(__xludf.DUMMYFUNCTION("D1007*GOOGLEFINANCE(""RUBKZT"")*1000/F1007"),3781743.24453623)</f>
        <v>3781743.2445362299</v>
      </c>
      <c r="V1007" s="27">
        <f t="shared" ca="1" si="792"/>
        <v>0.18216419022701777</v>
      </c>
    </row>
    <row r="1008" spans="1:22" ht="12.75" customHeight="1" x14ac:dyDescent="0.2">
      <c r="A1008" s="6" t="s">
        <v>687</v>
      </c>
      <c r="B1008" s="6" t="s">
        <v>32</v>
      </c>
      <c r="C1008" s="7">
        <v>201284</v>
      </c>
      <c r="D1008" s="8">
        <v>9439.1999999999989</v>
      </c>
      <c r="E1008" s="9" t="s">
        <v>16</v>
      </c>
      <c r="F1008" s="23">
        <v>20</v>
      </c>
      <c r="G1008" s="25"/>
      <c r="H1008" s="14">
        <f t="shared" si="786"/>
        <v>0.55000000000000004</v>
      </c>
      <c r="I1008" s="25">
        <f ca="1">IFERROR(__xludf.DUMMYFUNCTION("ROUND(D1008*GOOGLEFINANCE(""RUBKZT"")*H1008)"),40512)</f>
        <v>40512</v>
      </c>
      <c r="J1008" s="26">
        <f ca="1">IFERROR(__xludf.DUMMYFUNCTION("ROUND(I1008*GOOGLEFINANCE(""KZTEUR""))"),85)</f>
        <v>85</v>
      </c>
      <c r="K1008" s="26">
        <f t="shared" ca="1" si="787"/>
        <v>4250</v>
      </c>
      <c r="L1008" s="26">
        <f t="shared" ca="1" si="788"/>
        <v>807.5</v>
      </c>
      <c r="M1008" s="26">
        <f t="shared" ref="M1008:N1008" si="1030">M$3</f>
        <v>500</v>
      </c>
      <c r="N1008" s="26">
        <f t="shared" si="1030"/>
        <v>500</v>
      </c>
      <c r="O1008" s="26">
        <f ca="1">IFERROR(__xludf.DUMMYFUNCTION("ROUND(GOOGLEFINANCE(""Currency:EURKZT"")*K1008)"),2029671)</f>
        <v>2029671</v>
      </c>
      <c r="P1008" s="26">
        <f ca="1">IFERROR(__xludf.DUMMYFUNCTION("ROUND(GOOGLEFINANCE(""Currency:EURKZT"")*M1008)"),238785)</f>
        <v>238785</v>
      </c>
      <c r="Q1008" s="26">
        <f ca="1">IFERROR(__xludf.DUMMYFUNCTION("ROUND(GOOGLEFINANCE(""Currency:EURKZT"")*N1008)"),238785)</f>
        <v>238785</v>
      </c>
      <c r="R1008" s="26">
        <f t="shared" ca="1" si="790"/>
        <v>243561</v>
      </c>
      <c r="S1008" s="26">
        <f t="shared" ca="1" si="791"/>
        <v>2750802</v>
      </c>
      <c r="T1008" s="26">
        <f ca="1">IFERROR(__xludf.DUMMYFUNCTION("ROUND(GOOGLEFINANCE(""Currency:EURKZT"")*L1008+S1008)"),3136439)</f>
        <v>3136439</v>
      </c>
      <c r="U1008" s="26">
        <f ca="1">IFERROR(__xludf.DUMMYFUNCTION("D1008*GOOGLEFINANCE(""RUBKZT"")*1000/F1008"),3682950.64522991)</f>
        <v>3682950.64522991</v>
      </c>
      <c r="V1008" s="27">
        <f t="shared" ca="1" si="792"/>
        <v>0.17424590283117575</v>
      </c>
    </row>
    <row r="1009" spans="1:22" ht="12.75" customHeight="1" x14ac:dyDescent="0.2">
      <c r="A1009" s="6" t="s">
        <v>465</v>
      </c>
      <c r="B1009" s="6" t="s">
        <v>506</v>
      </c>
      <c r="C1009" s="7">
        <v>213823</v>
      </c>
      <c r="D1009" s="8">
        <v>4845.5999999999995</v>
      </c>
      <c r="E1009" s="9" t="s">
        <v>16</v>
      </c>
      <c r="F1009" s="23">
        <f t="shared" ref="F1009:F1010" si="1031">24*0.25</f>
        <v>6</v>
      </c>
      <c r="G1009" s="25"/>
      <c r="H1009" s="14">
        <f t="shared" si="786"/>
        <v>0.55000000000000004</v>
      </c>
      <c r="I1009" s="25">
        <f ca="1">IFERROR(__xludf.DUMMYFUNCTION("ROUND(D1009*GOOGLEFINANCE(""RUBKZT"")*H1009)"),20797)</f>
        <v>20797</v>
      </c>
      <c r="J1009" s="26">
        <f ca="1">IFERROR(__xludf.DUMMYFUNCTION("ROUND(I1009*GOOGLEFINANCE(""KZTEUR""))"),44)</f>
        <v>44</v>
      </c>
      <c r="K1009" s="26">
        <f t="shared" ca="1" si="787"/>
        <v>7333</v>
      </c>
      <c r="L1009" s="26">
        <f t="shared" ca="1" si="788"/>
        <v>1393.27</v>
      </c>
      <c r="M1009" s="26">
        <f t="shared" ref="M1009:N1009" si="1032">M$3</f>
        <v>500</v>
      </c>
      <c r="N1009" s="26">
        <f t="shared" si="1032"/>
        <v>500</v>
      </c>
      <c r="O1009" s="26">
        <f ca="1">IFERROR(__xludf.DUMMYFUNCTION("ROUND(GOOGLEFINANCE(""Currency:EURKZT"")*K1009)"),3502018)</f>
        <v>3502018</v>
      </c>
      <c r="P1009" s="26">
        <f ca="1">IFERROR(__xludf.DUMMYFUNCTION("ROUND(GOOGLEFINANCE(""Currency:EURKZT"")*M1009)"),238785)</f>
        <v>238785</v>
      </c>
      <c r="Q1009" s="26">
        <f ca="1">IFERROR(__xludf.DUMMYFUNCTION("ROUND(GOOGLEFINANCE(""Currency:EURKZT"")*N1009)"),238785)</f>
        <v>238785</v>
      </c>
      <c r="R1009" s="26">
        <f t="shared" ca="1" si="790"/>
        <v>420242</v>
      </c>
      <c r="S1009" s="26">
        <f t="shared" ca="1" si="791"/>
        <v>4399830</v>
      </c>
      <c r="T1009" s="26">
        <f ca="1">IFERROR(__xludf.DUMMYFUNCTION("ROUND(GOOGLEFINANCE(""Currency:EURKZT"")*L1009+S1009)"),5065213)</f>
        <v>5065213</v>
      </c>
      <c r="U1009" s="26">
        <f ca="1">IFERROR(__xludf.DUMMYFUNCTION("D1009*GOOGLEFINANCE(""RUBKZT"")*1000/F1009"),6302125.0552752)</f>
        <v>6302125.0552751999</v>
      </c>
      <c r="V1009" s="27">
        <f t="shared" ca="1" si="792"/>
        <v>0.24419744150447373</v>
      </c>
    </row>
    <row r="1010" spans="1:22" ht="12.75" customHeight="1" x14ac:dyDescent="0.2">
      <c r="A1010" s="6" t="s">
        <v>507</v>
      </c>
      <c r="B1010" s="6" t="s">
        <v>506</v>
      </c>
      <c r="C1010" s="7">
        <v>213825</v>
      </c>
      <c r="D1010" s="8">
        <v>5974.8</v>
      </c>
      <c r="E1010" s="9" t="s">
        <v>16</v>
      </c>
      <c r="F1010" s="23">
        <f t="shared" si="1031"/>
        <v>6</v>
      </c>
      <c r="G1010" s="25"/>
      <c r="H1010" s="14">
        <f t="shared" si="786"/>
        <v>0.55000000000000004</v>
      </c>
      <c r="I1010" s="25">
        <f ca="1">IFERROR(__xludf.DUMMYFUNCTION("ROUND(D1010*GOOGLEFINANCE(""RUBKZT"")*H1010)"),25643)</f>
        <v>25643</v>
      </c>
      <c r="J1010" s="26">
        <f ca="1">IFERROR(__xludf.DUMMYFUNCTION("ROUND(I1010*GOOGLEFINANCE(""KZTEUR""))"),54)</f>
        <v>54</v>
      </c>
      <c r="K1010" s="26">
        <f t="shared" ca="1" si="787"/>
        <v>9000</v>
      </c>
      <c r="L1010" s="26">
        <f t="shared" ca="1" si="788"/>
        <v>1710</v>
      </c>
      <c r="M1010" s="26">
        <f t="shared" ref="M1010:N1010" si="1033">M$3</f>
        <v>500</v>
      </c>
      <c r="N1010" s="26">
        <f t="shared" si="1033"/>
        <v>500</v>
      </c>
      <c r="O1010" s="26">
        <f ca="1">IFERROR(__xludf.DUMMYFUNCTION("ROUND(GOOGLEFINANCE(""Currency:EURKZT"")*K1010)"),4298127)</f>
        <v>4298127</v>
      </c>
      <c r="P1010" s="26">
        <f ca="1">IFERROR(__xludf.DUMMYFUNCTION("ROUND(GOOGLEFINANCE(""Currency:EURKZT"")*M1010)"),238785)</f>
        <v>238785</v>
      </c>
      <c r="Q1010" s="26">
        <f ca="1">IFERROR(__xludf.DUMMYFUNCTION("ROUND(GOOGLEFINANCE(""Currency:EURKZT"")*N1010)"),238785)</f>
        <v>238785</v>
      </c>
      <c r="R1010" s="26">
        <f t="shared" ca="1" si="790"/>
        <v>515775</v>
      </c>
      <c r="S1010" s="26">
        <f t="shared" ca="1" si="791"/>
        <v>5291472</v>
      </c>
      <c r="T1010" s="26">
        <f ca="1">IFERROR(__xludf.DUMMYFUNCTION("ROUND(GOOGLEFINANCE(""Currency:EURKZT"")*L1010+S1010)"),6108116)</f>
        <v>6108116</v>
      </c>
      <c r="U1010" s="26">
        <f ca="1">IFERROR(__xludf.DUMMYFUNCTION("D1010*GOOGLEFINANCE(""RUBKZT"")*1000/F1010"),7770748.0560216)</f>
        <v>7770748.0560216</v>
      </c>
      <c r="V1010" s="27">
        <f t="shared" ca="1" si="792"/>
        <v>0.27220047163832517</v>
      </c>
    </row>
    <row r="1011" spans="1:22" ht="12.75" customHeight="1" x14ac:dyDescent="0.2">
      <c r="A1011" s="6" t="s">
        <v>238</v>
      </c>
      <c r="B1011" s="6" t="s">
        <v>239</v>
      </c>
      <c r="C1011" s="7">
        <v>161172</v>
      </c>
      <c r="D1011" s="8">
        <v>16975.2</v>
      </c>
      <c r="E1011" s="9" t="s">
        <v>16</v>
      </c>
      <c r="F1011" s="23">
        <f t="shared" ref="F1011:F1014" si="1034">24*0.37</f>
        <v>8.879999999999999</v>
      </c>
      <c r="G1011" s="25"/>
      <c r="H1011" s="14">
        <f t="shared" si="786"/>
        <v>0.55000000000000004</v>
      </c>
      <c r="I1011" s="25">
        <f ca="1">IFERROR(__xludf.DUMMYFUNCTION("ROUND(D1011*GOOGLEFINANCE(""RUBKZT"")*H1011)"),72856)</f>
        <v>72856</v>
      </c>
      <c r="J1011" s="26">
        <f ca="1">IFERROR(__xludf.DUMMYFUNCTION("ROUND(I1011*GOOGLEFINANCE(""KZTEUR""))"),153)</f>
        <v>153</v>
      </c>
      <c r="K1011" s="26">
        <f t="shared" ca="1" si="787"/>
        <v>17230</v>
      </c>
      <c r="L1011" s="26">
        <f t="shared" ca="1" si="788"/>
        <v>3273.7</v>
      </c>
      <c r="M1011" s="26">
        <f t="shared" ref="M1011:N1011" si="1035">M$3</f>
        <v>500</v>
      </c>
      <c r="N1011" s="26">
        <f t="shared" si="1035"/>
        <v>500</v>
      </c>
      <c r="O1011" s="26">
        <f ca="1">IFERROR(__xludf.DUMMYFUNCTION("ROUND(GOOGLEFINANCE(""Currency:EURKZT"")*K1011)"),8228524)</f>
        <v>8228524</v>
      </c>
      <c r="P1011" s="26">
        <f ca="1">IFERROR(__xludf.DUMMYFUNCTION("ROUND(GOOGLEFINANCE(""Currency:EURKZT"")*M1011)"),238785)</f>
        <v>238785</v>
      </c>
      <c r="Q1011" s="26">
        <f ca="1">IFERROR(__xludf.DUMMYFUNCTION("ROUND(GOOGLEFINANCE(""Currency:EURKZT"")*N1011)"),238785)</f>
        <v>238785</v>
      </c>
      <c r="R1011" s="26">
        <f t="shared" ca="1" si="790"/>
        <v>987423</v>
      </c>
      <c r="S1011" s="26">
        <f t="shared" ca="1" si="791"/>
        <v>9693517</v>
      </c>
      <c r="T1011" s="26">
        <f ca="1">IFERROR(__xludf.DUMMYFUNCTION("ROUND(GOOGLEFINANCE(""Currency:EURKZT"")*L1011+S1011)"),11256937)</f>
        <v>11256937</v>
      </c>
      <c r="U1011" s="26">
        <f ca="1">IFERROR(__xludf.DUMMYFUNCTION("D1011*GOOGLEFINANCE(""RUBKZT"")*1000/F1011"),14917383.0087016)</f>
        <v>14917383.0087016</v>
      </c>
      <c r="V1011" s="27">
        <f t="shared" ca="1" si="792"/>
        <v>0.32517246998020866</v>
      </c>
    </row>
    <row r="1012" spans="1:22" ht="12.75" customHeight="1" x14ac:dyDescent="0.2">
      <c r="A1012" s="6" t="s">
        <v>240</v>
      </c>
      <c r="B1012" s="6" t="s">
        <v>239</v>
      </c>
      <c r="C1012" s="7">
        <v>161390</v>
      </c>
      <c r="D1012" s="8">
        <v>16975.2</v>
      </c>
      <c r="E1012" s="9" t="s">
        <v>16</v>
      </c>
      <c r="F1012" s="23">
        <f t="shared" si="1034"/>
        <v>8.879999999999999</v>
      </c>
      <c r="G1012" s="25"/>
      <c r="H1012" s="14">
        <f t="shared" si="786"/>
        <v>0.55000000000000004</v>
      </c>
      <c r="I1012" s="25">
        <f ca="1">IFERROR(__xludf.DUMMYFUNCTION("ROUND(D1012*GOOGLEFINANCE(""RUBKZT"")*H1012)"),72856)</f>
        <v>72856</v>
      </c>
      <c r="J1012" s="26">
        <f ca="1">IFERROR(__xludf.DUMMYFUNCTION("ROUND(I1012*GOOGLEFINANCE(""KZTEUR""))"),153)</f>
        <v>153</v>
      </c>
      <c r="K1012" s="26">
        <f t="shared" ca="1" si="787"/>
        <v>17230</v>
      </c>
      <c r="L1012" s="26">
        <f t="shared" ca="1" si="788"/>
        <v>3273.7</v>
      </c>
      <c r="M1012" s="26">
        <f t="shared" ref="M1012:N1012" si="1036">M$3</f>
        <v>500</v>
      </c>
      <c r="N1012" s="26">
        <f t="shared" si="1036"/>
        <v>500</v>
      </c>
      <c r="O1012" s="26">
        <f ca="1">IFERROR(__xludf.DUMMYFUNCTION("ROUND(GOOGLEFINANCE(""Currency:EURKZT"")*K1012)"),8228524)</f>
        <v>8228524</v>
      </c>
      <c r="P1012" s="26">
        <f ca="1">IFERROR(__xludf.DUMMYFUNCTION("ROUND(GOOGLEFINANCE(""Currency:EURKZT"")*M1012)"),238785)</f>
        <v>238785</v>
      </c>
      <c r="Q1012" s="26">
        <f ca="1">IFERROR(__xludf.DUMMYFUNCTION("ROUND(GOOGLEFINANCE(""Currency:EURKZT"")*N1012)"),238785)</f>
        <v>238785</v>
      </c>
      <c r="R1012" s="26">
        <f t="shared" ca="1" si="790"/>
        <v>987423</v>
      </c>
      <c r="S1012" s="26">
        <f t="shared" ca="1" si="791"/>
        <v>9693517</v>
      </c>
      <c r="T1012" s="26">
        <f ca="1">IFERROR(__xludf.DUMMYFUNCTION("ROUND(GOOGLEFINANCE(""Currency:EURKZT"")*L1012+S1012)"),11256937)</f>
        <v>11256937</v>
      </c>
      <c r="U1012" s="26">
        <f ca="1">IFERROR(__xludf.DUMMYFUNCTION("D1012*GOOGLEFINANCE(""RUBKZT"")*1000/F1012"),14917383.0087016)</f>
        <v>14917383.0087016</v>
      </c>
      <c r="V1012" s="27">
        <f t="shared" ca="1" si="792"/>
        <v>0.32517246998020866</v>
      </c>
    </row>
    <row r="1013" spans="1:22" ht="12.75" customHeight="1" x14ac:dyDescent="0.2">
      <c r="A1013" s="6" t="s">
        <v>267</v>
      </c>
      <c r="B1013" s="6" t="s">
        <v>239</v>
      </c>
      <c r="C1013" s="7">
        <v>172826</v>
      </c>
      <c r="D1013" s="8">
        <v>20371.2</v>
      </c>
      <c r="E1013" s="9" t="s">
        <v>16</v>
      </c>
      <c r="F1013" s="23">
        <f t="shared" si="1034"/>
        <v>8.879999999999999</v>
      </c>
      <c r="G1013" s="25"/>
      <c r="H1013" s="14">
        <f t="shared" si="786"/>
        <v>0.55000000000000004</v>
      </c>
      <c r="I1013" s="25">
        <f ca="1">IFERROR(__xludf.DUMMYFUNCTION("ROUND(D1013*GOOGLEFINANCE(""RUBKZT"")*H1013)"),87432)</f>
        <v>87432</v>
      </c>
      <c r="J1013" s="26">
        <f ca="1">IFERROR(__xludf.DUMMYFUNCTION("ROUND(I1013*GOOGLEFINANCE(""KZTEUR""))"),183)</f>
        <v>183</v>
      </c>
      <c r="K1013" s="26">
        <f t="shared" ca="1" si="787"/>
        <v>20608</v>
      </c>
      <c r="L1013" s="26">
        <f t="shared" ca="1" si="788"/>
        <v>3915.52</v>
      </c>
      <c r="M1013" s="26">
        <f t="shared" ref="M1013:N1013" si="1037">M$3</f>
        <v>500</v>
      </c>
      <c r="N1013" s="26">
        <f t="shared" si="1037"/>
        <v>500</v>
      </c>
      <c r="O1013" s="26">
        <f ca="1">IFERROR(__xludf.DUMMYFUNCTION("ROUND(GOOGLEFINANCE(""Currency:EURKZT"")*K1013)"),9841755)</f>
        <v>9841755</v>
      </c>
      <c r="P1013" s="26">
        <f ca="1">IFERROR(__xludf.DUMMYFUNCTION("ROUND(GOOGLEFINANCE(""Currency:EURKZT"")*M1013)"),238785)</f>
        <v>238785</v>
      </c>
      <c r="Q1013" s="26">
        <f ca="1">IFERROR(__xludf.DUMMYFUNCTION("ROUND(GOOGLEFINANCE(""Currency:EURKZT"")*N1013)"),238785)</f>
        <v>238785</v>
      </c>
      <c r="R1013" s="26">
        <f t="shared" ca="1" si="790"/>
        <v>1181011</v>
      </c>
      <c r="S1013" s="26">
        <f t="shared" ca="1" si="791"/>
        <v>11500336</v>
      </c>
      <c r="T1013" s="26">
        <f ca="1">IFERROR(__xludf.DUMMYFUNCTION("ROUND(GOOGLEFINANCE(""Currency:EURKZT"")*L1013+S1013)"),13370269)</f>
        <v>13370269</v>
      </c>
      <c r="U1013" s="26">
        <f ca="1">IFERROR(__xludf.DUMMYFUNCTION("D1013*GOOGLEFINANCE(""RUBKZT"")*1000/F1013"),17901703.234534)</f>
        <v>17901703.234533999</v>
      </c>
      <c r="V1013" s="27">
        <f t="shared" ca="1" si="792"/>
        <v>0.33891870347066311</v>
      </c>
    </row>
    <row r="1014" spans="1:22" ht="12.75" customHeight="1" x14ac:dyDescent="0.2">
      <c r="A1014" s="6" t="s">
        <v>320</v>
      </c>
      <c r="B1014" s="6" t="s">
        <v>239</v>
      </c>
      <c r="C1014" s="7">
        <v>188476</v>
      </c>
      <c r="D1014" s="8">
        <v>12303.6</v>
      </c>
      <c r="E1014" s="9" t="s">
        <v>16</v>
      </c>
      <c r="F1014" s="23">
        <f t="shared" si="1034"/>
        <v>8.879999999999999</v>
      </c>
      <c r="G1014" s="25"/>
      <c r="H1014" s="14">
        <f t="shared" si="786"/>
        <v>0.55000000000000004</v>
      </c>
      <c r="I1014" s="25">
        <f ca="1">IFERROR(__xludf.DUMMYFUNCTION("ROUND(D1014*GOOGLEFINANCE(""RUBKZT"")*H1014)"),52806)</f>
        <v>52806</v>
      </c>
      <c r="J1014" s="26">
        <f ca="1">IFERROR(__xludf.DUMMYFUNCTION("ROUND(I1014*GOOGLEFINANCE(""KZTEUR""))"),111)</f>
        <v>111</v>
      </c>
      <c r="K1014" s="26">
        <f t="shared" ca="1" si="787"/>
        <v>12500</v>
      </c>
      <c r="L1014" s="26">
        <f t="shared" ca="1" si="788"/>
        <v>2375</v>
      </c>
      <c r="M1014" s="26">
        <f t="shared" ref="M1014:N1014" si="1038">M$3</f>
        <v>500</v>
      </c>
      <c r="N1014" s="26">
        <f t="shared" si="1038"/>
        <v>500</v>
      </c>
      <c r="O1014" s="26">
        <f ca="1">IFERROR(__xludf.DUMMYFUNCTION("ROUND(GOOGLEFINANCE(""Currency:EURKZT"")*K1014)"),5969620)</f>
        <v>5969620</v>
      </c>
      <c r="P1014" s="26">
        <f ca="1">IFERROR(__xludf.DUMMYFUNCTION("ROUND(GOOGLEFINANCE(""Currency:EURKZT"")*M1014)"),238785)</f>
        <v>238785</v>
      </c>
      <c r="Q1014" s="26">
        <f ca="1">IFERROR(__xludf.DUMMYFUNCTION("ROUND(GOOGLEFINANCE(""Currency:EURKZT"")*N1014)"),238785)</f>
        <v>238785</v>
      </c>
      <c r="R1014" s="26">
        <f t="shared" ca="1" si="790"/>
        <v>716354</v>
      </c>
      <c r="S1014" s="26">
        <f t="shared" ca="1" si="791"/>
        <v>7163544</v>
      </c>
      <c r="T1014" s="26">
        <f ca="1">IFERROR(__xludf.DUMMYFUNCTION("ROUND(GOOGLEFINANCE(""Currency:EURKZT"")*L1014+S1014)"),8297772)</f>
        <v>8297772</v>
      </c>
      <c r="U1014" s="26">
        <f ca="1">IFERROR(__xludf.DUMMYFUNCTION("D1014*GOOGLEFINANCE(""RUBKZT"")*1000/F1014"),10812097.2704805)</f>
        <v>10812097.270480501</v>
      </c>
      <c r="V1014" s="27">
        <f t="shared" ca="1" si="792"/>
        <v>0.30301209414774238</v>
      </c>
    </row>
    <row r="1015" spans="1:22" ht="12.75" customHeight="1" x14ac:dyDescent="0.2">
      <c r="A1015" s="6" t="s">
        <v>281</v>
      </c>
      <c r="B1015" s="6" t="s">
        <v>284</v>
      </c>
      <c r="C1015" s="7">
        <v>179304</v>
      </c>
      <c r="D1015" s="8">
        <v>9859.1999999999989</v>
      </c>
      <c r="E1015" s="9" t="s">
        <v>16</v>
      </c>
      <c r="F1015" s="23">
        <f t="shared" ref="F1015:F1017" si="1039">24*0.42</f>
        <v>10.08</v>
      </c>
      <c r="G1015" s="25"/>
      <c r="H1015" s="14">
        <f t="shared" si="786"/>
        <v>0.55000000000000004</v>
      </c>
      <c r="I1015" s="25">
        <f ca="1">IFERROR(__xludf.DUMMYFUNCTION("ROUND(D1015*GOOGLEFINANCE(""RUBKZT"")*H1015)"),42315)</f>
        <v>42315</v>
      </c>
      <c r="J1015" s="26">
        <f ca="1">IFERROR(__xludf.DUMMYFUNCTION("ROUND(I1015*GOOGLEFINANCE(""KZTEUR""))"),89)</f>
        <v>89</v>
      </c>
      <c r="K1015" s="26">
        <f t="shared" ca="1" si="787"/>
        <v>8829</v>
      </c>
      <c r="L1015" s="26">
        <f t="shared" ca="1" si="788"/>
        <v>1677.51</v>
      </c>
      <c r="M1015" s="26">
        <f t="shared" ref="M1015:N1015" si="1040">M$3</f>
        <v>500</v>
      </c>
      <c r="N1015" s="26">
        <f t="shared" si="1040"/>
        <v>500</v>
      </c>
      <c r="O1015" s="26">
        <f ca="1">IFERROR(__xludf.DUMMYFUNCTION("ROUND(GOOGLEFINANCE(""Currency:EURKZT"")*K1015)"),4216462)</f>
        <v>4216462</v>
      </c>
      <c r="P1015" s="26">
        <f ca="1">IFERROR(__xludf.DUMMYFUNCTION("ROUND(GOOGLEFINANCE(""Currency:EURKZT"")*M1015)"),238785)</f>
        <v>238785</v>
      </c>
      <c r="Q1015" s="26">
        <f ca="1">IFERROR(__xludf.DUMMYFUNCTION("ROUND(GOOGLEFINANCE(""Currency:EURKZT"")*N1015)"),238785)</f>
        <v>238785</v>
      </c>
      <c r="R1015" s="26">
        <f t="shared" ca="1" si="790"/>
        <v>505975</v>
      </c>
      <c r="S1015" s="26">
        <f t="shared" ca="1" si="791"/>
        <v>5200007</v>
      </c>
      <c r="T1015" s="26">
        <f ca="1">IFERROR(__xludf.DUMMYFUNCTION("ROUND(GOOGLEFINANCE(""Currency:EURKZT"")*L1015+S1015)"),6001135)</f>
        <v>6001135</v>
      </c>
      <c r="U1015" s="26">
        <f ca="1">IFERROR(__xludf.DUMMYFUNCTION("D1015*GOOGLEFINANCE(""RUBKZT"")*1000/F1015"),7632588.54190857)</f>
        <v>7632588.5419085696</v>
      </c>
      <c r="V1015" s="27">
        <f t="shared" ca="1" si="792"/>
        <v>0.27185749727486047</v>
      </c>
    </row>
    <row r="1016" spans="1:22" ht="12.75" customHeight="1" x14ac:dyDescent="0.2">
      <c r="A1016" s="6" t="s">
        <v>289</v>
      </c>
      <c r="B1016" s="6" t="s">
        <v>284</v>
      </c>
      <c r="C1016" s="7">
        <v>182240</v>
      </c>
      <c r="D1016" s="8">
        <v>9970.7999999999993</v>
      </c>
      <c r="E1016" s="9" t="s">
        <v>16</v>
      </c>
      <c r="F1016" s="23">
        <f t="shared" si="1039"/>
        <v>10.08</v>
      </c>
      <c r="G1016" s="25"/>
      <c r="H1016" s="14">
        <f t="shared" si="786"/>
        <v>0.55000000000000004</v>
      </c>
      <c r="I1016" s="25">
        <f ca="1">IFERROR(__xludf.DUMMYFUNCTION("ROUND(D1016*GOOGLEFINANCE(""RUBKZT"")*H1016)"),42794)</f>
        <v>42794</v>
      </c>
      <c r="J1016" s="26">
        <f ca="1">IFERROR(__xludf.DUMMYFUNCTION("ROUND(I1016*GOOGLEFINANCE(""KZTEUR""))"),90)</f>
        <v>90</v>
      </c>
      <c r="K1016" s="26">
        <f t="shared" ca="1" si="787"/>
        <v>8929</v>
      </c>
      <c r="L1016" s="26">
        <f t="shared" ca="1" si="788"/>
        <v>1696.51</v>
      </c>
      <c r="M1016" s="26">
        <f t="shared" ref="M1016:N1016" si="1041">M$3</f>
        <v>500</v>
      </c>
      <c r="N1016" s="26">
        <f t="shared" si="1041"/>
        <v>500</v>
      </c>
      <c r="O1016" s="26">
        <f ca="1">IFERROR(__xludf.DUMMYFUNCTION("ROUND(GOOGLEFINANCE(""Currency:EURKZT"")*K1016)"),4264219)</f>
        <v>4264219</v>
      </c>
      <c r="P1016" s="26">
        <f ca="1">IFERROR(__xludf.DUMMYFUNCTION("ROUND(GOOGLEFINANCE(""Currency:EURKZT"")*M1016)"),238785)</f>
        <v>238785</v>
      </c>
      <c r="Q1016" s="26">
        <f ca="1">IFERROR(__xludf.DUMMYFUNCTION("ROUND(GOOGLEFINANCE(""Currency:EURKZT"")*N1016)"),238785)</f>
        <v>238785</v>
      </c>
      <c r="R1016" s="26">
        <f t="shared" ca="1" si="790"/>
        <v>511706</v>
      </c>
      <c r="S1016" s="26">
        <f t="shared" ca="1" si="791"/>
        <v>5253495</v>
      </c>
      <c r="T1016" s="26">
        <f ca="1">IFERROR(__xludf.DUMMYFUNCTION("ROUND(GOOGLEFINANCE(""Currency:EURKZT"")*L1016+S1016)"),6063697)</f>
        <v>6063697</v>
      </c>
      <c r="U1016" s="26">
        <f ca="1">IFERROR(__xludf.DUMMYFUNCTION("D1016*GOOGLEFINANCE(""RUBKZT"")*1000/F1016"),7718984.68777)</f>
        <v>7718984.6877699997</v>
      </c>
      <c r="V1016" s="27">
        <f t="shared" ca="1" si="792"/>
        <v>0.27298324566184617</v>
      </c>
    </row>
    <row r="1017" spans="1:22" ht="12.75" customHeight="1" x14ac:dyDescent="0.2">
      <c r="A1017" s="6" t="s">
        <v>391</v>
      </c>
      <c r="B1017" s="6" t="s">
        <v>284</v>
      </c>
      <c r="C1017" s="7">
        <v>199422</v>
      </c>
      <c r="D1017" s="8">
        <v>11698.8</v>
      </c>
      <c r="E1017" s="9" t="s">
        <v>16</v>
      </c>
      <c r="F1017" s="23">
        <f t="shared" si="1039"/>
        <v>10.08</v>
      </c>
      <c r="G1017" s="25"/>
      <c r="H1017" s="14">
        <f t="shared" si="786"/>
        <v>0.55000000000000004</v>
      </c>
      <c r="I1017" s="25">
        <f ca="1">IFERROR(__xludf.DUMMYFUNCTION("ROUND(D1017*GOOGLEFINANCE(""RUBKZT"")*H1017)"),50211)</f>
        <v>50211</v>
      </c>
      <c r="J1017" s="26">
        <f ca="1">IFERROR(__xludf.DUMMYFUNCTION("ROUND(I1017*GOOGLEFINANCE(""KZTEUR""))"),105)</f>
        <v>105</v>
      </c>
      <c r="K1017" s="26">
        <f t="shared" ca="1" si="787"/>
        <v>10417</v>
      </c>
      <c r="L1017" s="26">
        <f t="shared" ca="1" si="788"/>
        <v>1979.23</v>
      </c>
      <c r="M1017" s="26">
        <f t="shared" ref="M1017:N1017" si="1042">M$3</f>
        <v>500</v>
      </c>
      <c r="N1017" s="26">
        <f t="shared" si="1042"/>
        <v>500</v>
      </c>
      <c r="O1017" s="26">
        <f ca="1">IFERROR(__xludf.DUMMYFUNCTION("ROUND(GOOGLEFINANCE(""Currency:EURKZT"")*K1017)"),4974843)</f>
        <v>4974843</v>
      </c>
      <c r="P1017" s="26">
        <f ca="1">IFERROR(__xludf.DUMMYFUNCTION("ROUND(GOOGLEFINANCE(""Currency:EURKZT"")*M1017)"),238785)</f>
        <v>238785</v>
      </c>
      <c r="Q1017" s="26">
        <f ca="1">IFERROR(__xludf.DUMMYFUNCTION("ROUND(GOOGLEFINANCE(""Currency:EURKZT"")*N1017)"),238785)</f>
        <v>238785</v>
      </c>
      <c r="R1017" s="26">
        <f t="shared" ca="1" si="790"/>
        <v>596981</v>
      </c>
      <c r="S1017" s="26">
        <f t="shared" ca="1" si="791"/>
        <v>6049394</v>
      </c>
      <c r="T1017" s="26">
        <f ca="1">IFERROR(__xludf.DUMMYFUNCTION("ROUND(GOOGLEFINANCE(""Currency:EURKZT"")*L1017+S1017)"),6994614)</f>
        <v>6994614</v>
      </c>
      <c r="U1017" s="26">
        <f ca="1">IFERROR(__xludf.DUMMYFUNCTION("D1017*GOOGLEFINANCE(""RUBKZT"")*1000/F1017"),9056731.46239857)</f>
        <v>9056731.46239857</v>
      </c>
      <c r="V1017" s="27">
        <f t="shared" ca="1" si="792"/>
        <v>0.29481504803532688</v>
      </c>
    </row>
    <row r="1018" spans="1:22" ht="12.75" customHeight="1" x14ac:dyDescent="0.2">
      <c r="A1018" s="6" t="s">
        <v>10</v>
      </c>
      <c r="B1018" s="6" t="s">
        <v>11</v>
      </c>
      <c r="C1018" s="7">
        <v>102798</v>
      </c>
      <c r="D1018" s="8">
        <v>7848</v>
      </c>
      <c r="E1018" s="9" t="s">
        <v>7</v>
      </c>
      <c r="F1018" s="23">
        <f t="shared" ref="F1018:F1040" si="1043">24*0.4</f>
        <v>9.6000000000000014</v>
      </c>
      <c r="G1018" s="25"/>
      <c r="H1018" s="14">
        <f t="shared" si="786"/>
        <v>0.55000000000000004</v>
      </c>
      <c r="I1018" s="25">
        <f ca="1">IFERROR(__xludf.DUMMYFUNCTION("ROUND(D1018*GOOGLEFINANCE(""RUBKZT"")*H1018)"),33683)</f>
        <v>33683</v>
      </c>
      <c r="J1018" s="26">
        <f ca="1">IFERROR(__xludf.DUMMYFUNCTION("ROUND(I1018*GOOGLEFINANCE(""KZTEUR""))"),71)</f>
        <v>71</v>
      </c>
      <c r="K1018" s="26">
        <f t="shared" ca="1" si="787"/>
        <v>7396</v>
      </c>
      <c r="L1018" s="26">
        <f t="shared" ca="1" si="788"/>
        <v>1405.24</v>
      </c>
      <c r="M1018" s="26">
        <f t="shared" ref="M1018:N1018" si="1044">M$3</f>
        <v>500</v>
      </c>
      <c r="N1018" s="26">
        <f t="shared" si="1044"/>
        <v>500</v>
      </c>
      <c r="O1018" s="26">
        <f ca="1">IFERROR(__xludf.DUMMYFUNCTION("ROUND(GOOGLEFINANCE(""Currency:EURKZT"")*K1018)"),3532105)</f>
        <v>3532105</v>
      </c>
      <c r="P1018" s="26">
        <f ca="1">IFERROR(__xludf.DUMMYFUNCTION("ROUND(GOOGLEFINANCE(""Currency:EURKZT"")*M1018)"),238785)</f>
        <v>238785</v>
      </c>
      <c r="Q1018" s="26">
        <f ca="1">IFERROR(__xludf.DUMMYFUNCTION("ROUND(GOOGLEFINANCE(""Currency:EURKZT"")*N1018)"),238785)</f>
        <v>238785</v>
      </c>
      <c r="R1018" s="26">
        <f t="shared" ca="1" si="790"/>
        <v>423853</v>
      </c>
      <c r="S1018" s="26">
        <f t="shared" ca="1" si="791"/>
        <v>4433528</v>
      </c>
      <c r="T1018" s="26">
        <f ca="1">IFERROR(__xludf.DUMMYFUNCTION("ROUND(GOOGLEFINANCE(""Currency:EURKZT"")*L1018+S1018)"),5104628)</f>
        <v>5104628</v>
      </c>
      <c r="U1018" s="26">
        <f ca="1">IFERROR(__xludf.DUMMYFUNCTION("D1018*GOOGLEFINANCE(""RUBKZT"")*1000/F1018"),6379379.93150999)</f>
        <v>6379379.9315099902</v>
      </c>
      <c r="V1018" s="27">
        <f t="shared" ca="1" si="792"/>
        <v>0.24972474615388041</v>
      </c>
    </row>
    <row r="1019" spans="1:22" ht="12.75" customHeight="1" x14ac:dyDescent="0.2">
      <c r="A1019" s="6" t="s">
        <v>161</v>
      </c>
      <c r="B1019" s="6" t="s">
        <v>11</v>
      </c>
      <c r="C1019" s="7">
        <v>140007</v>
      </c>
      <c r="D1019" s="8">
        <v>8257.1999999999989</v>
      </c>
      <c r="E1019" s="9" t="s">
        <v>7</v>
      </c>
      <c r="F1019" s="23">
        <f t="shared" si="1043"/>
        <v>9.6000000000000014</v>
      </c>
      <c r="G1019" s="25"/>
      <c r="H1019" s="14">
        <f t="shared" si="786"/>
        <v>0.55000000000000004</v>
      </c>
      <c r="I1019" s="25">
        <f ca="1">IFERROR(__xludf.DUMMYFUNCTION("ROUND(D1019*GOOGLEFINANCE(""RUBKZT"")*H1019)"),35439)</f>
        <v>35439</v>
      </c>
      <c r="J1019" s="26">
        <f ca="1">IFERROR(__xludf.DUMMYFUNCTION("ROUND(I1019*GOOGLEFINANCE(""KZTEUR""))"),74)</f>
        <v>74</v>
      </c>
      <c r="K1019" s="26">
        <f t="shared" ca="1" si="787"/>
        <v>7708</v>
      </c>
      <c r="L1019" s="26">
        <f t="shared" ca="1" si="788"/>
        <v>1464.52</v>
      </c>
      <c r="M1019" s="26">
        <f t="shared" ref="M1019:N1019" si="1045">M$3</f>
        <v>500</v>
      </c>
      <c r="N1019" s="26">
        <f t="shared" si="1045"/>
        <v>500</v>
      </c>
      <c r="O1019" s="26">
        <f ca="1">IFERROR(__xludf.DUMMYFUNCTION("ROUND(GOOGLEFINANCE(""Currency:EURKZT"")*K1019)"),3681107)</f>
        <v>3681107</v>
      </c>
      <c r="P1019" s="26">
        <f ca="1">IFERROR(__xludf.DUMMYFUNCTION("ROUND(GOOGLEFINANCE(""Currency:EURKZT"")*M1019)"),238785)</f>
        <v>238785</v>
      </c>
      <c r="Q1019" s="26">
        <f ca="1">IFERROR(__xludf.DUMMYFUNCTION("ROUND(GOOGLEFINANCE(""Currency:EURKZT"")*N1019)"),238785)</f>
        <v>238785</v>
      </c>
      <c r="R1019" s="26">
        <f t="shared" ca="1" si="790"/>
        <v>441733</v>
      </c>
      <c r="S1019" s="26">
        <f t="shared" ca="1" si="791"/>
        <v>4600410</v>
      </c>
      <c r="T1019" s="26">
        <f ca="1">IFERROR(__xludf.DUMMYFUNCTION("ROUND(GOOGLEFINANCE(""Currency:EURKZT"")*L1019+S1019)"),5299820)</f>
        <v>5299820</v>
      </c>
      <c r="U1019" s="26">
        <f ca="1">IFERROR(__xludf.DUMMYFUNCTION("D1019*GOOGLEFINANCE(""RUBKZT"")*1000/F1019"),6712005.09307649)</f>
        <v>6712005.0930764899</v>
      </c>
      <c r="V1019" s="27">
        <f t="shared" ca="1" si="792"/>
        <v>0.26645906711482464</v>
      </c>
    </row>
    <row r="1020" spans="1:22" ht="12.75" customHeight="1" x14ac:dyDescent="0.2">
      <c r="A1020" s="6" t="s">
        <v>185</v>
      </c>
      <c r="B1020" s="6" t="s">
        <v>11</v>
      </c>
      <c r="C1020" s="7">
        <v>147907</v>
      </c>
      <c r="D1020" s="8">
        <v>9511.1999999999989</v>
      </c>
      <c r="E1020" s="9" t="s">
        <v>7</v>
      </c>
      <c r="F1020" s="23">
        <f t="shared" si="1043"/>
        <v>9.6000000000000014</v>
      </c>
      <c r="G1020" s="25"/>
      <c r="H1020" s="14">
        <f t="shared" si="786"/>
        <v>0.55000000000000004</v>
      </c>
      <c r="I1020" s="25">
        <f ca="1">IFERROR(__xludf.DUMMYFUNCTION("ROUND(D1020*GOOGLEFINANCE(""RUBKZT"")*H1020)"),40821)</f>
        <v>40821</v>
      </c>
      <c r="J1020" s="26">
        <f ca="1">IFERROR(__xludf.DUMMYFUNCTION("ROUND(I1020*GOOGLEFINANCE(""KZTEUR""))"),85)</f>
        <v>85</v>
      </c>
      <c r="K1020" s="26">
        <f t="shared" ca="1" si="787"/>
        <v>8854</v>
      </c>
      <c r="L1020" s="26">
        <f t="shared" ca="1" si="788"/>
        <v>1682.26</v>
      </c>
      <c r="M1020" s="26">
        <f t="shared" ref="M1020:N1020" si="1046">M$3</f>
        <v>500</v>
      </c>
      <c r="N1020" s="26">
        <f t="shared" si="1046"/>
        <v>500</v>
      </c>
      <c r="O1020" s="26">
        <f ca="1">IFERROR(__xludf.DUMMYFUNCTION("ROUND(GOOGLEFINANCE(""Currency:EURKZT"")*K1020)"),4228401)</f>
        <v>4228401</v>
      </c>
      <c r="P1020" s="26">
        <f ca="1">IFERROR(__xludf.DUMMYFUNCTION("ROUND(GOOGLEFINANCE(""Currency:EURKZT"")*M1020)"),238785)</f>
        <v>238785</v>
      </c>
      <c r="Q1020" s="26">
        <f ca="1">IFERROR(__xludf.DUMMYFUNCTION("ROUND(GOOGLEFINANCE(""Currency:EURKZT"")*N1020)"),238785)</f>
        <v>238785</v>
      </c>
      <c r="R1020" s="26">
        <f t="shared" ca="1" si="790"/>
        <v>507408</v>
      </c>
      <c r="S1020" s="26">
        <f t="shared" ca="1" si="791"/>
        <v>5213379</v>
      </c>
      <c r="T1020" s="26">
        <f ca="1">IFERROR(__xludf.DUMMYFUNCTION("ROUND(GOOGLEFINANCE(""Currency:EURKZT"")*L1020+S1020)"),6016775)</f>
        <v>6016775</v>
      </c>
      <c r="U1020" s="26">
        <f ca="1">IFERROR(__xludf.DUMMYFUNCTION("D1020*GOOGLEFINANCE(""RUBKZT"")*1000/F1020"),7731340.26561899)</f>
        <v>7731340.2656189902</v>
      </c>
      <c r="V1020" s="27">
        <f t="shared" ca="1" si="792"/>
        <v>0.28496416529103885</v>
      </c>
    </row>
    <row r="1021" spans="1:22" ht="12.75" customHeight="1" x14ac:dyDescent="0.2">
      <c r="A1021" s="6" t="s">
        <v>168</v>
      </c>
      <c r="B1021" s="6" t="s">
        <v>11</v>
      </c>
      <c r="C1021" s="7">
        <v>160801</v>
      </c>
      <c r="D1021" s="8">
        <v>11067.6</v>
      </c>
      <c r="E1021" s="9" t="s">
        <v>16</v>
      </c>
      <c r="F1021" s="23">
        <f t="shared" si="1043"/>
        <v>9.6000000000000014</v>
      </c>
      <c r="G1021" s="25"/>
      <c r="H1021" s="14">
        <f t="shared" si="786"/>
        <v>0.55000000000000004</v>
      </c>
      <c r="I1021" s="25">
        <f ca="1">IFERROR(__xludf.DUMMYFUNCTION("ROUND(D1021*GOOGLEFINANCE(""RUBKZT"")*H1021)"),47501)</f>
        <v>47501</v>
      </c>
      <c r="J1021" s="26">
        <f ca="1">IFERROR(__xludf.DUMMYFUNCTION("ROUND(I1021*GOOGLEFINANCE(""KZTEUR""))"),99)</f>
        <v>99</v>
      </c>
      <c r="K1021" s="26">
        <f t="shared" ca="1" si="787"/>
        <v>10313</v>
      </c>
      <c r="L1021" s="26">
        <f t="shared" ca="1" si="788"/>
        <v>1959.47</v>
      </c>
      <c r="M1021" s="26">
        <f t="shared" ref="M1021:N1021" si="1047">M$3</f>
        <v>500</v>
      </c>
      <c r="N1021" s="26">
        <f t="shared" si="1047"/>
        <v>500</v>
      </c>
      <c r="O1021" s="26">
        <f ca="1">IFERROR(__xludf.DUMMYFUNCTION("ROUND(GOOGLEFINANCE(""Currency:EURKZT"")*K1021)"),4925175)</f>
        <v>4925175</v>
      </c>
      <c r="P1021" s="26">
        <f ca="1">IFERROR(__xludf.DUMMYFUNCTION("ROUND(GOOGLEFINANCE(""Currency:EURKZT"")*M1021)"),238785)</f>
        <v>238785</v>
      </c>
      <c r="Q1021" s="26">
        <f ca="1">IFERROR(__xludf.DUMMYFUNCTION("ROUND(GOOGLEFINANCE(""Currency:EURKZT"")*N1021)"),238785)</f>
        <v>238785</v>
      </c>
      <c r="R1021" s="26">
        <f t="shared" ca="1" si="790"/>
        <v>591021</v>
      </c>
      <c r="S1021" s="26">
        <f t="shared" ca="1" si="791"/>
        <v>5993766</v>
      </c>
      <c r="T1021" s="26">
        <f ca="1">IFERROR(__xludf.DUMMYFUNCTION("ROUND(GOOGLEFINANCE(""Currency:EURKZT"")*L1021+S1021)"),6929549)</f>
        <v>6929549</v>
      </c>
      <c r="U1021" s="26">
        <f ca="1">IFERROR(__xludf.DUMMYFUNCTION("D1021*GOOGLEFINANCE(""RUBKZT"")*1000/F1021"),8996486.40799949)</f>
        <v>8996486.4079994895</v>
      </c>
      <c r="V1021" s="27">
        <f t="shared" ca="1" si="792"/>
        <v>0.29827877802718322</v>
      </c>
    </row>
    <row r="1022" spans="1:22" ht="12.75" customHeight="1" x14ac:dyDescent="0.2">
      <c r="A1022" s="6" t="s">
        <v>24</v>
      </c>
      <c r="B1022" s="6" t="s">
        <v>11</v>
      </c>
      <c r="C1022" s="7">
        <v>160803</v>
      </c>
      <c r="D1022" s="8">
        <v>7161.5999999999995</v>
      </c>
      <c r="E1022" s="9" t="s">
        <v>16</v>
      </c>
      <c r="F1022" s="23">
        <f t="shared" si="1043"/>
        <v>9.6000000000000014</v>
      </c>
      <c r="G1022" s="25"/>
      <c r="H1022" s="14">
        <f t="shared" si="786"/>
        <v>0.55000000000000004</v>
      </c>
      <c r="I1022" s="25">
        <f ca="1">IFERROR(__xludf.DUMMYFUNCTION("ROUND(D1022*GOOGLEFINANCE(""RUBKZT"")*H1022)"),30737)</f>
        <v>30737</v>
      </c>
      <c r="J1022" s="26">
        <f ca="1">IFERROR(__xludf.DUMMYFUNCTION("ROUND(I1022*GOOGLEFINANCE(""KZTEUR""))"),64)</f>
        <v>64</v>
      </c>
      <c r="K1022" s="26">
        <f t="shared" ca="1" si="787"/>
        <v>6667</v>
      </c>
      <c r="L1022" s="26">
        <f t="shared" ca="1" si="788"/>
        <v>1266.73</v>
      </c>
      <c r="M1022" s="26">
        <f t="shared" ref="M1022:N1022" si="1048">M$3</f>
        <v>500</v>
      </c>
      <c r="N1022" s="26">
        <f t="shared" si="1048"/>
        <v>500</v>
      </c>
      <c r="O1022" s="26">
        <f ca="1">IFERROR(__xludf.DUMMYFUNCTION("ROUND(GOOGLEFINANCE(""Currency:EURKZT"")*K1022)"),3183957)</f>
        <v>3183957</v>
      </c>
      <c r="P1022" s="26">
        <f ca="1">IFERROR(__xludf.DUMMYFUNCTION("ROUND(GOOGLEFINANCE(""Currency:EURKZT"")*M1022)"),238785)</f>
        <v>238785</v>
      </c>
      <c r="Q1022" s="26">
        <f ca="1">IFERROR(__xludf.DUMMYFUNCTION("ROUND(GOOGLEFINANCE(""Currency:EURKZT"")*N1022)"),238785)</f>
        <v>238785</v>
      </c>
      <c r="R1022" s="26">
        <f t="shared" ca="1" si="790"/>
        <v>382075</v>
      </c>
      <c r="S1022" s="26">
        <f t="shared" ca="1" si="791"/>
        <v>4043602</v>
      </c>
      <c r="T1022" s="26">
        <f ca="1">IFERROR(__xludf.DUMMYFUNCTION("ROUND(GOOGLEFINANCE(""Currency:EURKZT"")*L1022+S1022)"),4648554)</f>
        <v>4648554</v>
      </c>
      <c r="U1022" s="26">
        <f ca="1">IFERROR(__xludf.DUMMYFUNCTION("D1022*GOOGLEFINANCE(""RUBKZT"")*1000/F1022"),5821428.04759199)</f>
        <v>5821428.0475919899</v>
      </c>
      <c r="V1022" s="27">
        <f t="shared" ca="1" si="792"/>
        <v>0.2523094380729986</v>
      </c>
    </row>
    <row r="1023" spans="1:22" ht="12.75" customHeight="1" x14ac:dyDescent="0.2">
      <c r="A1023" s="6" t="s">
        <v>21</v>
      </c>
      <c r="B1023" s="6" t="s">
        <v>11</v>
      </c>
      <c r="C1023" s="7">
        <v>160804</v>
      </c>
      <c r="D1023" s="8">
        <v>7130.4</v>
      </c>
      <c r="E1023" s="9" t="s">
        <v>16</v>
      </c>
      <c r="F1023" s="23">
        <f t="shared" si="1043"/>
        <v>9.6000000000000014</v>
      </c>
      <c r="G1023" s="25"/>
      <c r="H1023" s="14">
        <f t="shared" si="786"/>
        <v>0.55000000000000004</v>
      </c>
      <c r="I1023" s="25">
        <f ca="1">IFERROR(__xludf.DUMMYFUNCTION("ROUND(D1023*GOOGLEFINANCE(""RUBKZT"")*H1023)"),30603)</f>
        <v>30603</v>
      </c>
      <c r="J1023" s="26">
        <f ca="1">IFERROR(__xludf.DUMMYFUNCTION("ROUND(I1023*GOOGLEFINANCE(""KZTEUR""))"),64)</f>
        <v>64</v>
      </c>
      <c r="K1023" s="26">
        <f t="shared" ca="1" si="787"/>
        <v>6667</v>
      </c>
      <c r="L1023" s="26">
        <f t="shared" ca="1" si="788"/>
        <v>1266.73</v>
      </c>
      <c r="M1023" s="26">
        <f t="shared" ref="M1023:N1023" si="1049">M$3</f>
        <v>500</v>
      </c>
      <c r="N1023" s="26">
        <f t="shared" si="1049"/>
        <v>500</v>
      </c>
      <c r="O1023" s="26">
        <f ca="1">IFERROR(__xludf.DUMMYFUNCTION("ROUND(GOOGLEFINANCE(""Currency:EURKZT"")*K1023)"),3183957)</f>
        <v>3183957</v>
      </c>
      <c r="P1023" s="26">
        <f ca="1">IFERROR(__xludf.DUMMYFUNCTION("ROUND(GOOGLEFINANCE(""Currency:EURKZT"")*M1023)"),238785)</f>
        <v>238785</v>
      </c>
      <c r="Q1023" s="26">
        <f ca="1">IFERROR(__xludf.DUMMYFUNCTION("ROUND(GOOGLEFINANCE(""Currency:EURKZT"")*N1023)"),238785)</f>
        <v>238785</v>
      </c>
      <c r="R1023" s="26">
        <f t="shared" ca="1" si="790"/>
        <v>382075</v>
      </c>
      <c r="S1023" s="26">
        <f t="shared" ca="1" si="791"/>
        <v>4043602</v>
      </c>
      <c r="T1023" s="26">
        <f ca="1">IFERROR(__xludf.DUMMYFUNCTION("ROUND(GOOGLEFINANCE(""Currency:EURKZT"")*L1023+S1023)"),4648554)</f>
        <v>4648554</v>
      </c>
      <c r="U1023" s="26">
        <f ca="1">IFERROR(__xludf.DUMMYFUNCTION("D1023*GOOGLEFINANCE(""RUBKZT"")*1000/F1023"),5796066.59832299)</f>
        <v>5796066.5983229904</v>
      </c>
      <c r="V1023" s="27">
        <f t="shared" ca="1" si="792"/>
        <v>0.24685366639238576</v>
      </c>
    </row>
    <row r="1024" spans="1:22" ht="12.75" customHeight="1" x14ac:dyDescent="0.2">
      <c r="A1024" s="6" t="s">
        <v>17</v>
      </c>
      <c r="B1024" s="6" t="s">
        <v>11</v>
      </c>
      <c r="C1024" s="7">
        <v>160816</v>
      </c>
      <c r="D1024" s="8">
        <v>10185.6</v>
      </c>
      <c r="E1024" s="9" t="s">
        <v>16</v>
      </c>
      <c r="F1024" s="23">
        <f t="shared" si="1043"/>
        <v>9.6000000000000014</v>
      </c>
      <c r="G1024" s="25"/>
      <c r="H1024" s="14">
        <f t="shared" si="786"/>
        <v>0.55000000000000004</v>
      </c>
      <c r="I1024" s="25">
        <f ca="1">IFERROR(__xludf.DUMMYFUNCTION("ROUND(D1024*GOOGLEFINANCE(""RUBKZT"")*H1024)"),43716)</f>
        <v>43716</v>
      </c>
      <c r="J1024" s="26">
        <f ca="1">IFERROR(__xludf.DUMMYFUNCTION("ROUND(I1024*GOOGLEFINANCE(""KZTEUR""))"),92)</f>
        <v>92</v>
      </c>
      <c r="K1024" s="26">
        <f t="shared" ca="1" si="787"/>
        <v>9583</v>
      </c>
      <c r="L1024" s="26">
        <f t="shared" ca="1" si="788"/>
        <v>1820.77</v>
      </c>
      <c r="M1024" s="26">
        <f t="shared" ref="M1024:N1024" si="1050">M$3</f>
        <v>500</v>
      </c>
      <c r="N1024" s="26">
        <f t="shared" si="1050"/>
        <v>500</v>
      </c>
      <c r="O1024" s="26">
        <f ca="1">IFERROR(__xludf.DUMMYFUNCTION("ROUND(GOOGLEFINANCE(""Currency:EURKZT"")*K1024)"),4576550)</f>
        <v>4576550</v>
      </c>
      <c r="P1024" s="26">
        <f ca="1">IFERROR(__xludf.DUMMYFUNCTION("ROUND(GOOGLEFINANCE(""Currency:EURKZT"")*M1024)"),238785)</f>
        <v>238785</v>
      </c>
      <c r="Q1024" s="26">
        <f ca="1">IFERROR(__xludf.DUMMYFUNCTION("ROUND(GOOGLEFINANCE(""Currency:EURKZT"")*N1024)"),238785)</f>
        <v>238785</v>
      </c>
      <c r="R1024" s="26">
        <f t="shared" ca="1" si="790"/>
        <v>549186</v>
      </c>
      <c r="S1024" s="26">
        <f t="shared" ca="1" si="791"/>
        <v>5603306</v>
      </c>
      <c r="T1024" s="26">
        <f ca="1">IFERROR(__xludf.DUMMYFUNCTION("ROUND(GOOGLEFINANCE(""Currency:EURKZT"")*L1024+S1024)"),6472850)</f>
        <v>6472850</v>
      </c>
      <c r="U1024" s="26">
        <f ca="1">IFERROR(__xludf.DUMMYFUNCTION("D1024*GOOGLEFINANCE(""RUBKZT"")*1000/F1024"),8279537.745972)</f>
        <v>8279537.7459720001</v>
      </c>
      <c r="V1024" s="27">
        <f t="shared" ca="1" si="792"/>
        <v>0.27911781455958351</v>
      </c>
    </row>
    <row r="1025" spans="1:22" ht="12.75" customHeight="1" x14ac:dyDescent="0.2">
      <c r="A1025" s="6" t="s">
        <v>23</v>
      </c>
      <c r="B1025" s="6" t="s">
        <v>11</v>
      </c>
      <c r="C1025" s="7">
        <v>160820</v>
      </c>
      <c r="D1025" s="8">
        <v>9087.6</v>
      </c>
      <c r="E1025" s="9" t="s">
        <v>16</v>
      </c>
      <c r="F1025" s="23">
        <f t="shared" si="1043"/>
        <v>9.6000000000000014</v>
      </c>
      <c r="G1025" s="25"/>
      <c r="H1025" s="14">
        <f t="shared" ref="H1025:H1279" si="1051">H$3+G1025</f>
        <v>0.55000000000000004</v>
      </c>
      <c r="I1025" s="25">
        <f ca="1">IFERROR(__xludf.DUMMYFUNCTION("ROUND(D1025*GOOGLEFINANCE(""RUBKZT"")*H1025)"),39003)</f>
        <v>39003</v>
      </c>
      <c r="J1025" s="26">
        <f ca="1">IFERROR(__xludf.DUMMYFUNCTION("ROUND(I1025*GOOGLEFINANCE(""KZTEUR""))"),82)</f>
        <v>82</v>
      </c>
      <c r="K1025" s="26">
        <f t="shared" ref="K1025:K1279" ca="1" si="1052">ROUND(J1025/F1025*1000,0)</f>
        <v>8542</v>
      </c>
      <c r="L1025" s="26">
        <f t="shared" ref="L1025:L1279" ca="1" si="1053">K1025*L$3</f>
        <v>1622.98</v>
      </c>
      <c r="M1025" s="26">
        <f t="shared" ref="M1025:N1025" si="1054">M$3</f>
        <v>500</v>
      </c>
      <c r="N1025" s="26">
        <f t="shared" si="1054"/>
        <v>500</v>
      </c>
      <c r="O1025" s="26">
        <f ca="1">IFERROR(__xludf.DUMMYFUNCTION("ROUND(GOOGLEFINANCE(""Currency:EURKZT"")*K1025)"),4079400)</f>
        <v>4079400</v>
      </c>
      <c r="P1025" s="26">
        <f ca="1">IFERROR(__xludf.DUMMYFUNCTION("ROUND(GOOGLEFINANCE(""Currency:EURKZT"")*M1025)"),238785)</f>
        <v>238785</v>
      </c>
      <c r="Q1025" s="26">
        <f ca="1">IFERROR(__xludf.DUMMYFUNCTION("ROUND(GOOGLEFINANCE(""Currency:EURKZT"")*N1025)"),238785)</f>
        <v>238785</v>
      </c>
      <c r="R1025" s="26">
        <f t="shared" ref="R1025:R1279" ca="1" si="1055">ROUND(O1025*R$3,0)</f>
        <v>489528</v>
      </c>
      <c r="S1025" s="26">
        <f t="shared" ref="S1025:S1279" ca="1" si="1056">SUM(O1025:R1025)</f>
        <v>5046498</v>
      </c>
      <c r="T1025" s="26">
        <f ca="1">IFERROR(__xludf.DUMMYFUNCTION("ROUND(GOOGLEFINANCE(""Currency:EURKZT"")*L1025+S1025)"),5821584)</f>
        <v>5821584</v>
      </c>
      <c r="U1025" s="26">
        <f ca="1">IFERROR(__xludf.DUMMYFUNCTION("D1025*GOOGLEFINANCE(""RUBKZT"")*1000/F1025"),7387009.8197745)</f>
        <v>7387009.8197745001</v>
      </c>
      <c r="V1025" s="27">
        <f t="shared" ref="V1025:V1279" ca="1" si="1057">(U1025-T1025)/T1025</f>
        <v>0.26890032330968688</v>
      </c>
    </row>
    <row r="1026" spans="1:22" ht="12.75" customHeight="1" x14ac:dyDescent="0.2">
      <c r="A1026" s="6" t="s">
        <v>172</v>
      </c>
      <c r="B1026" s="6" t="s">
        <v>11</v>
      </c>
      <c r="C1026" s="7">
        <v>160821</v>
      </c>
      <c r="D1026" s="8">
        <v>11851.199999999999</v>
      </c>
      <c r="E1026" s="9" t="s">
        <v>16</v>
      </c>
      <c r="F1026" s="23">
        <f t="shared" si="1043"/>
        <v>9.6000000000000014</v>
      </c>
      <c r="G1026" s="25"/>
      <c r="H1026" s="14">
        <f t="shared" si="1051"/>
        <v>0.55000000000000004</v>
      </c>
      <c r="I1026" s="25">
        <f ca="1">IFERROR(__xludf.DUMMYFUNCTION("ROUND(D1026*GOOGLEFINANCE(""RUBKZT"")*H1026)"),50865)</f>
        <v>50865</v>
      </c>
      <c r="J1026" s="26">
        <f ca="1">IFERROR(__xludf.DUMMYFUNCTION("ROUND(I1026*GOOGLEFINANCE(""KZTEUR""))"),107)</f>
        <v>107</v>
      </c>
      <c r="K1026" s="26">
        <f t="shared" ca="1" si="1052"/>
        <v>11146</v>
      </c>
      <c r="L1026" s="26">
        <f t="shared" ca="1" si="1053"/>
        <v>2117.7400000000002</v>
      </c>
      <c r="M1026" s="26">
        <f t="shared" ref="M1026:N1026" si="1058">M$3</f>
        <v>500</v>
      </c>
      <c r="N1026" s="26">
        <f t="shared" si="1058"/>
        <v>500</v>
      </c>
      <c r="O1026" s="26">
        <f ca="1">IFERROR(__xludf.DUMMYFUNCTION("ROUND(GOOGLEFINANCE(""Currency:EURKZT"")*K1026)"),5322991)</f>
        <v>5322991</v>
      </c>
      <c r="P1026" s="26">
        <f ca="1">IFERROR(__xludf.DUMMYFUNCTION("ROUND(GOOGLEFINANCE(""Currency:EURKZT"")*M1026)"),238785)</f>
        <v>238785</v>
      </c>
      <c r="Q1026" s="26">
        <f ca="1">IFERROR(__xludf.DUMMYFUNCTION("ROUND(GOOGLEFINANCE(""Currency:EURKZT"")*N1026)"),238785)</f>
        <v>238785</v>
      </c>
      <c r="R1026" s="26">
        <f t="shared" ca="1" si="1055"/>
        <v>638759</v>
      </c>
      <c r="S1026" s="26">
        <f t="shared" ca="1" si="1056"/>
        <v>6439320</v>
      </c>
      <c r="T1026" s="26">
        <f ca="1">IFERROR(__xludf.DUMMYFUNCTION("ROUND(GOOGLEFINANCE(""Currency:EURKZT"")*L1026+S1026)"),7450688)</f>
        <v>7450688</v>
      </c>
      <c r="U1026" s="26">
        <f ca="1">IFERROR(__xludf.DUMMYFUNCTION("D1026*GOOGLEFINANCE(""RUBKZT"")*1000/F1026"),9633448.96079399)</f>
        <v>9633448.9607939906</v>
      </c>
      <c r="V1026" s="27">
        <f t="shared" ca="1" si="1057"/>
        <v>0.29296099377587553</v>
      </c>
    </row>
    <row r="1027" spans="1:22" ht="12.75" customHeight="1" x14ac:dyDescent="0.2">
      <c r="A1027" s="6" t="s">
        <v>174</v>
      </c>
      <c r="B1027" s="6" t="s">
        <v>11</v>
      </c>
      <c r="C1027" s="7">
        <v>160825</v>
      </c>
      <c r="D1027" s="8">
        <v>15795.599999999999</v>
      </c>
      <c r="E1027" s="9" t="s">
        <v>16</v>
      </c>
      <c r="F1027" s="23">
        <f t="shared" si="1043"/>
        <v>9.6000000000000014</v>
      </c>
      <c r="G1027" s="25"/>
      <c r="H1027" s="14">
        <f t="shared" si="1051"/>
        <v>0.55000000000000004</v>
      </c>
      <c r="I1027" s="25">
        <f ca="1">IFERROR(__xludf.DUMMYFUNCTION("ROUND(D1027*GOOGLEFINANCE(""RUBKZT"")*H1027)"),67794)</f>
        <v>67794</v>
      </c>
      <c r="J1027" s="26">
        <f ca="1">IFERROR(__xludf.DUMMYFUNCTION("ROUND(I1027*GOOGLEFINANCE(""KZTEUR""))"),142)</f>
        <v>142</v>
      </c>
      <c r="K1027" s="26">
        <f t="shared" ca="1" si="1052"/>
        <v>14792</v>
      </c>
      <c r="L1027" s="26">
        <f t="shared" ca="1" si="1053"/>
        <v>2810.48</v>
      </c>
      <c r="M1027" s="26">
        <f t="shared" ref="M1027:N1027" si="1059">M$3</f>
        <v>500</v>
      </c>
      <c r="N1027" s="26">
        <f t="shared" si="1059"/>
        <v>500</v>
      </c>
      <c r="O1027" s="26">
        <f ca="1">IFERROR(__xludf.DUMMYFUNCTION("ROUND(GOOGLEFINANCE(""Currency:EURKZT"")*K1027)"),7064210)</f>
        <v>7064210</v>
      </c>
      <c r="P1027" s="26">
        <f ca="1">IFERROR(__xludf.DUMMYFUNCTION("ROUND(GOOGLEFINANCE(""Currency:EURKZT"")*M1027)"),238785)</f>
        <v>238785</v>
      </c>
      <c r="Q1027" s="26">
        <f ca="1">IFERROR(__xludf.DUMMYFUNCTION("ROUND(GOOGLEFINANCE(""Currency:EURKZT"")*N1027)"),238785)</f>
        <v>238785</v>
      </c>
      <c r="R1027" s="26">
        <f t="shared" ca="1" si="1055"/>
        <v>847705</v>
      </c>
      <c r="S1027" s="26">
        <f t="shared" ca="1" si="1056"/>
        <v>8389485</v>
      </c>
      <c r="T1027" s="26">
        <f ca="1">IFERROR(__xludf.DUMMYFUNCTION("ROUND(GOOGLEFINANCE(""Currency:EURKZT"")*L1027+S1027)"),9731685)</f>
        <v>9731685</v>
      </c>
      <c r="U1027" s="26">
        <f ca="1">IFERROR(__xludf.DUMMYFUNCTION("D1027*GOOGLEFINANCE(""RUBKZT"")*1000/F1027"),12839721.4126094)</f>
        <v>12839721.4126094</v>
      </c>
      <c r="V1027" s="27">
        <f t="shared" ca="1" si="1057"/>
        <v>0.31937289509570033</v>
      </c>
    </row>
    <row r="1028" spans="1:22" ht="12.75" customHeight="1" x14ac:dyDescent="0.2">
      <c r="A1028" s="6" t="s">
        <v>20</v>
      </c>
      <c r="B1028" s="6" t="s">
        <v>11</v>
      </c>
      <c r="C1028" s="7">
        <v>160828</v>
      </c>
      <c r="D1028" s="8">
        <v>7486.7999999999993</v>
      </c>
      <c r="E1028" s="9" t="s">
        <v>16</v>
      </c>
      <c r="F1028" s="23">
        <f t="shared" si="1043"/>
        <v>9.6000000000000014</v>
      </c>
      <c r="G1028" s="25"/>
      <c r="H1028" s="14">
        <f t="shared" si="1051"/>
        <v>0.55000000000000004</v>
      </c>
      <c r="I1028" s="25">
        <f ca="1">IFERROR(__xludf.DUMMYFUNCTION("ROUND(D1028*GOOGLEFINANCE(""RUBKZT"")*H1028)"),32133)</f>
        <v>32133</v>
      </c>
      <c r="J1028" s="26">
        <f ca="1">IFERROR(__xludf.DUMMYFUNCTION("ROUND(I1028*GOOGLEFINANCE(""KZTEUR""))"),67)</f>
        <v>67</v>
      </c>
      <c r="K1028" s="26">
        <f t="shared" ca="1" si="1052"/>
        <v>6979</v>
      </c>
      <c r="L1028" s="26">
        <f t="shared" ca="1" si="1053"/>
        <v>1326.01</v>
      </c>
      <c r="M1028" s="26">
        <f t="shared" ref="M1028:N1028" si="1060">M$3</f>
        <v>500</v>
      </c>
      <c r="N1028" s="26">
        <f t="shared" si="1060"/>
        <v>500</v>
      </c>
      <c r="O1028" s="26">
        <f ca="1">IFERROR(__xludf.DUMMYFUNCTION("ROUND(GOOGLEFINANCE(""Currency:EURKZT"")*K1028)"),3332958)</f>
        <v>3332958</v>
      </c>
      <c r="P1028" s="26">
        <f ca="1">IFERROR(__xludf.DUMMYFUNCTION("ROUND(GOOGLEFINANCE(""Currency:EURKZT"")*M1028)"),238785)</f>
        <v>238785</v>
      </c>
      <c r="Q1028" s="26">
        <f ca="1">IFERROR(__xludf.DUMMYFUNCTION("ROUND(GOOGLEFINANCE(""Currency:EURKZT"")*N1028)"),238785)</f>
        <v>238785</v>
      </c>
      <c r="R1028" s="26">
        <f t="shared" ca="1" si="1055"/>
        <v>399955</v>
      </c>
      <c r="S1028" s="26">
        <f t="shared" ca="1" si="1056"/>
        <v>4210483</v>
      </c>
      <c r="T1028" s="26">
        <f ca="1">IFERROR(__xludf.DUMMYFUNCTION("ROUND(GOOGLEFINANCE(""Currency:EURKZT"")*L1028+S1028)"),4843745)</f>
        <v>4843745</v>
      </c>
      <c r="U1028" s="26">
        <f ca="1">IFERROR(__xludf.DUMMYFUNCTION("D1028*GOOGLEFINANCE(""RUBKZT"")*1000/F1028"),6085772.38420349)</f>
        <v>6085772.3842034899</v>
      </c>
      <c r="V1028" s="27">
        <f t="shared" ca="1" si="1057"/>
        <v>0.25641882142918132</v>
      </c>
    </row>
    <row r="1029" spans="1:22" ht="12.75" customHeight="1" x14ac:dyDescent="0.2">
      <c r="A1029" s="6" t="s">
        <v>171</v>
      </c>
      <c r="B1029" s="6" t="s">
        <v>11</v>
      </c>
      <c r="C1029" s="7">
        <v>160830</v>
      </c>
      <c r="D1029" s="8">
        <v>9452.4</v>
      </c>
      <c r="E1029" s="9" t="s">
        <v>16</v>
      </c>
      <c r="F1029" s="23">
        <f t="shared" si="1043"/>
        <v>9.6000000000000014</v>
      </c>
      <c r="G1029" s="25"/>
      <c r="H1029" s="14">
        <f t="shared" si="1051"/>
        <v>0.55000000000000004</v>
      </c>
      <c r="I1029" s="25">
        <f ca="1">IFERROR(__xludf.DUMMYFUNCTION("ROUND(D1029*GOOGLEFINANCE(""RUBKZT"")*H1029)"),40569)</f>
        <v>40569</v>
      </c>
      <c r="J1029" s="26">
        <f ca="1">IFERROR(__xludf.DUMMYFUNCTION("ROUND(I1029*GOOGLEFINANCE(""KZTEUR""))"),85)</f>
        <v>85</v>
      </c>
      <c r="K1029" s="26">
        <f t="shared" ca="1" si="1052"/>
        <v>8854</v>
      </c>
      <c r="L1029" s="26">
        <f t="shared" ca="1" si="1053"/>
        <v>1682.26</v>
      </c>
      <c r="M1029" s="26">
        <f t="shared" ref="M1029:N1029" si="1061">M$3</f>
        <v>500</v>
      </c>
      <c r="N1029" s="26">
        <f t="shared" si="1061"/>
        <v>500</v>
      </c>
      <c r="O1029" s="26">
        <f ca="1">IFERROR(__xludf.DUMMYFUNCTION("ROUND(GOOGLEFINANCE(""Currency:EURKZT"")*K1029)"),4228401)</f>
        <v>4228401</v>
      </c>
      <c r="P1029" s="26">
        <f ca="1">IFERROR(__xludf.DUMMYFUNCTION("ROUND(GOOGLEFINANCE(""Currency:EURKZT"")*M1029)"),238785)</f>
        <v>238785</v>
      </c>
      <c r="Q1029" s="26">
        <f ca="1">IFERROR(__xludf.DUMMYFUNCTION("ROUND(GOOGLEFINANCE(""Currency:EURKZT"")*N1029)"),238785)</f>
        <v>238785</v>
      </c>
      <c r="R1029" s="26">
        <f t="shared" ca="1" si="1055"/>
        <v>507408</v>
      </c>
      <c r="S1029" s="26">
        <f t="shared" ca="1" si="1056"/>
        <v>5213379</v>
      </c>
      <c r="T1029" s="26">
        <f ca="1">IFERROR(__xludf.DUMMYFUNCTION("ROUND(GOOGLEFINANCE(""Currency:EURKZT"")*L1029+S1029)"),6016775)</f>
        <v>6016775</v>
      </c>
      <c r="U1029" s="26">
        <f ca="1">IFERROR(__xludf.DUMMYFUNCTION("D1029*GOOGLEFINANCE(""RUBKZT"")*1000/F1029"),7683543.68815049)</f>
        <v>7683543.6881504897</v>
      </c>
      <c r="V1029" s="27">
        <f t="shared" ca="1" si="1057"/>
        <v>0.27702027882885594</v>
      </c>
    </row>
    <row r="1030" spans="1:22" ht="12.75" customHeight="1" x14ac:dyDescent="0.2">
      <c r="A1030" s="6" t="s">
        <v>182</v>
      </c>
      <c r="B1030" s="6" t="s">
        <v>11</v>
      </c>
      <c r="C1030" s="7">
        <v>160832</v>
      </c>
      <c r="D1030" s="8">
        <v>9224.4</v>
      </c>
      <c r="E1030" s="9" t="s">
        <v>16</v>
      </c>
      <c r="F1030" s="23">
        <f t="shared" si="1043"/>
        <v>9.6000000000000014</v>
      </c>
      <c r="G1030" s="25"/>
      <c r="H1030" s="14">
        <f t="shared" si="1051"/>
        <v>0.55000000000000004</v>
      </c>
      <c r="I1030" s="25">
        <f ca="1">IFERROR(__xludf.DUMMYFUNCTION("ROUND(D1030*GOOGLEFINANCE(""RUBKZT"")*H1030)"),39591)</f>
        <v>39591</v>
      </c>
      <c r="J1030" s="26">
        <f ca="1">IFERROR(__xludf.DUMMYFUNCTION("ROUND(I1030*GOOGLEFINANCE(""KZTEUR""))"),83)</f>
        <v>83</v>
      </c>
      <c r="K1030" s="26">
        <f t="shared" ca="1" si="1052"/>
        <v>8646</v>
      </c>
      <c r="L1030" s="26">
        <f t="shared" ca="1" si="1053"/>
        <v>1642.74</v>
      </c>
      <c r="M1030" s="26">
        <f t="shared" ref="M1030:N1030" si="1062">M$3</f>
        <v>500</v>
      </c>
      <c r="N1030" s="26">
        <f t="shared" si="1062"/>
        <v>500</v>
      </c>
      <c r="O1030" s="26">
        <f ca="1">IFERROR(__xludf.DUMMYFUNCTION("ROUND(GOOGLEFINANCE(""Currency:EURKZT"")*K1030)"),4129067)</f>
        <v>4129067</v>
      </c>
      <c r="P1030" s="26">
        <f ca="1">IFERROR(__xludf.DUMMYFUNCTION("ROUND(GOOGLEFINANCE(""Currency:EURKZT"")*M1030)"),238785)</f>
        <v>238785</v>
      </c>
      <c r="Q1030" s="26">
        <f ca="1">IFERROR(__xludf.DUMMYFUNCTION("ROUND(GOOGLEFINANCE(""Currency:EURKZT"")*N1030)"),238785)</f>
        <v>238785</v>
      </c>
      <c r="R1030" s="26">
        <f t="shared" ca="1" si="1055"/>
        <v>495488</v>
      </c>
      <c r="S1030" s="26">
        <f t="shared" ca="1" si="1056"/>
        <v>5102125</v>
      </c>
      <c r="T1030" s="26">
        <f ca="1">IFERROR(__xludf.DUMMYFUNCTION("ROUND(GOOGLEFINANCE(""Currency:EURKZT"")*L1030+S1030)"),5886648)</f>
        <v>5886648</v>
      </c>
      <c r="U1030" s="26">
        <f ca="1">IFERROR(__xludf.DUMMYFUNCTION("D1030*GOOGLEFINANCE(""RUBKZT"")*1000/F1030"),7498210.02041549)</f>
        <v>7498210.0204154896</v>
      </c>
      <c r="V1030" s="27">
        <f t="shared" ca="1" si="1057"/>
        <v>0.27376565074308667</v>
      </c>
    </row>
    <row r="1031" spans="1:22" ht="12.75" customHeight="1" x14ac:dyDescent="0.2">
      <c r="A1031" s="6" t="s">
        <v>183</v>
      </c>
      <c r="B1031" s="6" t="s">
        <v>11</v>
      </c>
      <c r="C1031" s="7">
        <v>160833</v>
      </c>
      <c r="D1031" s="8">
        <v>10398</v>
      </c>
      <c r="E1031" s="9" t="s">
        <v>16</v>
      </c>
      <c r="F1031" s="23">
        <f t="shared" si="1043"/>
        <v>9.6000000000000014</v>
      </c>
      <c r="G1031" s="25"/>
      <c r="H1031" s="14">
        <f t="shared" si="1051"/>
        <v>0.55000000000000004</v>
      </c>
      <c r="I1031" s="25">
        <f ca="1">IFERROR(__xludf.DUMMYFUNCTION("ROUND(D1031*GOOGLEFINANCE(""RUBKZT"")*H1031)"),44628)</f>
        <v>44628</v>
      </c>
      <c r="J1031" s="26">
        <f ca="1">IFERROR(__xludf.DUMMYFUNCTION("ROUND(I1031*GOOGLEFINANCE(""KZTEUR""))"),93)</f>
        <v>93</v>
      </c>
      <c r="K1031" s="26">
        <f t="shared" ca="1" si="1052"/>
        <v>9688</v>
      </c>
      <c r="L1031" s="26">
        <f t="shared" ca="1" si="1053"/>
        <v>1840.72</v>
      </c>
      <c r="M1031" s="26">
        <f t="shared" ref="M1031:N1031" si="1063">M$3</f>
        <v>500</v>
      </c>
      <c r="N1031" s="26">
        <f t="shared" si="1063"/>
        <v>500</v>
      </c>
      <c r="O1031" s="26">
        <f ca="1">IFERROR(__xludf.DUMMYFUNCTION("ROUND(GOOGLEFINANCE(""Currency:EURKZT"")*K1031)"),4626694)</f>
        <v>4626694</v>
      </c>
      <c r="P1031" s="26">
        <f ca="1">IFERROR(__xludf.DUMMYFUNCTION("ROUND(GOOGLEFINANCE(""Currency:EURKZT"")*M1031)"),238785)</f>
        <v>238785</v>
      </c>
      <c r="Q1031" s="26">
        <f ca="1">IFERROR(__xludf.DUMMYFUNCTION("ROUND(GOOGLEFINANCE(""Currency:EURKZT"")*N1031)"),238785)</f>
        <v>238785</v>
      </c>
      <c r="R1031" s="26">
        <f t="shared" ca="1" si="1055"/>
        <v>555203</v>
      </c>
      <c r="S1031" s="26">
        <f t="shared" ca="1" si="1056"/>
        <v>5659467</v>
      </c>
      <c r="T1031" s="26">
        <f ca="1">IFERROR(__xludf.DUMMYFUNCTION("ROUND(GOOGLEFINANCE(""Currency:EURKZT"")*L1031+S1031)"),6538539)</f>
        <v>6538539</v>
      </c>
      <c r="U1031" s="26">
        <f ca="1">IFERROR(__xludf.DUMMYFUNCTION("D1031*GOOGLEFINANCE(""RUBKZT"")*1000/F1031"),8452190.68907249)</f>
        <v>8452190.6890724897</v>
      </c>
      <c r="V1031" s="27">
        <f t="shared" ca="1" si="1057"/>
        <v>0.29267267337129743</v>
      </c>
    </row>
    <row r="1032" spans="1:22" ht="12.75" customHeight="1" x14ac:dyDescent="0.2">
      <c r="A1032" s="6" t="s">
        <v>196</v>
      </c>
      <c r="B1032" s="6" t="s">
        <v>11</v>
      </c>
      <c r="C1032" s="7">
        <v>160834</v>
      </c>
      <c r="D1032" s="8">
        <v>11806.8</v>
      </c>
      <c r="E1032" s="9" t="s">
        <v>16</v>
      </c>
      <c r="F1032" s="23">
        <f t="shared" si="1043"/>
        <v>9.6000000000000014</v>
      </c>
      <c r="G1032" s="25"/>
      <c r="H1032" s="14">
        <f t="shared" si="1051"/>
        <v>0.55000000000000004</v>
      </c>
      <c r="I1032" s="25">
        <f ca="1">IFERROR(__xludf.DUMMYFUNCTION("ROUND(D1032*GOOGLEFINANCE(""RUBKZT"")*H1032)"),50674)</f>
        <v>50674</v>
      </c>
      <c r="J1032" s="26">
        <f ca="1">IFERROR(__xludf.DUMMYFUNCTION("ROUND(I1032*GOOGLEFINANCE(""KZTEUR""))"),106)</f>
        <v>106</v>
      </c>
      <c r="K1032" s="26">
        <f t="shared" ca="1" si="1052"/>
        <v>11042</v>
      </c>
      <c r="L1032" s="26">
        <f t="shared" ca="1" si="1053"/>
        <v>2097.98</v>
      </c>
      <c r="M1032" s="26">
        <f t="shared" ref="M1032:N1032" si="1064">M$3</f>
        <v>500</v>
      </c>
      <c r="N1032" s="26">
        <f t="shared" si="1064"/>
        <v>500</v>
      </c>
      <c r="O1032" s="26">
        <f ca="1">IFERROR(__xludf.DUMMYFUNCTION("ROUND(GOOGLEFINANCE(""Currency:EURKZT"")*K1032)"),5273324)</f>
        <v>5273324</v>
      </c>
      <c r="P1032" s="26">
        <f ca="1">IFERROR(__xludf.DUMMYFUNCTION("ROUND(GOOGLEFINANCE(""Currency:EURKZT"")*M1032)"),238785)</f>
        <v>238785</v>
      </c>
      <c r="Q1032" s="26">
        <f ca="1">IFERROR(__xludf.DUMMYFUNCTION("ROUND(GOOGLEFINANCE(""Currency:EURKZT"")*N1032)"),238785)</f>
        <v>238785</v>
      </c>
      <c r="R1032" s="26">
        <f t="shared" ca="1" si="1055"/>
        <v>632799</v>
      </c>
      <c r="S1032" s="26">
        <f t="shared" ca="1" si="1056"/>
        <v>6383693</v>
      </c>
      <c r="T1032" s="26">
        <f ca="1">IFERROR(__xludf.DUMMYFUNCTION("ROUND(GOOGLEFINANCE(""Currency:EURKZT"")*L1032+S1032)"),7385624)</f>
        <v>7385624</v>
      </c>
      <c r="U1032" s="26">
        <f ca="1">IFERROR(__xludf.DUMMYFUNCTION("D1032*GOOGLEFINANCE(""RUBKZT"")*1000/F1032"),9597357.66760349)</f>
        <v>9597357.6676034909</v>
      </c>
      <c r="V1032" s="27">
        <f t="shared" ca="1" si="1057"/>
        <v>0.29946469893450994</v>
      </c>
    </row>
    <row r="1033" spans="1:22" ht="12.75" customHeight="1" x14ac:dyDescent="0.2">
      <c r="A1033" s="6" t="s">
        <v>184</v>
      </c>
      <c r="B1033" s="6" t="s">
        <v>11</v>
      </c>
      <c r="C1033" s="7">
        <v>178530</v>
      </c>
      <c r="D1033" s="8">
        <v>9807.6</v>
      </c>
      <c r="E1033" s="9" t="s">
        <v>16</v>
      </c>
      <c r="F1033" s="23">
        <f t="shared" si="1043"/>
        <v>9.6000000000000014</v>
      </c>
      <c r="G1033" s="25"/>
      <c r="H1033" s="14">
        <f t="shared" si="1051"/>
        <v>0.55000000000000004</v>
      </c>
      <c r="I1033" s="25">
        <f ca="1">IFERROR(__xludf.DUMMYFUNCTION("ROUND(D1033*GOOGLEFINANCE(""RUBKZT"")*H1033)"),42094)</f>
        <v>42094</v>
      </c>
      <c r="J1033" s="26">
        <f ca="1">IFERROR(__xludf.DUMMYFUNCTION("ROUND(I1033*GOOGLEFINANCE(""KZTEUR""))"),88)</f>
        <v>88</v>
      </c>
      <c r="K1033" s="26">
        <f t="shared" ca="1" si="1052"/>
        <v>9167</v>
      </c>
      <c r="L1033" s="26">
        <f t="shared" ca="1" si="1053"/>
        <v>1741.73</v>
      </c>
      <c r="M1033" s="26">
        <f t="shared" ref="M1033:N1033" si="1065">M$3</f>
        <v>500</v>
      </c>
      <c r="N1033" s="26">
        <f t="shared" si="1065"/>
        <v>500</v>
      </c>
      <c r="O1033" s="26">
        <f ca="1">IFERROR(__xludf.DUMMYFUNCTION("ROUND(GOOGLEFINANCE(""Currency:EURKZT"")*K1033)"),4377881)</f>
        <v>4377881</v>
      </c>
      <c r="P1033" s="26">
        <f ca="1">IFERROR(__xludf.DUMMYFUNCTION("ROUND(GOOGLEFINANCE(""Currency:EURKZT"")*M1033)"),238785)</f>
        <v>238785</v>
      </c>
      <c r="Q1033" s="26">
        <f ca="1">IFERROR(__xludf.DUMMYFUNCTION("ROUND(GOOGLEFINANCE(""Currency:EURKZT"")*N1033)"),238785)</f>
        <v>238785</v>
      </c>
      <c r="R1033" s="26">
        <f t="shared" ca="1" si="1055"/>
        <v>525346</v>
      </c>
      <c r="S1033" s="26">
        <f t="shared" ca="1" si="1056"/>
        <v>5380797</v>
      </c>
      <c r="T1033" s="26">
        <f ca="1">IFERROR(__xludf.DUMMYFUNCTION("ROUND(GOOGLEFINANCE(""Currency:EURKZT"")*L1033+S1033)"),6212594)</f>
        <v>6212594</v>
      </c>
      <c r="U1033" s="26">
        <f ca="1">IFERROR(__xludf.DUMMYFUNCTION("D1033*GOOGLEFINANCE(""RUBKZT"")*1000/F1033"),7972274.0336745)</f>
        <v>7972274.0336745</v>
      </c>
      <c r="V1033" s="27">
        <f t="shared" ca="1" si="1057"/>
        <v>0.28324400945474626</v>
      </c>
    </row>
    <row r="1034" spans="1:22" ht="12.75" customHeight="1" x14ac:dyDescent="0.2">
      <c r="A1034" s="6" t="s">
        <v>258</v>
      </c>
      <c r="B1034" s="6" t="s">
        <v>11</v>
      </c>
      <c r="C1034" s="7">
        <v>183717</v>
      </c>
      <c r="D1034" s="8">
        <v>10249.199999999999</v>
      </c>
      <c r="E1034" s="9" t="s">
        <v>16</v>
      </c>
      <c r="F1034" s="23">
        <f t="shared" si="1043"/>
        <v>9.6000000000000014</v>
      </c>
      <c r="G1034" s="25"/>
      <c r="H1034" s="14">
        <f t="shared" si="1051"/>
        <v>0.55000000000000004</v>
      </c>
      <c r="I1034" s="25">
        <f ca="1">IFERROR(__xludf.DUMMYFUNCTION("ROUND(D1034*GOOGLEFINANCE(""RUBKZT"")*H1034)"),43989)</f>
        <v>43989</v>
      </c>
      <c r="J1034" s="26">
        <f ca="1">IFERROR(__xludf.DUMMYFUNCTION("ROUND(I1034*GOOGLEFINANCE(""KZTEUR""))"),92)</f>
        <v>92</v>
      </c>
      <c r="K1034" s="26">
        <f t="shared" ca="1" si="1052"/>
        <v>9583</v>
      </c>
      <c r="L1034" s="26">
        <f t="shared" ca="1" si="1053"/>
        <v>1820.77</v>
      </c>
      <c r="M1034" s="26">
        <f t="shared" ref="M1034:N1034" si="1066">M$3</f>
        <v>500</v>
      </c>
      <c r="N1034" s="26">
        <f t="shared" si="1066"/>
        <v>500</v>
      </c>
      <c r="O1034" s="26">
        <f ca="1">IFERROR(__xludf.DUMMYFUNCTION("ROUND(GOOGLEFINANCE(""Currency:EURKZT"")*K1034)"),4576550)</f>
        <v>4576550</v>
      </c>
      <c r="P1034" s="26">
        <f ca="1">IFERROR(__xludf.DUMMYFUNCTION("ROUND(GOOGLEFINANCE(""Currency:EURKZT"")*M1034)"),238785)</f>
        <v>238785</v>
      </c>
      <c r="Q1034" s="26">
        <f ca="1">IFERROR(__xludf.DUMMYFUNCTION("ROUND(GOOGLEFINANCE(""Currency:EURKZT"")*N1034)"),238785)</f>
        <v>238785</v>
      </c>
      <c r="R1034" s="26">
        <f t="shared" ca="1" si="1055"/>
        <v>549186</v>
      </c>
      <c r="S1034" s="26">
        <f t="shared" ca="1" si="1056"/>
        <v>5603306</v>
      </c>
      <c r="T1034" s="26">
        <f ca="1">IFERROR(__xludf.DUMMYFUNCTION("ROUND(GOOGLEFINANCE(""Currency:EURKZT"")*L1034+S1034)"),6472850)</f>
        <v>6472850</v>
      </c>
      <c r="U1034" s="26">
        <f ca="1">IFERROR(__xludf.DUMMYFUNCTION("D1034*GOOGLEFINANCE(""RUBKZT"")*1000/F1034"),8331236.08486649)</f>
        <v>8331236.0848664902</v>
      </c>
      <c r="V1034" s="27">
        <f t="shared" ca="1" si="1057"/>
        <v>0.28710476604069152</v>
      </c>
    </row>
    <row r="1035" spans="1:22" ht="12.75" customHeight="1" x14ac:dyDescent="0.2">
      <c r="A1035" s="6" t="s">
        <v>316</v>
      </c>
      <c r="B1035" s="6" t="s">
        <v>11</v>
      </c>
      <c r="C1035" s="7">
        <v>188292</v>
      </c>
      <c r="D1035" s="8">
        <v>16954.8</v>
      </c>
      <c r="E1035" s="9" t="s">
        <v>16</v>
      </c>
      <c r="F1035" s="23">
        <f t="shared" si="1043"/>
        <v>9.6000000000000014</v>
      </c>
      <c r="G1035" s="25"/>
      <c r="H1035" s="14">
        <f t="shared" si="1051"/>
        <v>0.55000000000000004</v>
      </c>
      <c r="I1035" s="25">
        <f ca="1">IFERROR(__xludf.DUMMYFUNCTION("ROUND(D1035*GOOGLEFINANCE(""RUBKZT"")*H1035)"),72769)</f>
        <v>72769</v>
      </c>
      <c r="J1035" s="26">
        <f ca="1">IFERROR(__xludf.DUMMYFUNCTION("ROUND(I1035*GOOGLEFINANCE(""KZTEUR""))"),152)</f>
        <v>152</v>
      </c>
      <c r="K1035" s="26">
        <f t="shared" ca="1" si="1052"/>
        <v>15833</v>
      </c>
      <c r="L1035" s="26">
        <f t="shared" ca="1" si="1053"/>
        <v>3008.27</v>
      </c>
      <c r="M1035" s="26">
        <f t="shared" ref="M1035:N1035" si="1067">M$3</f>
        <v>500</v>
      </c>
      <c r="N1035" s="26">
        <f t="shared" si="1067"/>
        <v>500</v>
      </c>
      <c r="O1035" s="26">
        <f ca="1">IFERROR(__xludf.DUMMYFUNCTION("ROUND(GOOGLEFINANCE(""Currency:EURKZT"")*K1035)"),7561360)</f>
        <v>7561360</v>
      </c>
      <c r="P1035" s="26">
        <f ca="1">IFERROR(__xludf.DUMMYFUNCTION("ROUND(GOOGLEFINANCE(""Currency:EURKZT"")*M1035)"),238785)</f>
        <v>238785</v>
      </c>
      <c r="Q1035" s="26">
        <f ca="1">IFERROR(__xludf.DUMMYFUNCTION("ROUND(GOOGLEFINANCE(""Currency:EURKZT"")*N1035)"),238785)</f>
        <v>238785</v>
      </c>
      <c r="R1035" s="26">
        <f t="shared" ca="1" si="1055"/>
        <v>907363</v>
      </c>
      <c r="S1035" s="26">
        <f t="shared" ca="1" si="1056"/>
        <v>8946293</v>
      </c>
      <c r="T1035" s="26">
        <f ca="1">IFERROR(__xludf.DUMMYFUNCTION("ROUND(GOOGLEFINANCE(""Currency:EURKZT"")*L1035+S1035)"),10382951)</f>
        <v>10382951</v>
      </c>
      <c r="U1035" s="26">
        <f ca="1">IFERROR(__xludf.DUMMYFUNCTION("D1035*GOOGLEFINANCE(""RUBKZT"")*1000/F1035"),13781996.7969884)</f>
        <v>13781996.7969884</v>
      </c>
      <c r="V1035" s="27">
        <f t="shared" ca="1" si="1057"/>
        <v>0.32736798979292109</v>
      </c>
    </row>
    <row r="1036" spans="1:22" ht="12.75" customHeight="1" x14ac:dyDescent="0.2">
      <c r="A1036" s="6" t="s">
        <v>322</v>
      </c>
      <c r="B1036" s="6" t="s">
        <v>11</v>
      </c>
      <c r="C1036" s="7">
        <v>188583</v>
      </c>
      <c r="D1036" s="8">
        <v>14763.599999999999</v>
      </c>
      <c r="E1036" s="9" t="s">
        <v>16</v>
      </c>
      <c r="F1036" s="23">
        <f t="shared" si="1043"/>
        <v>9.6000000000000014</v>
      </c>
      <c r="G1036" s="25"/>
      <c r="H1036" s="14">
        <f t="shared" si="1051"/>
        <v>0.55000000000000004</v>
      </c>
      <c r="I1036" s="25">
        <f ca="1">IFERROR(__xludf.DUMMYFUNCTION("ROUND(D1036*GOOGLEFINANCE(""RUBKZT"")*H1036)"),63364)</f>
        <v>63364</v>
      </c>
      <c r="J1036" s="26">
        <f ca="1">IFERROR(__xludf.DUMMYFUNCTION("ROUND(I1036*GOOGLEFINANCE(""KZTEUR""))"),133)</f>
        <v>133</v>
      </c>
      <c r="K1036" s="26">
        <f t="shared" ca="1" si="1052"/>
        <v>13854</v>
      </c>
      <c r="L1036" s="26">
        <f t="shared" ca="1" si="1053"/>
        <v>2632.26</v>
      </c>
      <c r="M1036" s="26">
        <f t="shared" ref="M1036:N1036" si="1068">M$3</f>
        <v>500</v>
      </c>
      <c r="N1036" s="26">
        <f t="shared" si="1068"/>
        <v>500</v>
      </c>
      <c r="O1036" s="26">
        <f ca="1">IFERROR(__xludf.DUMMYFUNCTION("ROUND(GOOGLEFINANCE(""Currency:EURKZT"")*K1036)"),6616249)</f>
        <v>6616249</v>
      </c>
      <c r="P1036" s="26">
        <f ca="1">IFERROR(__xludf.DUMMYFUNCTION("ROUND(GOOGLEFINANCE(""Currency:EURKZT"")*M1036)"),238785)</f>
        <v>238785</v>
      </c>
      <c r="Q1036" s="26">
        <f ca="1">IFERROR(__xludf.DUMMYFUNCTION("ROUND(GOOGLEFINANCE(""Currency:EURKZT"")*N1036)"),238785)</f>
        <v>238785</v>
      </c>
      <c r="R1036" s="26">
        <f t="shared" ca="1" si="1055"/>
        <v>793950</v>
      </c>
      <c r="S1036" s="26">
        <f t="shared" ca="1" si="1056"/>
        <v>7887769</v>
      </c>
      <c r="T1036" s="26">
        <f ca="1">IFERROR(__xludf.DUMMYFUNCTION("ROUND(GOOGLEFINANCE(""Currency:EURKZT"")*L1036+S1036)"),9144856)</f>
        <v>9144856</v>
      </c>
      <c r="U1036" s="26">
        <f ca="1">IFERROR(__xludf.DUMMYFUNCTION("D1036*GOOGLEFINANCE(""RUBKZT"")*1000/F1036"),12000842.7060194)</f>
        <v>12000842.7060194</v>
      </c>
      <c r="V1036" s="27">
        <f t="shared" ca="1" si="1057"/>
        <v>0.3123052682316047</v>
      </c>
    </row>
    <row r="1037" spans="1:22" ht="12.75" customHeight="1" x14ac:dyDescent="0.2">
      <c r="A1037" s="6" t="s">
        <v>375</v>
      </c>
      <c r="B1037" s="6" t="s">
        <v>11</v>
      </c>
      <c r="C1037" s="7">
        <v>197030</v>
      </c>
      <c r="D1037" s="8">
        <v>17589.599999999999</v>
      </c>
      <c r="E1037" s="9" t="s">
        <v>16</v>
      </c>
      <c r="F1037" s="23">
        <f t="shared" si="1043"/>
        <v>9.6000000000000014</v>
      </c>
      <c r="G1037" s="25"/>
      <c r="H1037" s="14">
        <f t="shared" si="1051"/>
        <v>0.55000000000000004</v>
      </c>
      <c r="I1037" s="25">
        <f ca="1">IFERROR(__xludf.DUMMYFUNCTION("ROUND(D1037*GOOGLEFINANCE(""RUBKZT"")*H1037)"),75493)</f>
        <v>75493</v>
      </c>
      <c r="J1037" s="26">
        <f ca="1">IFERROR(__xludf.DUMMYFUNCTION("ROUND(I1037*GOOGLEFINANCE(""KZTEUR""))"),158)</f>
        <v>158</v>
      </c>
      <c r="K1037" s="26">
        <f t="shared" ca="1" si="1052"/>
        <v>16458</v>
      </c>
      <c r="L1037" s="26">
        <f t="shared" ca="1" si="1053"/>
        <v>3127.02</v>
      </c>
      <c r="M1037" s="26">
        <f t="shared" ref="M1037:N1037" si="1069">M$3</f>
        <v>500</v>
      </c>
      <c r="N1037" s="26">
        <f t="shared" si="1069"/>
        <v>500</v>
      </c>
      <c r="O1037" s="26">
        <f ca="1">IFERROR(__xludf.DUMMYFUNCTION("ROUND(GOOGLEFINANCE(""Currency:EURKZT"")*K1037)"),7859841)</f>
        <v>7859841</v>
      </c>
      <c r="P1037" s="26">
        <f ca="1">IFERROR(__xludf.DUMMYFUNCTION("ROUND(GOOGLEFINANCE(""Currency:EURKZT"")*M1037)"),238785)</f>
        <v>238785</v>
      </c>
      <c r="Q1037" s="26">
        <f ca="1">IFERROR(__xludf.DUMMYFUNCTION("ROUND(GOOGLEFINANCE(""Currency:EURKZT"")*N1037)"),238785)</f>
        <v>238785</v>
      </c>
      <c r="R1037" s="26">
        <f t="shared" ca="1" si="1055"/>
        <v>943181</v>
      </c>
      <c r="S1037" s="26">
        <f t="shared" ca="1" si="1056"/>
        <v>9280592</v>
      </c>
      <c r="T1037" s="26">
        <f ca="1">IFERROR(__xludf.DUMMYFUNCTION("ROUND(GOOGLEFINANCE(""Currency:EURKZT"")*L1037+S1037)"),10773962)</f>
        <v>10773962</v>
      </c>
      <c r="U1037" s="26">
        <f ca="1">IFERROR(__xludf.DUMMYFUNCTION("D1037*GOOGLEFINANCE(""RUBKZT"")*1000/F1037"),14298004.7455769)</f>
        <v>14298004.745576899</v>
      </c>
      <c r="V1037" s="27">
        <f t="shared" ca="1" si="1057"/>
        <v>0.32708884118738302</v>
      </c>
    </row>
    <row r="1038" spans="1:22" ht="12.75" customHeight="1" x14ac:dyDescent="0.2">
      <c r="A1038" s="6" t="s">
        <v>392</v>
      </c>
      <c r="B1038" s="6" t="s">
        <v>11</v>
      </c>
      <c r="C1038" s="7">
        <v>199423</v>
      </c>
      <c r="D1038" s="8">
        <v>12504</v>
      </c>
      <c r="E1038" s="9" t="s">
        <v>16</v>
      </c>
      <c r="F1038" s="23">
        <f t="shared" si="1043"/>
        <v>9.6000000000000014</v>
      </c>
      <c r="G1038" s="25"/>
      <c r="H1038" s="14">
        <f t="shared" si="1051"/>
        <v>0.55000000000000004</v>
      </c>
      <c r="I1038" s="25">
        <f ca="1">IFERROR(__xludf.DUMMYFUNCTION("ROUND(D1038*GOOGLEFINANCE(""RUBKZT"")*H1038)"),53666)</f>
        <v>53666</v>
      </c>
      <c r="J1038" s="26">
        <f ca="1">IFERROR(__xludf.DUMMYFUNCTION("ROUND(I1038*GOOGLEFINANCE(""KZTEUR""))"),112)</f>
        <v>112</v>
      </c>
      <c r="K1038" s="26">
        <f t="shared" ca="1" si="1052"/>
        <v>11667</v>
      </c>
      <c r="L1038" s="26">
        <f t="shared" ca="1" si="1053"/>
        <v>2216.73</v>
      </c>
      <c r="M1038" s="26">
        <f t="shared" ref="M1038:N1038" si="1070">M$3</f>
        <v>500</v>
      </c>
      <c r="N1038" s="26">
        <f t="shared" si="1070"/>
        <v>500</v>
      </c>
      <c r="O1038" s="26">
        <f ca="1">IFERROR(__xludf.DUMMYFUNCTION("ROUND(GOOGLEFINANCE(""Currency:EURKZT"")*K1038)"),5571805)</f>
        <v>5571805</v>
      </c>
      <c r="P1038" s="26">
        <f ca="1">IFERROR(__xludf.DUMMYFUNCTION("ROUND(GOOGLEFINANCE(""Currency:EURKZT"")*M1038)"),238785)</f>
        <v>238785</v>
      </c>
      <c r="Q1038" s="26">
        <f ca="1">IFERROR(__xludf.DUMMYFUNCTION("ROUND(GOOGLEFINANCE(""Currency:EURKZT"")*N1038)"),238785)</f>
        <v>238785</v>
      </c>
      <c r="R1038" s="26">
        <f t="shared" ca="1" si="1055"/>
        <v>668617</v>
      </c>
      <c r="S1038" s="26">
        <f t="shared" ca="1" si="1056"/>
        <v>6717992</v>
      </c>
      <c r="T1038" s="26">
        <f ca="1">IFERROR(__xludf.DUMMYFUNCTION("ROUND(GOOGLEFINANCE(""Currency:EURKZT"")*L1038+S1038)"),7776635)</f>
        <v>7776635</v>
      </c>
      <c r="U1038" s="26">
        <f ca="1">IFERROR(__xludf.DUMMYFUNCTION("D1038*GOOGLEFINANCE(""RUBKZT"")*1000/F1038"),10164088.5147299)</f>
        <v>10164088.5147299</v>
      </c>
      <c r="V1038" s="27">
        <f t="shared" ca="1" si="1057"/>
        <v>0.3070034166101277</v>
      </c>
    </row>
    <row r="1039" spans="1:22" ht="12.75" customHeight="1" x14ac:dyDescent="0.2">
      <c r="A1039" s="6" t="s">
        <v>21</v>
      </c>
      <c r="B1039" s="6" t="s">
        <v>11</v>
      </c>
      <c r="C1039" s="7">
        <v>206701</v>
      </c>
      <c r="D1039" s="8">
        <v>7130.4</v>
      </c>
      <c r="E1039" s="9" t="s">
        <v>16</v>
      </c>
      <c r="F1039" s="23">
        <f t="shared" si="1043"/>
        <v>9.6000000000000014</v>
      </c>
      <c r="G1039" s="25"/>
      <c r="H1039" s="14">
        <f t="shared" si="1051"/>
        <v>0.55000000000000004</v>
      </c>
      <c r="I1039" s="25">
        <f ca="1">IFERROR(__xludf.DUMMYFUNCTION("ROUND(D1039*GOOGLEFINANCE(""RUBKZT"")*H1039)"),30603)</f>
        <v>30603</v>
      </c>
      <c r="J1039" s="26">
        <f ca="1">IFERROR(__xludf.DUMMYFUNCTION("ROUND(I1039*GOOGLEFINANCE(""KZTEUR""))"),64)</f>
        <v>64</v>
      </c>
      <c r="K1039" s="26">
        <f t="shared" ca="1" si="1052"/>
        <v>6667</v>
      </c>
      <c r="L1039" s="26">
        <f t="shared" ca="1" si="1053"/>
        <v>1266.73</v>
      </c>
      <c r="M1039" s="26">
        <f t="shared" ref="M1039:N1039" si="1071">M$3</f>
        <v>500</v>
      </c>
      <c r="N1039" s="26">
        <f t="shared" si="1071"/>
        <v>500</v>
      </c>
      <c r="O1039" s="26">
        <f ca="1">IFERROR(__xludf.DUMMYFUNCTION("ROUND(GOOGLEFINANCE(""Currency:EURKZT"")*K1039)"),3183957)</f>
        <v>3183957</v>
      </c>
      <c r="P1039" s="26">
        <f ca="1">IFERROR(__xludf.DUMMYFUNCTION("ROUND(GOOGLEFINANCE(""Currency:EURKZT"")*M1039)"),238785)</f>
        <v>238785</v>
      </c>
      <c r="Q1039" s="26">
        <f ca="1">IFERROR(__xludf.DUMMYFUNCTION("ROUND(GOOGLEFINANCE(""Currency:EURKZT"")*N1039)"),238785)</f>
        <v>238785</v>
      </c>
      <c r="R1039" s="26">
        <f t="shared" ca="1" si="1055"/>
        <v>382075</v>
      </c>
      <c r="S1039" s="26">
        <f t="shared" ca="1" si="1056"/>
        <v>4043602</v>
      </c>
      <c r="T1039" s="26">
        <f ca="1">IFERROR(__xludf.DUMMYFUNCTION("ROUND(GOOGLEFINANCE(""Currency:EURKZT"")*L1039+S1039)"),4648554)</f>
        <v>4648554</v>
      </c>
      <c r="U1039" s="26">
        <f ca="1">IFERROR(__xludf.DUMMYFUNCTION("D1039*GOOGLEFINANCE(""RUBKZT"")*1000/F1039"),5796066.59832299)</f>
        <v>5796066.5983229904</v>
      </c>
      <c r="V1039" s="27">
        <f t="shared" ca="1" si="1057"/>
        <v>0.24685366639238576</v>
      </c>
    </row>
    <row r="1040" spans="1:22" ht="12.75" customHeight="1" x14ac:dyDescent="0.2">
      <c r="A1040" s="6" t="s">
        <v>23</v>
      </c>
      <c r="B1040" s="6" t="s">
        <v>11</v>
      </c>
      <c r="C1040" s="7">
        <v>166651</v>
      </c>
      <c r="D1040" s="8">
        <v>9087.6</v>
      </c>
      <c r="E1040" s="9" t="s">
        <v>16</v>
      </c>
      <c r="F1040" s="23">
        <f t="shared" si="1043"/>
        <v>9.6000000000000014</v>
      </c>
      <c r="G1040" s="25"/>
      <c r="H1040" s="14">
        <f t="shared" si="1051"/>
        <v>0.55000000000000004</v>
      </c>
      <c r="I1040" s="25">
        <f ca="1">IFERROR(__xludf.DUMMYFUNCTION("ROUND(D1040*GOOGLEFINANCE(""RUBKZT"")*H1040)"),39003)</f>
        <v>39003</v>
      </c>
      <c r="J1040" s="26">
        <f ca="1">IFERROR(__xludf.DUMMYFUNCTION("ROUND(I1040*GOOGLEFINANCE(""KZTEUR""))"),82)</f>
        <v>82</v>
      </c>
      <c r="K1040" s="26">
        <f t="shared" ca="1" si="1052"/>
        <v>8542</v>
      </c>
      <c r="L1040" s="26">
        <f t="shared" ca="1" si="1053"/>
        <v>1622.98</v>
      </c>
      <c r="M1040" s="26">
        <f t="shared" ref="M1040:N1040" si="1072">M$3</f>
        <v>500</v>
      </c>
      <c r="N1040" s="26">
        <f t="shared" si="1072"/>
        <v>500</v>
      </c>
      <c r="O1040" s="26">
        <f ca="1">IFERROR(__xludf.DUMMYFUNCTION("ROUND(GOOGLEFINANCE(""Currency:EURKZT"")*K1040)"),4079400)</f>
        <v>4079400</v>
      </c>
      <c r="P1040" s="26">
        <f ca="1">IFERROR(__xludf.DUMMYFUNCTION("ROUND(GOOGLEFINANCE(""Currency:EURKZT"")*M1040)"),238785)</f>
        <v>238785</v>
      </c>
      <c r="Q1040" s="26">
        <f ca="1">IFERROR(__xludf.DUMMYFUNCTION("ROUND(GOOGLEFINANCE(""Currency:EURKZT"")*N1040)"),238785)</f>
        <v>238785</v>
      </c>
      <c r="R1040" s="26">
        <f t="shared" ca="1" si="1055"/>
        <v>489528</v>
      </c>
      <c r="S1040" s="26">
        <f t="shared" ca="1" si="1056"/>
        <v>5046498</v>
      </c>
      <c r="T1040" s="26">
        <f ca="1">IFERROR(__xludf.DUMMYFUNCTION("ROUND(GOOGLEFINANCE(""Currency:EURKZT"")*L1040+S1040)"),5821584)</f>
        <v>5821584</v>
      </c>
      <c r="U1040" s="26">
        <f ca="1">IFERROR(__xludf.DUMMYFUNCTION("D1040*GOOGLEFINANCE(""RUBKZT"")*1000/F1040"),7387009.8197745)</f>
        <v>7387009.8197745001</v>
      </c>
      <c r="V1040" s="27">
        <f t="shared" ca="1" si="1057"/>
        <v>0.26890032330968688</v>
      </c>
    </row>
    <row r="1041" spans="1:22" ht="12.75" customHeight="1" x14ac:dyDescent="0.2">
      <c r="A1041" s="6" t="s">
        <v>169</v>
      </c>
      <c r="B1041" s="6" t="s">
        <v>170</v>
      </c>
      <c r="C1041" s="7">
        <v>140089</v>
      </c>
      <c r="D1041" s="8">
        <v>18210</v>
      </c>
      <c r="E1041" s="9" t="s">
        <v>16</v>
      </c>
      <c r="F1041" s="23">
        <f t="shared" ref="F1041:F1043" si="1073">25*0.25</f>
        <v>6.25</v>
      </c>
      <c r="G1041" s="25"/>
      <c r="H1041" s="14">
        <f t="shared" si="1051"/>
        <v>0.55000000000000004</v>
      </c>
      <c r="I1041" s="25">
        <f ca="1">IFERROR(__xludf.DUMMYFUNCTION("ROUND(D1041*GOOGLEFINANCE(""RUBKZT"")*H1041)"),78156)</f>
        <v>78156</v>
      </c>
      <c r="J1041" s="26">
        <f ca="1">IFERROR(__xludf.DUMMYFUNCTION("ROUND(I1041*GOOGLEFINANCE(""KZTEUR""))"),164)</f>
        <v>164</v>
      </c>
      <c r="K1041" s="26">
        <f t="shared" ca="1" si="1052"/>
        <v>26240</v>
      </c>
      <c r="L1041" s="26">
        <f t="shared" ca="1" si="1053"/>
        <v>4985.6000000000004</v>
      </c>
      <c r="M1041" s="26">
        <f t="shared" ref="M1041:N1041" si="1074">M$3</f>
        <v>500</v>
      </c>
      <c r="N1041" s="26">
        <f t="shared" si="1074"/>
        <v>500</v>
      </c>
      <c r="O1041" s="26">
        <f ca="1">IFERROR(__xludf.DUMMYFUNCTION("ROUND(GOOGLEFINANCE(""Currency:EURKZT"")*K1041)"),12531427)</f>
        <v>12531427</v>
      </c>
      <c r="P1041" s="26">
        <f ca="1">IFERROR(__xludf.DUMMYFUNCTION("ROUND(GOOGLEFINANCE(""Currency:EURKZT"")*M1041)"),238785)</f>
        <v>238785</v>
      </c>
      <c r="Q1041" s="26">
        <f ca="1">IFERROR(__xludf.DUMMYFUNCTION("ROUND(GOOGLEFINANCE(""Currency:EURKZT"")*N1041)"),238785)</f>
        <v>238785</v>
      </c>
      <c r="R1041" s="26">
        <f t="shared" ca="1" si="1055"/>
        <v>1503771</v>
      </c>
      <c r="S1041" s="26">
        <f t="shared" ca="1" si="1056"/>
        <v>14512768</v>
      </c>
      <c r="T1041" s="26">
        <f ca="1">IFERROR(__xludf.DUMMYFUNCTION("ROUND(GOOGLEFINANCE(""Currency:EURKZT"")*L1041+S1041)"),16893739)</f>
        <v>16893739</v>
      </c>
      <c r="U1041" s="26">
        <f ca="1">IFERROR(__xludf.DUMMYFUNCTION("D1041*GOOGLEFINANCE(""RUBKZT"")*1000/F1041"),22736344.1815872)</f>
        <v>22736344.181587201</v>
      </c>
      <c r="V1041" s="27">
        <f t="shared" ca="1" si="1057"/>
        <v>0.34584440907884278</v>
      </c>
    </row>
    <row r="1042" spans="1:22" ht="12.75" customHeight="1" x14ac:dyDescent="0.2">
      <c r="A1042" s="6" t="s">
        <v>178</v>
      </c>
      <c r="B1042" s="6" t="s">
        <v>170</v>
      </c>
      <c r="C1042" s="7">
        <v>140223</v>
      </c>
      <c r="D1042" s="8">
        <v>17716.8</v>
      </c>
      <c r="E1042" s="9" t="s">
        <v>16</v>
      </c>
      <c r="F1042" s="23">
        <f t="shared" si="1073"/>
        <v>6.25</v>
      </c>
      <c r="G1042" s="25"/>
      <c r="H1042" s="14">
        <f t="shared" si="1051"/>
        <v>0.55000000000000004</v>
      </c>
      <c r="I1042" s="25">
        <f ca="1">IFERROR(__xludf.DUMMYFUNCTION("ROUND(D1042*GOOGLEFINANCE(""RUBKZT"")*H1042)"),76039)</f>
        <v>76039</v>
      </c>
      <c r="J1042" s="26">
        <f ca="1">IFERROR(__xludf.DUMMYFUNCTION("ROUND(I1042*GOOGLEFINANCE(""KZTEUR""))"),159)</f>
        <v>159</v>
      </c>
      <c r="K1042" s="26">
        <f t="shared" ca="1" si="1052"/>
        <v>25440</v>
      </c>
      <c r="L1042" s="26">
        <f t="shared" ca="1" si="1053"/>
        <v>4833.6000000000004</v>
      </c>
      <c r="M1042" s="26">
        <f t="shared" ref="M1042:N1042" si="1075">M$3</f>
        <v>500</v>
      </c>
      <c r="N1042" s="26">
        <f t="shared" si="1075"/>
        <v>500</v>
      </c>
      <c r="O1042" s="26">
        <f ca="1">IFERROR(__xludf.DUMMYFUNCTION("ROUND(GOOGLEFINANCE(""Currency:EURKZT"")*K1042)"),12149371)</f>
        <v>12149371</v>
      </c>
      <c r="P1042" s="26">
        <f ca="1">IFERROR(__xludf.DUMMYFUNCTION("ROUND(GOOGLEFINANCE(""Currency:EURKZT"")*M1042)"),238785)</f>
        <v>238785</v>
      </c>
      <c r="Q1042" s="26">
        <f ca="1">IFERROR(__xludf.DUMMYFUNCTION("ROUND(GOOGLEFINANCE(""Currency:EURKZT"")*N1042)"),238785)</f>
        <v>238785</v>
      </c>
      <c r="R1042" s="26">
        <f t="shared" ca="1" si="1055"/>
        <v>1457925</v>
      </c>
      <c r="S1042" s="26">
        <f t="shared" ca="1" si="1056"/>
        <v>14084866</v>
      </c>
      <c r="T1042" s="26">
        <f ca="1">IFERROR(__xludf.DUMMYFUNCTION("ROUND(GOOGLEFINANCE(""Currency:EURKZT"")*L1042+S1042)"),16393246)</f>
        <v>16393246</v>
      </c>
      <c r="U1042" s="26">
        <f ca="1">IFERROR(__xludf.DUMMYFUNCTION("D1042*GOOGLEFINANCE(""RUBKZT"")*1000/F1042"),22120552.5862901)</f>
        <v>22120552.586290099</v>
      </c>
      <c r="V1042" s="27">
        <f t="shared" ca="1" si="1057"/>
        <v>0.34936989210618197</v>
      </c>
    </row>
    <row r="1043" spans="1:22" ht="12.75" customHeight="1" x14ac:dyDescent="0.2">
      <c r="A1043" s="6" t="s">
        <v>374</v>
      </c>
      <c r="B1043" s="6" t="s">
        <v>170</v>
      </c>
      <c r="C1043" s="7">
        <v>196617</v>
      </c>
      <c r="D1043" s="8">
        <v>18326.399999999998</v>
      </c>
      <c r="E1043" s="9" t="s">
        <v>16</v>
      </c>
      <c r="F1043" s="23">
        <f t="shared" si="1073"/>
        <v>6.25</v>
      </c>
      <c r="G1043" s="25"/>
      <c r="H1043" s="14">
        <f t="shared" si="1051"/>
        <v>0.55000000000000004</v>
      </c>
      <c r="I1043" s="25">
        <f ca="1">IFERROR(__xludf.DUMMYFUNCTION("ROUND(D1043*GOOGLEFINANCE(""RUBKZT"")*H1043)"),78656)</f>
        <v>78656</v>
      </c>
      <c r="J1043" s="26">
        <f ca="1">IFERROR(__xludf.DUMMYFUNCTION("ROUND(I1043*GOOGLEFINANCE(""KZTEUR""))"),165)</f>
        <v>165</v>
      </c>
      <c r="K1043" s="26">
        <f t="shared" ca="1" si="1052"/>
        <v>26400</v>
      </c>
      <c r="L1043" s="26">
        <f t="shared" ca="1" si="1053"/>
        <v>5016</v>
      </c>
      <c r="M1043" s="26">
        <f t="shared" ref="M1043:N1043" si="1076">M$3</f>
        <v>500</v>
      </c>
      <c r="N1043" s="26">
        <f t="shared" si="1076"/>
        <v>500</v>
      </c>
      <c r="O1043" s="26">
        <f ca="1">IFERROR(__xludf.DUMMYFUNCTION("ROUND(GOOGLEFINANCE(""Currency:EURKZT"")*K1043)"),12607838)</f>
        <v>12607838</v>
      </c>
      <c r="P1043" s="26">
        <f ca="1">IFERROR(__xludf.DUMMYFUNCTION("ROUND(GOOGLEFINANCE(""Currency:EURKZT"")*M1043)"),238785)</f>
        <v>238785</v>
      </c>
      <c r="Q1043" s="26">
        <f ca="1">IFERROR(__xludf.DUMMYFUNCTION("ROUND(GOOGLEFINANCE(""Currency:EURKZT"")*N1043)"),238785)</f>
        <v>238785</v>
      </c>
      <c r="R1043" s="26">
        <f t="shared" ca="1" si="1055"/>
        <v>1512941</v>
      </c>
      <c r="S1043" s="26">
        <f t="shared" ca="1" si="1056"/>
        <v>14598349</v>
      </c>
      <c r="T1043" s="26">
        <f ca="1">IFERROR(__xludf.DUMMYFUNCTION("ROUND(GOOGLEFINANCE(""Currency:EURKZT"")*L1043+S1043)"),16993838)</f>
        <v>16993838</v>
      </c>
      <c r="U1043" s="26">
        <f ca="1">IFERROR(__xludf.DUMMYFUNCTION("D1043*GOOGLEFINANCE(""RUBKZT"")*1000/F1043"),22881676.9911828)</f>
        <v>22881676.9911828</v>
      </c>
      <c r="V1043" s="27">
        <f t="shared" ca="1" si="1057"/>
        <v>0.34646905491171565</v>
      </c>
    </row>
    <row r="1044" spans="1:22" ht="12.75" customHeight="1" x14ac:dyDescent="0.2">
      <c r="A1044" s="6" t="s">
        <v>156</v>
      </c>
      <c r="B1044" s="6" t="s">
        <v>158</v>
      </c>
      <c r="C1044" s="7">
        <v>134023</v>
      </c>
      <c r="D1044" s="8">
        <v>42493.2</v>
      </c>
      <c r="E1044" s="9" t="s">
        <v>16</v>
      </c>
      <c r="F1044" s="23">
        <v>25</v>
      </c>
      <c r="G1044" s="25"/>
      <c r="H1044" s="14">
        <f t="shared" si="1051"/>
        <v>0.55000000000000004</v>
      </c>
      <c r="I1044" s="25">
        <f ca="1">IFERROR(__xludf.DUMMYFUNCTION("ROUND(D1044*GOOGLEFINANCE(""RUBKZT"")*H1044)"),182378)</f>
        <v>182378</v>
      </c>
      <c r="J1044" s="26">
        <f ca="1">IFERROR(__xludf.DUMMYFUNCTION("ROUND(I1044*GOOGLEFINANCE(""KZTEUR""))"),382)</f>
        <v>382</v>
      </c>
      <c r="K1044" s="26">
        <f t="shared" ca="1" si="1052"/>
        <v>15280</v>
      </c>
      <c r="L1044" s="26">
        <f t="shared" ca="1" si="1053"/>
        <v>2903.2</v>
      </c>
      <c r="M1044" s="26">
        <f t="shared" ref="M1044:N1044" si="1077">M$3</f>
        <v>500</v>
      </c>
      <c r="N1044" s="26">
        <f t="shared" si="1077"/>
        <v>500</v>
      </c>
      <c r="O1044" s="26">
        <f ca="1">IFERROR(__xludf.DUMMYFUNCTION("ROUND(GOOGLEFINANCE(""Currency:EURKZT"")*K1044)"),7297264)</f>
        <v>7297264</v>
      </c>
      <c r="P1044" s="26">
        <f ca="1">IFERROR(__xludf.DUMMYFUNCTION("ROUND(GOOGLEFINANCE(""Currency:EURKZT"")*M1044)"),238785)</f>
        <v>238785</v>
      </c>
      <c r="Q1044" s="26">
        <f ca="1">IFERROR(__xludf.DUMMYFUNCTION("ROUND(GOOGLEFINANCE(""Currency:EURKZT"")*N1044)"),238785)</f>
        <v>238785</v>
      </c>
      <c r="R1044" s="26">
        <f t="shared" ca="1" si="1055"/>
        <v>875672</v>
      </c>
      <c r="S1044" s="26">
        <f t="shared" ca="1" si="1056"/>
        <v>8650506</v>
      </c>
      <c r="T1044" s="26">
        <f ca="1">IFERROR(__xludf.DUMMYFUNCTION("ROUND(GOOGLEFINANCE(""Currency:EURKZT"")*L1044+S1044)"),10036986)</f>
        <v>10036986</v>
      </c>
      <c r="U1044" s="26">
        <f ca="1">IFERROR(__xludf.DUMMYFUNCTION("D1044*GOOGLEFINANCE(""RUBKZT"")*1000/F1044"),13263866.2901842)</f>
        <v>13263866.2901842</v>
      </c>
      <c r="V1044" s="27">
        <f t="shared" ca="1" si="1057"/>
        <v>0.32149893306458732</v>
      </c>
    </row>
    <row r="1045" spans="1:22" ht="12.75" customHeight="1" x14ac:dyDescent="0.2">
      <c r="A1045" s="6" t="s">
        <v>159</v>
      </c>
      <c r="B1045" s="6" t="s">
        <v>158</v>
      </c>
      <c r="C1045" s="7">
        <v>134024</v>
      </c>
      <c r="D1045" s="8">
        <v>42758.400000000001</v>
      </c>
      <c r="E1045" s="9" t="s">
        <v>16</v>
      </c>
      <c r="F1045" s="23">
        <v>25</v>
      </c>
      <c r="G1045" s="25"/>
      <c r="H1045" s="14">
        <f t="shared" si="1051"/>
        <v>0.55000000000000004</v>
      </c>
      <c r="I1045" s="25">
        <f ca="1">IFERROR(__xludf.DUMMYFUNCTION("ROUND(D1045*GOOGLEFINANCE(""RUBKZT"")*H1045)"),183516)</f>
        <v>183516</v>
      </c>
      <c r="J1045" s="26">
        <f ca="1">IFERROR(__xludf.DUMMYFUNCTION("ROUND(I1045*GOOGLEFINANCE(""KZTEUR""))"),384)</f>
        <v>384</v>
      </c>
      <c r="K1045" s="26">
        <f t="shared" ca="1" si="1052"/>
        <v>15360</v>
      </c>
      <c r="L1045" s="26">
        <f t="shared" ca="1" si="1053"/>
        <v>2918.4</v>
      </c>
      <c r="M1045" s="26">
        <f t="shared" ref="M1045:N1045" si="1078">M$3</f>
        <v>500</v>
      </c>
      <c r="N1045" s="26">
        <f t="shared" si="1078"/>
        <v>500</v>
      </c>
      <c r="O1045" s="26">
        <f ca="1">IFERROR(__xludf.DUMMYFUNCTION("ROUND(GOOGLEFINANCE(""Currency:EURKZT"")*K1045)"),7335469)</f>
        <v>7335469</v>
      </c>
      <c r="P1045" s="26">
        <f ca="1">IFERROR(__xludf.DUMMYFUNCTION("ROUND(GOOGLEFINANCE(""Currency:EURKZT"")*M1045)"),238785)</f>
        <v>238785</v>
      </c>
      <c r="Q1045" s="26">
        <f ca="1">IFERROR(__xludf.DUMMYFUNCTION("ROUND(GOOGLEFINANCE(""Currency:EURKZT"")*N1045)"),238785)</f>
        <v>238785</v>
      </c>
      <c r="R1045" s="26">
        <f t="shared" ca="1" si="1055"/>
        <v>880256</v>
      </c>
      <c r="S1045" s="26">
        <f t="shared" ca="1" si="1056"/>
        <v>8693295</v>
      </c>
      <c r="T1045" s="26">
        <f ca="1">IFERROR(__xludf.DUMMYFUNCTION("ROUND(GOOGLEFINANCE(""Currency:EURKZT"")*L1045+S1045)"),10087034)</f>
        <v>10087034</v>
      </c>
      <c r="U1045" s="26">
        <f ca="1">IFERROR(__xludf.DUMMYFUNCTION("D1045*GOOGLEFINANCE(""RUBKZT"")*1000/F1045"),13346646.0605982)</f>
        <v>13346646.0605982</v>
      </c>
      <c r="V1045" s="27">
        <f t="shared" ca="1" si="1057"/>
        <v>0.32314871354634078</v>
      </c>
    </row>
    <row r="1046" spans="1:22" ht="12.75" customHeight="1" x14ac:dyDescent="0.2">
      <c r="A1046" s="6" t="s">
        <v>305</v>
      </c>
      <c r="B1046" s="6" t="s">
        <v>319</v>
      </c>
      <c r="C1046" s="7">
        <v>188475</v>
      </c>
      <c r="D1046" s="8">
        <v>12315.6</v>
      </c>
      <c r="E1046" s="9" t="s">
        <v>16</v>
      </c>
      <c r="F1046" s="23">
        <f>2*12*0.3</f>
        <v>7.1999999999999993</v>
      </c>
      <c r="G1046" s="25"/>
      <c r="H1046" s="14">
        <f t="shared" si="1051"/>
        <v>0.55000000000000004</v>
      </c>
      <c r="I1046" s="25">
        <f ca="1">IFERROR(__xludf.DUMMYFUNCTION("ROUND(D1046*GOOGLEFINANCE(""RUBKZT"")*H1046)"),52858)</f>
        <v>52858</v>
      </c>
      <c r="J1046" s="26">
        <f ca="1">IFERROR(__xludf.DUMMYFUNCTION("ROUND(I1046*GOOGLEFINANCE(""KZTEUR""))"),111)</f>
        <v>111</v>
      </c>
      <c r="K1046" s="26">
        <f t="shared" ca="1" si="1052"/>
        <v>15417</v>
      </c>
      <c r="L1046" s="26">
        <f t="shared" ca="1" si="1053"/>
        <v>2929.23</v>
      </c>
      <c r="M1046" s="26">
        <f t="shared" ref="M1046:N1046" si="1079">M$3</f>
        <v>500</v>
      </c>
      <c r="N1046" s="26">
        <f t="shared" si="1079"/>
        <v>500</v>
      </c>
      <c r="O1046" s="26">
        <f ca="1">IFERROR(__xludf.DUMMYFUNCTION("ROUND(GOOGLEFINANCE(""Currency:EURKZT"")*K1046)"),7362691)</f>
        <v>7362691</v>
      </c>
      <c r="P1046" s="26">
        <f ca="1">IFERROR(__xludf.DUMMYFUNCTION("ROUND(GOOGLEFINANCE(""Currency:EURKZT"")*M1046)"),238785)</f>
        <v>238785</v>
      </c>
      <c r="Q1046" s="26">
        <f ca="1">IFERROR(__xludf.DUMMYFUNCTION("ROUND(GOOGLEFINANCE(""Currency:EURKZT"")*N1046)"),238785)</f>
        <v>238785</v>
      </c>
      <c r="R1046" s="26">
        <f t="shared" ca="1" si="1055"/>
        <v>883523</v>
      </c>
      <c r="S1046" s="26">
        <f t="shared" ca="1" si="1056"/>
        <v>8723784</v>
      </c>
      <c r="T1046" s="26">
        <f ca="1">IFERROR(__xludf.DUMMYFUNCTION("ROUND(GOOGLEFINANCE(""Currency:EURKZT"")*L1046+S1046)"),10122695)</f>
        <v>10122695</v>
      </c>
      <c r="U1046" s="26">
        <f ca="1">IFERROR(__xludf.DUMMYFUNCTION("D1046*GOOGLEFINANCE(""RUBKZT"")*1000/F1046"),13347925.838346)</f>
        <v>13347925.838346001</v>
      </c>
      <c r="V1046" s="27">
        <f t="shared" ca="1" si="1057"/>
        <v>0.31861385118745561</v>
      </c>
    </row>
    <row r="1047" spans="1:22" ht="12.75" customHeight="1" x14ac:dyDescent="0.2">
      <c r="A1047" s="6" t="s">
        <v>277</v>
      </c>
      <c r="B1047" s="6" t="s">
        <v>278</v>
      </c>
      <c r="C1047" s="7">
        <v>174547</v>
      </c>
      <c r="D1047" s="8">
        <v>13467.6</v>
      </c>
      <c r="E1047" s="9" t="s">
        <v>16</v>
      </c>
      <c r="F1047" s="23">
        <f t="shared" ref="F1047:F1049" si="1080">2*12*0.4</f>
        <v>9.6000000000000014</v>
      </c>
      <c r="G1047" s="25"/>
      <c r="H1047" s="14">
        <f t="shared" si="1051"/>
        <v>0.55000000000000004</v>
      </c>
      <c r="I1047" s="25">
        <f ca="1">IFERROR(__xludf.DUMMYFUNCTION("ROUND(D1047*GOOGLEFINANCE(""RUBKZT"")*H1047)"),57802)</f>
        <v>57802</v>
      </c>
      <c r="J1047" s="26">
        <f ca="1">IFERROR(__xludf.DUMMYFUNCTION("ROUND(I1047*GOOGLEFINANCE(""KZTEUR""))"),121)</f>
        <v>121</v>
      </c>
      <c r="K1047" s="26">
        <f t="shared" ca="1" si="1052"/>
        <v>12604</v>
      </c>
      <c r="L1047" s="26">
        <f t="shared" ca="1" si="1053"/>
        <v>2394.7600000000002</v>
      </c>
      <c r="M1047" s="26">
        <f t="shared" ref="M1047:N1047" si="1081">M$3</f>
        <v>500</v>
      </c>
      <c r="N1047" s="26">
        <f t="shared" si="1081"/>
        <v>500</v>
      </c>
      <c r="O1047" s="26">
        <f ca="1">IFERROR(__xludf.DUMMYFUNCTION("ROUND(GOOGLEFINANCE(""Currency:EURKZT"")*K1047)"),6019287)</f>
        <v>6019287</v>
      </c>
      <c r="P1047" s="26">
        <f ca="1">IFERROR(__xludf.DUMMYFUNCTION("ROUND(GOOGLEFINANCE(""Currency:EURKZT"")*M1047)"),238785)</f>
        <v>238785</v>
      </c>
      <c r="Q1047" s="26">
        <f ca="1">IFERROR(__xludf.DUMMYFUNCTION("ROUND(GOOGLEFINANCE(""Currency:EURKZT"")*N1047)"),238785)</f>
        <v>238785</v>
      </c>
      <c r="R1047" s="26">
        <f t="shared" ca="1" si="1055"/>
        <v>722314</v>
      </c>
      <c r="S1047" s="26">
        <f t="shared" ca="1" si="1056"/>
        <v>7219171</v>
      </c>
      <c r="T1047" s="26">
        <f ca="1">IFERROR(__xludf.DUMMYFUNCTION("ROUND(GOOGLEFINANCE(""Currency:EURKZT"")*L1047+S1047)"),8362836)</f>
        <v>8362836</v>
      </c>
      <c r="U1047" s="26">
        <f ca="1">IFERROR(__xludf.DUMMYFUNCTION("D1047*GOOGLEFINANCE(""RUBKZT"")*1000/F1047"),10947367.1209994)</f>
        <v>10947367.1209994</v>
      </c>
      <c r="V1047" s="27">
        <f t="shared" ca="1" si="1057"/>
        <v>0.30904960003991466</v>
      </c>
    </row>
    <row r="1048" spans="1:22" ht="12.75" customHeight="1" x14ac:dyDescent="0.2">
      <c r="A1048" s="6" t="s">
        <v>329</v>
      </c>
      <c r="B1048" s="6" t="s">
        <v>278</v>
      </c>
      <c r="C1048" s="7">
        <v>190493</v>
      </c>
      <c r="D1048" s="8">
        <v>17736</v>
      </c>
      <c r="E1048" s="9" t="s">
        <v>16</v>
      </c>
      <c r="F1048" s="23">
        <f t="shared" si="1080"/>
        <v>9.6000000000000014</v>
      </c>
      <c r="G1048" s="25"/>
      <c r="H1048" s="14">
        <f t="shared" si="1051"/>
        <v>0.55000000000000004</v>
      </c>
      <c r="I1048" s="25">
        <f ca="1">IFERROR(__xludf.DUMMYFUNCTION("ROUND(D1048*GOOGLEFINANCE(""RUBKZT"")*H1048)"),76122)</f>
        <v>76122</v>
      </c>
      <c r="J1048" s="26">
        <f ca="1">IFERROR(__xludf.DUMMYFUNCTION("ROUND(I1048*GOOGLEFINANCE(""KZTEUR""))"),159)</f>
        <v>159</v>
      </c>
      <c r="K1048" s="26">
        <f t="shared" ca="1" si="1052"/>
        <v>16563</v>
      </c>
      <c r="L1048" s="26">
        <f t="shared" ca="1" si="1053"/>
        <v>3146.9700000000003</v>
      </c>
      <c r="M1048" s="26">
        <f t="shared" ref="M1048:N1048" si="1082">M$3</f>
        <v>500</v>
      </c>
      <c r="N1048" s="26">
        <f t="shared" si="1082"/>
        <v>500</v>
      </c>
      <c r="O1048" s="26">
        <f ca="1">IFERROR(__xludf.DUMMYFUNCTION("ROUND(GOOGLEFINANCE(""Currency:EURKZT"")*K1048)"),7909986)</f>
        <v>7909986</v>
      </c>
      <c r="P1048" s="26">
        <f ca="1">IFERROR(__xludf.DUMMYFUNCTION("ROUND(GOOGLEFINANCE(""Currency:EURKZT"")*M1048)"),238785)</f>
        <v>238785</v>
      </c>
      <c r="Q1048" s="26">
        <f ca="1">IFERROR(__xludf.DUMMYFUNCTION("ROUND(GOOGLEFINANCE(""Currency:EURKZT"")*N1048)"),238785)</f>
        <v>238785</v>
      </c>
      <c r="R1048" s="26">
        <f t="shared" ca="1" si="1055"/>
        <v>949198</v>
      </c>
      <c r="S1048" s="26">
        <f t="shared" ca="1" si="1056"/>
        <v>9336754</v>
      </c>
      <c r="T1048" s="26">
        <f ca="1">IFERROR(__xludf.DUMMYFUNCTION("ROUND(GOOGLEFINANCE(""Currency:EURKZT"")*L1048+S1048)"),10839651)</f>
        <v>10839651</v>
      </c>
      <c r="U1048" s="26">
        <f ca="1">IFERROR(__xludf.DUMMYFUNCTION("D1048*GOOGLEFINANCE(""RUBKZT"")*1000/F1048"),14417008.4690699)</f>
        <v>14417008.4690699</v>
      </c>
      <c r="V1048" s="27">
        <f t="shared" ca="1" si="1057"/>
        <v>0.33002515201549387</v>
      </c>
    </row>
    <row r="1049" spans="1:22" ht="12.75" customHeight="1" x14ac:dyDescent="0.2">
      <c r="A1049" s="6" t="s">
        <v>330</v>
      </c>
      <c r="B1049" s="6" t="s">
        <v>278</v>
      </c>
      <c r="C1049" s="7">
        <v>190497</v>
      </c>
      <c r="D1049" s="8">
        <v>17462.399999999998</v>
      </c>
      <c r="E1049" s="9" t="s">
        <v>16</v>
      </c>
      <c r="F1049" s="23">
        <f t="shared" si="1080"/>
        <v>9.6000000000000014</v>
      </c>
      <c r="G1049" s="25"/>
      <c r="H1049" s="14">
        <f t="shared" si="1051"/>
        <v>0.55000000000000004</v>
      </c>
      <c r="I1049" s="25">
        <f ca="1">IFERROR(__xludf.DUMMYFUNCTION("ROUND(D1049*GOOGLEFINANCE(""RUBKZT"")*H1049)"),74948)</f>
        <v>74948</v>
      </c>
      <c r="J1049" s="26">
        <f ca="1">IFERROR(__xludf.DUMMYFUNCTION("ROUND(I1049*GOOGLEFINANCE(""KZTEUR""))"),157)</f>
        <v>157</v>
      </c>
      <c r="K1049" s="26">
        <f t="shared" ca="1" si="1052"/>
        <v>16354</v>
      </c>
      <c r="L1049" s="26">
        <f t="shared" ca="1" si="1053"/>
        <v>3107.26</v>
      </c>
      <c r="M1049" s="26">
        <f t="shared" ref="M1049:N1049" si="1083">M$3</f>
        <v>500</v>
      </c>
      <c r="N1049" s="26">
        <f t="shared" si="1083"/>
        <v>500</v>
      </c>
      <c r="O1049" s="26">
        <f ca="1">IFERROR(__xludf.DUMMYFUNCTION("ROUND(GOOGLEFINANCE(""Currency:EURKZT"")*K1049)"),7810173)</f>
        <v>7810173</v>
      </c>
      <c r="P1049" s="26">
        <f ca="1">IFERROR(__xludf.DUMMYFUNCTION("ROUND(GOOGLEFINANCE(""Currency:EURKZT"")*M1049)"),238785)</f>
        <v>238785</v>
      </c>
      <c r="Q1049" s="26">
        <f ca="1">IFERROR(__xludf.DUMMYFUNCTION("ROUND(GOOGLEFINANCE(""Currency:EURKZT"")*N1049)"),238785)</f>
        <v>238785</v>
      </c>
      <c r="R1049" s="26">
        <f t="shared" ca="1" si="1055"/>
        <v>937221</v>
      </c>
      <c r="S1049" s="26">
        <f t="shared" ca="1" si="1056"/>
        <v>9224964</v>
      </c>
      <c r="T1049" s="26">
        <f ca="1">IFERROR(__xludf.DUMMYFUNCTION("ROUND(GOOGLEFINANCE(""Currency:EURKZT"")*L1049+S1049)"),10708897)</f>
        <v>10708897</v>
      </c>
      <c r="U1049" s="26">
        <f ca="1">IFERROR(__xludf.DUMMYFUNCTION("D1049*GOOGLEFINANCE(""RUBKZT"")*1000/F1049"),14194608.0677879)</f>
        <v>14194608.067787901</v>
      </c>
      <c r="V1049" s="27">
        <f t="shared" ca="1" si="1057"/>
        <v>0.32549674049417981</v>
      </c>
    </row>
    <row r="1050" spans="1:22" ht="12.75" customHeight="1" x14ac:dyDescent="0.2">
      <c r="A1050" s="6" t="s">
        <v>460</v>
      </c>
      <c r="B1050" s="6" t="s">
        <v>461</v>
      </c>
      <c r="C1050" s="7">
        <v>213672</v>
      </c>
      <c r="D1050" s="8">
        <v>5348.4</v>
      </c>
      <c r="E1050" s="9" t="s">
        <v>16</v>
      </c>
      <c r="F1050" s="23">
        <v>12</v>
      </c>
      <c r="G1050" s="25"/>
      <c r="H1050" s="14">
        <f t="shared" si="1051"/>
        <v>0.55000000000000004</v>
      </c>
      <c r="I1050" s="25">
        <f ca="1">IFERROR(__xludf.DUMMYFUNCTION("ROUND(D1050*GOOGLEFINANCE(""RUBKZT"")*H1050)"),22955)</f>
        <v>22955</v>
      </c>
      <c r="J1050" s="26">
        <f ca="1">IFERROR(__xludf.DUMMYFUNCTION("ROUND(I1050*GOOGLEFINANCE(""KZTEUR""))"),48)</f>
        <v>48</v>
      </c>
      <c r="K1050" s="26">
        <f t="shared" ca="1" si="1052"/>
        <v>4000</v>
      </c>
      <c r="L1050" s="26">
        <f t="shared" ca="1" si="1053"/>
        <v>760</v>
      </c>
      <c r="M1050" s="26">
        <f t="shared" ref="M1050:N1050" si="1084">M$3</f>
        <v>500</v>
      </c>
      <c r="N1050" s="26">
        <f t="shared" si="1084"/>
        <v>500</v>
      </c>
      <c r="O1050" s="26">
        <f ca="1">IFERROR(__xludf.DUMMYFUNCTION("ROUND(GOOGLEFINANCE(""Currency:EURKZT"")*K1050)"),1910278)</f>
        <v>1910278</v>
      </c>
      <c r="P1050" s="26">
        <f ca="1">IFERROR(__xludf.DUMMYFUNCTION("ROUND(GOOGLEFINANCE(""Currency:EURKZT"")*M1050)"),238785)</f>
        <v>238785</v>
      </c>
      <c r="Q1050" s="26">
        <f ca="1">IFERROR(__xludf.DUMMYFUNCTION("ROUND(GOOGLEFINANCE(""Currency:EURKZT"")*N1050)"),238785)</f>
        <v>238785</v>
      </c>
      <c r="R1050" s="26">
        <f t="shared" ca="1" si="1055"/>
        <v>229233</v>
      </c>
      <c r="S1050" s="26">
        <f t="shared" ca="1" si="1056"/>
        <v>2617081</v>
      </c>
      <c r="T1050" s="26">
        <f ca="1">IFERROR(__xludf.DUMMYFUNCTION("ROUND(GOOGLEFINANCE(""Currency:EURKZT"")*L1050+S1050)"),2980034)</f>
        <v>2980034</v>
      </c>
      <c r="U1050" s="26">
        <f ca="1">IFERROR(__xludf.DUMMYFUNCTION("D1050*GOOGLEFINANCE(""RUBKZT"")*1000/F1050"),3478030.1351364)</f>
        <v>3478030.1351363999</v>
      </c>
      <c r="V1050" s="27">
        <f t="shared" ca="1" si="1057"/>
        <v>0.16711089039131766</v>
      </c>
    </row>
    <row r="1051" spans="1:22" ht="12.75" customHeight="1" x14ac:dyDescent="0.2">
      <c r="A1051" s="6" t="s">
        <v>462</v>
      </c>
      <c r="B1051" s="6" t="s">
        <v>461</v>
      </c>
      <c r="C1051" s="7">
        <v>213673</v>
      </c>
      <c r="D1051" s="8">
        <v>5710.8</v>
      </c>
      <c r="E1051" s="9" t="s">
        <v>16</v>
      </c>
      <c r="F1051" s="23">
        <v>12</v>
      </c>
      <c r="G1051" s="25"/>
      <c r="H1051" s="14">
        <f t="shared" si="1051"/>
        <v>0.55000000000000004</v>
      </c>
      <c r="I1051" s="25">
        <f ca="1">IFERROR(__xludf.DUMMYFUNCTION("ROUND(D1051*GOOGLEFINANCE(""RUBKZT"")*H1051)"),24510)</f>
        <v>24510</v>
      </c>
      <c r="J1051" s="26">
        <f ca="1">IFERROR(__xludf.DUMMYFUNCTION("ROUND(I1051*GOOGLEFINANCE(""KZTEUR""))"),51)</f>
        <v>51</v>
      </c>
      <c r="K1051" s="26">
        <f t="shared" ca="1" si="1052"/>
        <v>4250</v>
      </c>
      <c r="L1051" s="26">
        <f t="shared" ca="1" si="1053"/>
        <v>807.5</v>
      </c>
      <c r="M1051" s="26">
        <f t="shared" ref="M1051:N1051" si="1085">M$3</f>
        <v>500</v>
      </c>
      <c r="N1051" s="26">
        <f t="shared" si="1085"/>
        <v>500</v>
      </c>
      <c r="O1051" s="26">
        <f ca="1">IFERROR(__xludf.DUMMYFUNCTION("ROUND(GOOGLEFINANCE(""Currency:EURKZT"")*K1051)"),2029671)</f>
        <v>2029671</v>
      </c>
      <c r="P1051" s="26">
        <f ca="1">IFERROR(__xludf.DUMMYFUNCTION("ROUND(GOOGLEFINANCE(""Currency:EURKZT"")*M1051)"),238785)</f>
        <v>238785</v>
      </c>
      <c r="Q1051" s="26">
        <f ca="1">IFERROR(__xludf.DUMMYFUNCTION("ROUND(GOOGLEFINANCE(""Currency:EURKZT"")*N1051)"),238785)</f>
        <v>238785</v>
      </c>
      <c r="R1051" s="26">
        <f t="shared" ca="1" si="1055"/>
        <v>243561</v>
      </c>
      <c r="S1051" s="26">
        <f t="shared" ca="1" si="1056"/>
        <v>2750802</v>
      </c>
      <c r="T1051" s="26">
        <f ca="1">IFERROR(__xludf.DUMMYFUNCTION("ROUND(GOOGLEFINANCE(""Currency:EURKZT"")*L1051+S1051)"),3136439)</f>
        <v>3136439</v>
      </c>
      <c r="U1051" s="26">
        <f ca="1">IFERROR(__xludf.DUMMYFUNCTION("D1051*GOOGLEFINANCE(""RUBKZT"")*1000/F1051"),3713696.5252668)</f>
        <v>3713696.5252668001</v>
      </c>
      <c r="V1051" s="27">
        <f t="shared" ca="1" si="1057"/>
        <v>0.18404870149452934</v>
      </c>
    </row>
    <row r="1052" spans="1:22" ht="12.75" customHeight="1" x14ac:dyDescent="0.2">
      <c r="A1052" s="6" t="s">
        <v>463</v>
      </c>
      <c r="B1052" s="6" t="s">
        <v>461</v>
      </c>
      <c r="C1052" s="7">
        <v>213674</v>
      </c>
      <c r="D1052" s="8">
        <v>7926</v>
      </c>
      <c r="E1052" s="9" t="s">
        <v>16</v>
      </c>
      <c r="F1052" s="23">
        <v>12</v>
      </c>
      <c r="G1052" s="25"/>
      <c r="H1052" s="14">
        <f t="shared" si="1051"/>
        <v>0.55000000000000004</v>
      </c>
      <c r="I1052" s="25">
        <f ca="1">IFERROR(__xludf.DUMMYFUNCTION("ROUND(D1052*GOOGLEFINANCE(""RUBKZT"")*H1052)"),34018)</f>
        <v>34018</v>
      </c>
      <c r="J1052" s="26">
        <f ca="1">IFERROR(__xludf.DUMMYFUNCTION("ROUND(I1052*GOOGLEFINANCE(""KZTEUR""))"),71)</f>
        <v>71</v>
      </c>
      <c r="K1052" s="26">
        <f t="shared" ca="1" si="1052"/>
        <v>5917</v>
      </c>
      <c r="L1052" s="26">
        <f t="shared" ca="1" si="1053"/>
        <v>1124.23</v>
      </c>
      <c r="M1052" s="26">
        <f t="shared" ref="M1052:N1052" si="1086">M$3</f>
        <v>500</v>
      </c>
      <c r="N1052" s="26">
        <f t="shared" si="1086"/>
        <v>500</v>
      </c>
      <c r="O1052" s="26">
        <f ca="1">IFERROR(__xludf.DUMMYFUNCTION("ROUND(GOOGLEFINANCE(""Currency:EURKZT"")*K1052)"),2825779)</f>
        <v>2825779</v>
      </c>
      <c r="P1052" s="26">
        <f ca="1">IFERROR(__xludf.DUMMYFUNCTION("ROUND(GOOGLEFINANCE(""Currency:EURKZT"")*M1052)"),238785)</f>
        <v>238785</v>
      </c>
      <c r="Q1052" s="26">
        <f ca="1">IFERROR(__xludf.DUMMYFUNCTION("ROUND(GOOGLEFINANCE(""Currency:EURKZT"")*N1052)"),238785)</f>
        <v>238785</v>
      </c>
      <c r="R1052" s="26">
        <f t="shared" ca="1" si="1055"/>
        <v>339093</v>
      </c>
      <c r="S1052" s="26">
        <f t="shared" ca="1" si="1056"/>
        <v>3642442</v>
      </c>
      <c r="T1052" s="26">
        <f ca="1">IFERROR(__xludf.DUMMYFUNCTION("ROUND(GOOGLEFINANCE(""Currency:EURKZT"")*L1052+S1052)"),4179340)</f>
        <v>4179340</v>
      </c>
      <c r="U1052" s="26">
        <f ca="1">IFERROR(__xludf.DUMMYFUNCTION("D1052*GOOGLEFINANCE(""RUBKZT"")*1000/F1052"),5154226.843746)</f>
        <v>5154226.843746</v>
      </c>
      <c r="V1052" s="27">
        <f t="shared" ca="1" si="1057"/>
        <v>0.23326334869764126</v>
      </c>
    </row>
    <row r="1053" spans="1:22" ht="12.75" customHeight="1" x14ac:dyDescent="0.2">
      <c r="A1053" s="6" t="s">
        <v>469</v>
      </c>
      <c r="B1053" s="6" t="s">
        <v>461</v>
      </c>
      <c r="C1053" s="7">
        <v>213685</v>
      </c>
      <c r="D1053" s="8">
        <v>8036.4</v>
      </c>
      <c r="E1053" s="9" t="s">
        <v>16</v>
      </c>
      <c r="F1053" s="23">
        <v>12</v>
      </c>
      <c r="G1053" s="25"/>
      <c r="H1053" s="14">
        <f t="shared" si="1051"/>
        <v>0.55000000000000004</v>
      </c>
      <c r="I1053" s="25">
        <f ca="1">IFERROR(__xludf.DUMMYFUNCTION("ROUND(D1053*GOOGLEFINANCE(""RUBKZT"")*H1053)"),34492)</f>
        <v>34492</v>
      </c>
      <c r="J1053" s="26">
        <f ca="1">IFERROR(__xludf.DUMMYFUNCTION("ROUND(I1053*GOOGLEFINANCE(""KZTEUR""))"),72)</f>
        <v>72</v>
      </c>
      <c r="K1053" s="26">
        <f t="shared" ca="1" si="1052"/>
        <v>6000</v>
      </c>
      <c r="L1053" s="26">
        <f t="shared" ca="1" si="1053"/>
        <v>1140</v>
      </c>
      <c r="M1053" s="26">
        <f t="shared" ref="M1053:N1053" si="1087">M$3</f>
        <v>500</v>
      </c>
      <c r="N1053" s="26">
        <f t="shared" si="1087"/>
        <v>500</v>
      </c>
      <c r="O1053" s="26">
        <f ca="1">IFERROR(__xludf.DUMMYFUNCTION("ROUND(GOOGLEFINANCE(""Currency:EURKZT"")*K1053)"),2865418)</f>
        <v>2865418</v>
      </c>
      <c r="P1053" s="26">
        <f ca="1">IFERROR(__xludf.DUMMYFUNCTION("ROUND(GOOGLEFINANCE(""Currency:EURKZT"")*M1053)"),238785)</f>
        <v>238785</v>
      </c>
      <c r="Q1053" s="26">
        <f ca="1">IFERROR(__xludf.DUMMYFUNCTION("ROUND(GOOGLEFINANCE(""Currency:EURKZT"")*N1053)"),238785)</f>
        <v>238785</v>
      </c>
      <c r="R1053" s="26">
        <f t="shared" ca="1" si="1055"/>
        <v>343850</v>
      </c>
      <c r="S1053" s="26">
        <f t="shared" ca="1" si="1056"/>
        <v>3686838</v>
      </c>
      <c r="T1053" s="26">
        <f ca="1">IFERROR(__xludf.DUMMYFUNCTION("ROUND(GOOGLEFINANCE(""Currency:EURKZT"")*L1053+S1053)"),4231267)</f>
        <v>4231267</v>
      </c>
      <c r="U1053" s="26">
        <f ca="1">IFERROR(__xludf.DUMMYFUNCTION("D1053*GOOGLEFINANCE(""RUBKZT"")*1000/F1053"),5226019.2539844)</f>
        <v>5226019.2539844001</v>
      </c>
      <c r="V1053" s="27">
        <f t="shared" ca="1" si="1057"/>
        <v>0.23509559996672394</v>
      </c>
    </row>
    <row r="1054" spans="1:22" ht="12.75" customHeight="1" x14ac:dyDescent="0.2">
      <c r="A1054" s="6" t="s">
        <v>471</v>
      </c>
      <c r="B1054" s="6" t="s">
        <v>461</v>
      </c>
      <c r="C1054" s="7">
        <v>213687</v>
      </c>
      <c r="D1054" s="8">
        <v>9103.1999999999989</v>
      </c>
      <c r="E1054" s="9" t="s">
        <v>16</v>
      </c>
      <c r="F1054" s="23">
        <v>12</v>
      </c>
      <c r="G1054" s="25"/>
      <c r="H1054" s="14">
        <f t="shared" si="1051"/>
        <v>0.55000000000000004</v>
      </c>
      <c r="I1054" s="25">
        <f ca="1">IFERROR(__xludf.DUMMYFUNCTION("ROUND(D1054*GOOGLEFINANCE(""RUBKZT"")*H1054)"),39070)</f>
        <v>39070</v>
      </c>
      <c r="J1054" s="26">
        <f ca="1">IFERROR(__xludf.DUMMYFUNCTION("ROUND(I1054*GOOGLEFINANCE(""KZTEUR""))"),82)</f>
        <v>82</v>
      </c>
      <c r="K1054" s="26">
        <f t="shared" ca="1" si="1052"/>
        <v>6833</v>
      </c>
      <c r="L1054" s="26">
        <f t="shared" ca="1" si="1053"/>
        <v>1298.27</v>
      </c>
      <c r="M1054" s="26">
        <f t="shared" ref="M1054:N1054" si="1088">M$3</f>
        <v>500</v>
      </c>
      <c r="N1054" s="26">
        <f t="shared" si="1088"/>
        <v>500</v>
      </c>
      <c r="O1054" s="26">
        <f ca="1">IFERROR(__xludf.DUMMYFUNCTION("ROUND(GOOGLEFINANCE(""Currency:EURKZT"")*K1054)"),3263233)</f>
        <v>3263233</v>
      </c>
      <c r="P1054" s="26">
        <f ca="1">IFERROR(__xludf.DUMMYFUNCTION("ROUND(GOOGLEFINANCE(""Currency:EURKZT"")*M1054)"),238785)</f>
        <v>238785</v>
      </c>
      <c r="Q1054" s="26">
        <f ca="1">IFERROR(__xludf.DUMMYFUNCTION("ROUND(GOOGLEFINANCE(""Currency:EURKZT"")*N1054)"),238785)</f>
        <v>238785</v>
      </c>
      <c r="R1054" s="26">
        <f t="shared" ca="1" si="1055"/>
        <v>391588</v>
      </c>
      <c r="S1054" s="26">
        <f t="shared" ca="1" si="1056"/>
        <v>4132391</v>
      </c>
      <c r="T1054" s="26">
        <f ca="1">IFERROR(__xludf.DUMMYFUNCTION("ROUND(GOOGLEFINANCE(""Currency:EURKZT"")*L1054+S1054)"),4752405)</f>
        <v>4752405</v>
      </c>
      <c r="U1054" s="26">
        <f ca="1">IFERROR(__xludf.DUMMYFUNCTION("D1054*GOOGLEFINANCE(""RUBKZT"")*1000/F1054"),5919752.43552719)</f>
        <v>5919752.4355271896</v>
      </c>
      <c r="V1054" s="27">
        <f t="shared" ca="1" si="1057"/>
        <v>0.24563298698810174</v>
      </c>
    </row>
    <row r="1055" spans="1:22" ht="12.75" customHeight="1" x14ac:dyDescent="0.2">
      <c r="A1055" s="6" t="s">
        <v>509</v>
      </c>
      <c r="B1055" s="6" t="s">
        <v>461</v>
      </c>
      <c r="C1055" s="7">
        <v>213834</v>
      </c>
      <c r="D1055" s="8">
        <v>8606.4</v>
      </c>
      <c r="E1055" s="9" t="s">
        <v>16</v>
      </c>
      <c r="F1055" s="23">
        <v>12</v>
      </c>
      <c r="G1055" s="25"/>
      <c r="H1055" s="14">
        <f t="shared" si="1051"/>
        <v>0.55000000000000004</v>
      </c>
      <c r="I1055" s="25">
        <f ca="1">IFERROR(__xludf.DUMMYFUNCTION("ROUND(D1055*GOOGLEFINANCE(""RUBKZT"")*H1055)"),36938)</f>
        <v>36938</v>
      </c>
      <c r="J1055" s="26">
        <f ca="1">IFERROR(__xludf.DUMMYFUNCTION("ROUND(I1055*GOOGLEFINANCE(""KZTEUR""))"),77)</f>
        <v>77</v>
      </c>
      <c r="K1055" s="26">
        <f t="shared" ca="1" si="1052"/>
        <v>6417</v>
      </c>
      <c r="L1055" s="26">
        <f t="shared" ca="1" si="1053"/>
        <v>1219.23</v>
      </c>
      <c r="M1055" s="26">
        <f t="shared" ref="M1055:N1055" si="1089">M$3</f>
        <v>500</v>
      </c>
      <c r="N1055" s="26">
        <f t="shared" si="1089"/>
        <v>500</v>
      </c>
      <c r="O1055" s="26">
        <f ca="1">IFERROR(__xludf.DUMMYFUNCTION("ROUND(GOOGLEFINANCE(""Currency:EURKZT"")*K1055)"),3064564)</f>
        <v>3064564</v>
      </c>
      <c r="P1055" s="26">
        <f ca="1">IFERROR(__xludf.DUMMYFUNCTION("ROUND(GOOGLEFINANCE(""Currency:EURKZT"")*M1055)"),238785)</f>
        <v>238785</v>
      </c>
      <c r="Q1055" s="26">
        <f ca="1">IFERROR(__xludf.DUMMYFUNCTION("ROUND(GOOGLEFINANCE(""Currency:EURKZT"")*N1055)"),238785)</f>
        <v>238785</v>
      </c>
      <c r="R1055" s="26">
        <f t="shared" ca="1" si="1055"/>
        <v>367748</v>
      </c>
      <c r="S1055" s="26">
        <f t="shared" ca="1" si="1056"/>
        <v>3909882</v>
      </c>
      <c r="T1055" s="26">
        <f ca="1">IFERROR(__xludf.DUMMYFUNCTION("ROUND(GOOGLEFINANCE(""Currency:EURKZT"")*L1055+S1055)"),4492149)</f>
        <v>4492149</v>
      </c>
      <c r="U1055" s="26">
        <f ca="1">IFERROR(__xludf.DUMMYFUNCTION("D1055*GOOGLEFINANCE(""RUBKZT"")*1000/F1055"),5596686.5894544)</f>
        <v>5596686.5894544004</v>
      </c>
      <c r="V1055" s="27">
        <f t="shared" ca="1" si="1057"/>
        <v>0.24588177940099501</v>
      </c>
    </row>
    <row r="1056" spans="1:22" ht="12.75" customHeight="1" x14ac:dyDescent="0.2">
      <c r="A1056" s="6" t="s">
        <v>494</v>
      </c>
      <c r="B1056" s="6" t="s">
        <v>461</v>
      </c>
      <c r="C1056" s="7">
        <v>213836</v>
      </c>
      <c r="D1056" s="8">
        <v>7855.2</v>
      </c>
      <c r="E1056" s="9" t="s">
        <v>16</v>
      </c>
      <c r="F1056" s="23">
        <v>12</v>
      </c>
      <c r="G1056" s="25"/>
      <c r="H1056" s="14">
        <f t="shared" si="1051"/>
        <v>0.55000000000000004</v>
      </c>
      <c r="I1056" s="25">
        <f ca="1">IFERROR(__xludf.DUMMYFUNCTION("ROUND(D1056*GOOGLEFINANCE(""RUBKZT"")*H1056)"),33714)</f>
        <v>33714</v>
      </c>
      <c r="J1056" s="26">
        <f ca="1">IFERROR(__xludf.DUMMYFUNCTION("ROUND(I1056*GOOGLEFINANCE(""KZTEUR""))"),71)</f>
        <v>71</v>
      </c>
      <c r="K1056" s="26">
        <f t="shared" ca="1" si="1052"/>
        <v>5917</v>
      </c>
      <c r="L1056" s="26">
        <f t="shared" ca="1" si="1053"/>
        <v>1124.23</v>
      </c>
      <c r="M1056" s="26">
        <f t="shared" ref="M1056:N1056" si="1090">M$3</f>
        <v>500</v>
      </c>
      <c r="N1056" s="26">
        <f t="shared" si="1090"/>
        <v>500</v>
      </c>
      <c r="O1056" s="26">
        <f ca="1">IFERROR(__xludf.DUMMYFUNCTION("ROUND(GOOGLEFINANCE(""Currency:EURKZT"")*K1056)"),2825779)</f>
        <v>2825779</v>
      </c>
      <c r="P1056" s="26">
        <f ca="1">IFERROR(__xludf.DUMMYFUNCTION("ROUND(GOOGLEFINANCE(""Currency:EURKZT"")*M1056)"),238785)</f>
        <v>238785</v>
      </c>
      <c r="Q1056" s="26">
        <f ca="1">IFERROR(__xludf.DUMMYFUNCTION("ROUND(GOOGLEFINANCE(""Currency:EURKZT"")*N1056)"),238785)</f>
        <v>238785</v>
      </c>
      <c r="R1056" s="26">
        <f t="shared" ca="1" si="1055"/>
        <v>339093</v>
      </c>
      <c r="S1056" s="26">
        <f t="shared" ca="1" si="1056"/>
        <v>3642442</v>
      </c>
      <c r="T1056" s="26">
        <f ca="1">IFERROR(__xludf.DUMMYFUNCTION("ROUND(GOOGLEFINANCE(""Currency:EURKZT"")*L1056+S1056)"),4179340)</f>
        <v>4179340</v>
      </c>
      <c r="U1056" s="26">
        <f ca="1">IFERROR(__xludf.DUMMYFUNCTION("D1056*GOOGLEFINANCE(""RUBKZT"")*1000/F1056"),5108186.0589192)</f>
        <v>5108186.0589191997</v>
      </c>
      <c r="V1056" s="27">
        <f t="shared" ca="1" si="1057"/>
        <v>0.22224706746022094</v>
      </c>
    </row>
    <row r="1057" spans="1:22" ht="12.75" customHeight="1" x14ac:dyDescent="0.2">
      <c r="A1057" s="6" t="s">
        <v>535</v>
      </c>
      <c r="B1057" s="6" t="s">
        <v>461</v>
      </c>
      <c r="C1057" s="7">
        <v>213887</v>
      </c>
      <c r="D1057" s="8">
        <v>7798.7999999999993</v>
      </c>
      <c r="E1057" s="9" t="s">
        <v>7</v>
      </c>
      <c r="F1057" s="23">
        <v>12</v>
      </c>
      <c r="G1057" s="25"/>
      <c r="H1057" s="14">
        <f t="shared" si="1051"/>
        <v>0.55000000000000004</v>
      </c>
      <c r="I1057" s="25">
        <f ca="1">IFERROR(__xludf.DUMMYFUNCTION("ROUND(D1057*GOOGLEFINANCE(""RUBKZT"")*H1057)"),33472)</f>
        <v>33472</v>
      </c>
      <c r="J1057" s="26">
        <f ca="1">IFERROR(__xludf.DUMMYFUNCTION("ROUND(I1057*GOOGLEFINANCE(""KZTEUR""))"),70)</f>
        <v>70</v>
      </c>
      <c r="K1057" s="26">
        <f t="shared" ca="1" si="1052"/>
        <v>5833</v>
      </c>
      <c r="L1057" s="26">
        <f t="shared" ca="1" si="1053"/>
        <v>1108.27</v>
      </c>
      <c r="M1057" s="26">
        <f t="shared" ref="M1057:N1057" si="1091">M$3</f>
        <v>500</v>
      </c>
      <c r="N1057" s="26">
        <f t="shared" si="1091"/>
        <v>500</v>
      </c>
      <c r="O1057" s="26">
        <f ca="1">IFERROR(__xludf.DUMMYFUNCTION("ROUND(GOOGLEFINANCE(""Currency:EURKZT"")*K1057)"),2785664)</f>
        <v>2785664</v>
      </c>
      <c r="P1057" s="26">
        <f ca="1">IFERROR(__xludf.DUMMYFUNCTION("ROUND(GOOGLEFINANCE(""Currency:EURKZT"")*M1057)"),238785)</f>
        <v>238785</v>
      </c>
      <c r="Q1057" s="26">
        <f ca="1">IFERROR(__xludf.DUMMYFUNCTION("ROUND(GOOGLEFINANCE(""Currency:EURKZT"")*N1057)"),238785)</f>
        <v>238785</v>
      </c>
      <c r="R1057" s="26">
        <f t="shared" ca="1" si="1055"/>
        <v>334280</v>
      </c>
      <c r="S1057" s="26">
        <f t="shared" ca="1" si="1056"/>
        <v>3597514</v>
      </c>
      <c r="T1057" s="26">
        <f ca="1">IFERROR(__xludf.DUMMYFUNCTION("ROUND(GOOGLEFINANCE(""Currency:EURKZT"")*L1057+S1057)"),4126790)</f>
        <v>4126790</v>
      </c>
      <c r="U1057" s="26">
        <f ca="1">IFERROR(__xludf.DUMMYFUNCTION("D1057*GOOGLEFINANCE(""RUBKZT"")*1000/F1057"),5071509.5015148)</f>
        <v>5071509.5015147999</v>
      </c>
      <c r="V1057" s="27">
        <f t="shared" ca="1" si="1057"/>
        <v>0.22892357050269094</v>
      </c>
    </row>
    <row r="1058" spans="1:22" ht="12.75" customHeight="1" x14ac:dyDescent="0.2">
      <c r="A1058" s="6" t="s">
        <v>534</v>
      </c>
      <c r="B1058" s="6" t="s">
        <v>461</v>
      </c>
      <c r="C1058" s="7">
        <v>213895</v>
      </c>
      <c r="D1058" s="8">
        <v>4858.8</v>
      </c>
      <c r="E1058" s="9" t="s">
        <v>7</v>
      </c>
      <c r="F1058" s="23">
        <v>12</v>
      </c>
      <c r="G1058" s="25"/>
      <c r="H1058" s="14">
        <f t="shared" si="1051"/>
        <v>0.55000000000000004</v>
      </c>
      <c r="I1058" s="25">
        <f ca="1">IFERROR(__xludf.DUMMYFUNCTION("ROUND(D1058*GOOGLEFINANCE(""RUBKZT"")*H1058)"),20854)</f>
        <v>20854</v>
      </c>
      <c r="J1058" s="26">
        <f ca="1">IFERROR(__xludf.DUMMYFUNCTION("ROUND(I1058*GOOGLEFINANCE(""KZTEUR""))"),44)</f>
        <v>44</v>
      </c>
      <c r="K1058" s="26">
        <f t="shared" ca="1" si="1052"/>
        <v>3667</v>
      </c>
      <c r="L1058" s="26">
        <f t="shared" ca="1" si="1053"/>
        <v>696.73</v>
      </c>
      <c r="M1058" s="26">
        <f t="shared" ref="M1058:N1058" si="1092">M$3</f>
        <v>500</v>
      </c>
      <c r="N1058" s="26">
        <f t="shared" si="1092"/>
        <v>500</v>
      </c>
      <c r="O1058" s="26">
        <f ca="1">IFERROR(__xludf.DUMMYFUNCTION("ROUND(GOOGLEFINANCE(""Currency:EURKZT"")*K1058)"),1751248)</f>
        <v>1751248</v>
      </c>
      <c r="P1058" s="26">
        <f ca="1">IFERROR(__xludf.DUMMYFUNCTION("ROUND(GOOGLEFINANCE(""Currency:EURKZT"")*M1058)"),238785)</f>
        <v>238785</v>
      </c>
      <c r="Q1058" s="26">
        <f ca="1">IFERROR(__xludf.DUMMYFUNCTION("ROUND(GOOGLEFINANCE(""Currency:EURKZT"")*N1058)"),238785)</f>
        <v>238785</v>
      </c>
      <c r="R1058" s="26">
        <f t="shared" ca="1" si="1055"/>
        <v>210150</v>
      </c>
      <c r="S1058" s="26">
        <f t="shared" ca="1" si="1056"/>
        <v>2438968</v>
      </c>
      <c r="T1058" s="26">
        <f ca="1">IFERROR(__xludf.DUMMYFUNCTION("ROUND(GOOGLEFINANCE(""Currency:EURKZT"")*L1058+S1058)"),2771705)</f>
        <v>2771705</v>
      </c>
      <c r="U1058" s="26">
        <f ca="1">IFERROR(__xludf.DUMMYFUNCTION("D1058*GOOGLEFINANCE(""RUBKZT"")*1000/F1058"),3159646.4027748)</f>
        <v>3159646.4027748001</v>
      </c>
      <c r="V1058" s="27">
        <f t="shared" ca="1" si="1057"/>
        <v>0.13996489625512099</v>
      </c>
    </row>
    <row r="1059" spans="1:22" ht="12.75" customHeight="1" x14ac:dyDescent="0.2">
      <c r="A1059" s="6" t="s">
        <v>540</v>
      </c>
      <c r="B1059" s="6" t="s">
        <v>461</v>
      </c>
      <c r="C1059" s="7">
        <v>213909</v>
      </c>
      <c r="D1059" s="8">
        <v>8204.4</v>
      </c>
      <c r="E1059" s="9" t="s">
        <v>7</v>
      </c>
      <c r="F1059" s="23">
        <v>12</v>
      </c>
      <c r="G1059" s="24">
        <v>0.04</v>
      </c>
      <c r="H1059" s="14">
        <f t="shared" si="1051"/>
        <v>0.59000000000000008</v>
      </c>
      <c r="I1059" s="25">
        <f ca="1">IFERROR(__xludf.DUMMYFUNCTION("ROUND(D1059*GOOGLEFINANCE(""RUBKZT"")*H1059)"),37774)</f>
        <v>37774</v>
      </c>
      <c r="J1059" s="26">
        <f ca="1">IFERROR(__xludf.DUMMYFUNCTION("ROUND(I1059*GOOGLEFINANCE(""KZTEUR""))"),79)</f>
        <v>79</v>
      </c>
      <c r="K1059" s="26">
        <f t="shared" ca="1" si="1052"/>
        <v>6583</v>
      </c>
      <c r="L1059" s="26">
        <f t="shared" ca="1" si="1053"/>
        <v>1250.77</v>
      </c>
      <c r="M1059" s="26">
        <f t="shared" ref="M1059:N1059" si="1093">M$3</f>
        <v>500</v>
      </c>
      <c r="N1059" s="26">
        <f t="shared" si="1093"/>
        <v>500</v>
      </c>
      <c r="O1059" s="26">
        <f ca="1">IFERROR(__xludf.DUMMYFUNCTION("ROUND(GOOGLEFINANCE(""Currency:EURKZT"")*K1059)"),3143841)</f>
        <v>3143841</v>
      </c>
      <c r="P1059" s="26">
        <f ca="1">IFERROR(__xludf.DUMMYFUNCTION("ROUND(GOOGLEFINANCE(""Currency:EURKZT"")*M1059)"),238785)</f>
        <v>238785</v>
      </c>
      <c r="Q1059" s="26">
        <f ca="1">IFERROR(__xludf.DUMMYFUNCTION("ROUND(GOOGLEFINANCE(""Currency:EURKZT"")*N1059)"),238785)</f>
        <v>238785</v>
      </c>
      <c r="R1059" s="26">
        <f t="shared" ca="1" si="1055"/>
        <v>377261</v>
      </c>
      <c r="S1059" s="26">
        <f t="shared" ca="1" si="1056"/>
        <v>3998672</v>
      </c>
      <c r="T1059" s="26">
        <f ca="1">IFERROR(__xludf.DUMMYFUNCTION("ROUND(GOOGLEFINANCE(""Currency:EURKZT"")*L1059+S1059)"),4596002)</f>
        <v>4596002</v>
      </c>
      <c r="U1059" s="26">
        <f ca="1">IFERROR(__xludf.DUMMYFUNCTION("D1059*GOOGLEFINANCE(""RUBKZT"")*1000/F1059"),5335268.5739124)</f>
        <v>5335268.5739123998</v>
      </c>
      <c r="V1059" s="27">
        <f t="shared" ca="1" si="1057"/>
        <v>0.16084992432823134</v>
      </c>
    </row>
    <row r="1060" spans="1:22" ht="12.75" customHeight="1" x14ac:dyDescent="0.2">
      <c r="A1060" s="6" t="s">
        <v>537</v>
      </c>
      <c r="B1060" s="6" t="s">
        <v>461</v>
      </c>
      <c r="C1060" s="7">
        <v>213914</v>
      </c>
      <c r="D1060" s="8">
        <v>7300.8</v>
      </c>
      <c r="E1060" s="9" t="s">
        <v>7</v>
      </c>
      <c r="F1060" s="23">
        <v>12</v>
      </c>
      <c r="G1060" s="25"/>
      <c r="H1060" s="14">
        <f t="shared" si="1051"/>
        <v>0.55000000000000004</v>
      </c>
      <c r="I1060" s="25">
        <f ca="1">IFERROR(__xludf.DUMMYFUNCTION("ROUND(D1060*GOOGLEFINANCE(""RUBKZT"")*H1060)"),31335)</f>
        <v>31335</v>
      </c>
      <c r="J1060" s="26">
        <f ca="1">IFERROR(__xludf.DUMMYFUNCTION("ROUND(I1060*GOOGLEFINANCE(""KZTEUR""))"),66)</f>
        <v>66</v>
      </c>
      <c r="K1060" s="26">
        <f t="shared" ca="1" si="1052"/>
        <v>5500</v>
      </c>
      <c r="L1060" s="26">
        <f t="shared" ca="1" si="1053"/>
        <v>1045</v>
      </c>
      <c r="M1060" s="26">
        <f t="shared" ref="M1060:N1060" si="1094">M$3</f>
        <v>500</v>
      </c>
      <c r="N1060" s="26">
        <f t="shared" si="1094"/>
        <v>500</v>
      </c>
      <c r="O1060" s="26">
        <f ca="1">IFERROR(__xludf.DUMMYFUNCTION("ROUND(GOOGLEFINANCE(""Currency:EURKZT"")*K1060)"),2626633)</f>
        <v>2626633</v>
      </c>
      <c r="P1060" s="26">
        <f ca="1">IFERROR(__xludf.DUMMYFUNCTION("ROUND(GOOGLEFINANCE(""Currency:EURKZT"")*M1060)"),238785)</f>
        <v>238785</v>
      </c>
      <c r="Q1060" s="26">
        <f ca="1">IFERROR(__xludf.DUMMYFUNCTION("ROUND(GOOGLEFINANCE(""Currency:EURKZT"")*N1060)"),238785)</f>
        <v>238785</v>
      </c>
      <c r="R1060" s="26">
        <f t="shared" ca="1" si="1055"/>
        <v>315196</v>
      </c>
      <c r="S1060" s="26">
        <f t="shared" ca="1" si="1056"/>
        <v>3419399</v>
      </c>
      <c r="T1060" s="26">
        <f ca="1">IFERROR(__xludf.DUMMYFUNCTION("ROUND(GOOGLEFINANCE(""Currency:EURKZT"")*L1060+S1060)"),3918459)</f>
        <v>3918459</v>
      </c>
      <c r="U1060" s="26">
        <f ca="1">IFERROR(__xludf.DUMMYFUNCTION("D1060*GOOGLEFINANCE(""RUBKZT"")*1000/F1060"),4747663.3031568)</f>
        <v>4747663.3031567996</v>
      </c>
      <c r="V1060" s="27">
        <f t="shared" ca="1" si="1057"/>
        <v>0.21161489839674211</v>
      </c>
    </row>
    <row r="1061" spans="1:22" ht="12.75" customHeight="1" x14ac:dyDescent="0.2">
      <c r="A1061" s="6" t="s">
        <v>550</v>
      </c>
      <c r="B1061" s="6" t="s">
        <v>461</v>
      </c>
      <c r="C1061" s="7">
        <v>213945</v>
      </c>
      <c r="D1061" s="8">
        <v>7554</v>
      </c>
      <c r="E1061" s="9" t="s">
        <v>7</v>
      </c>
      <c r="F1061" s="23">
        <v>12</v>
      </c>
      <c r="G1061" s="25"/>
      <c r="H1061" s="14">
        <f t="shared" si="1051"/>
        <v>0.55000000000000004</v>
      </c>
      <c r="I1061" s="25">
        <f ca="1">IFERROR(__xludf.DUMMYFUNCTION("ROUND(D1061*GOOGLEFINANCE(""RUBKZT"")*H1061)"),32421)</f>
        <v>32421</v>
      </c>
      <c r="J1061" s="26">
        <f ca="1">IFERROR(__xludf.DUMMYFUNCTION("ROUND(I1061*GOOGLEFINANCE(""KZTEUR""))"),68)</f>
        <v>68</v>
      </c>
      <c r="K1061" s="26">
        <f t="shared" ca="1" si="1052"/>
        <v>5667</v>
      </c>
      <c r="L1061" s="26">
        <f t="shared" ca="1" si="1053"/>
        <v>1076.73</v>
      </c>
      <c r="M1061" s="26">
        <f t="shared" ref="M1061:N1061" si="1095">M$3</f>
        <v>500</v>
      </c>
      <c r="N1061" s="26">
        <f t="shared" si="1095"/>
        <v>500</v>
      </c>
      <c r="O1061" s="26">
        <f ca="1">IFERROR(__xludf.DUMMYFUNCTION("ROUND(GOOGLEFINANCE(""Currency:EURKZT"")*K1061)"),2706387)</f>
        <v>2706387</v>
      </c>
      <c r="P1061" s="26">
        <f ca="1">IFERROR(__xludf.DUMMYFUNCTION("ROUND(GOOGLEFINANCE(""Currency:EURKZT"")*M1061)"),238785)</f>
        <v>238785</v>
      </c>
      <c r="Q1061" s="26">
        <f ca="1">IFERROR(__xludf.DUMMYFUNCTION("ROUND(GOOGLEFINANCE(""Currency:EURKZT"")*N1061)"),238785)</f>
        <v>238785</v>
      </c>
      <c r="R1061" s="26">
        <f t="shared" ca="1" si="1055"/>
        <v>324766</v>
      </c>
      <c r="S1061" s="26">
        <f t="shared" ca="1" si="1056"/>
        <v>3508723</v>
      </c>
      <c r="T1061" s="26">
        <f ca="1">IFERROR(__xludf.DUMMYFUNCTION("ROUND(GOOGLEFINANCE(""Currency:EURKZT"")*L1061+S1061)"),4022937)</f>
        <v>4022937</v>
      </c>
      <c r="U1061" s="26">
        <f ca="1">IFERROR(__xludf.DUMMYFUNCTION("D1061*GOOGLEFINANCE(""RUBKZT"")*1000/F1061"),4912317.635334)</f>
        <v>4912317.635334</v>
      </c>
      <c r="V1061" s="27">
        <f t="shared" ca="1" si="1057"/>
        <v>0.22107744549168928</v>
      </c>
    </row>
    <row r="1062" spans="1:22" ht="12.75" customHeight="1" x14ac:dyDescent="0.2">
      <c r="A1062" s="6" t="s">
        <v>551</v>
      </c>
      <c r="B1062" s="6" t="s">
        <v>461</v>
      </c>
      <c r="C1062" s="7">
        <v>213948</v>
      </c>
      <c r="D1062" s="8">
        <v>9586.7999999999993</v>
      </c>
      <c r="E1062" s="9" t="s">
        <v>7</v>
      </c>
      <c r="F1062" s="23">
        <v>12</v>
      </c>
      <c r="G1062" s="25"/>
      <c r="H1062" s="14">
        <f t="shared" si="1051"/>
        <v>0.55000000000000004</v>
      </c>
      <c r="I1062" s="25">
        <f ca="1">IFERROR(__xludf.DUMMYFUNCTION("ROUND(D1062*GOOGLEFINANCE(""RUBKZT"")*H1062)"),41146)</f>
        <v>41146</v>
      </c>
      <c r="J1062" s="26">
        <f ca="1">IFERROR(__xludf.DUMMYFUNCTION("ROUND(I1062*GOOGLEFINANCE(""KZTEUR""))"),86)</f>
        <v>86</v>
      </c>
      <c r="K1062" s="26">
        <f t="shared" ca="1" si="1052"/>
        <v>7167</v>
      </c>
      <c r="L1062" s="26">
        <f t="shared" ca="1" si="1053"/>
        <v>1361.73</v>
      </c>
      <c r="M1062" s="26">
        <f t="shared" ref="M1062:N1062" si="1096">M$3</f>
        <v>500</v>
      </c>
      <c r="N1062" s="26">
        <f t="shared" si="1096"/>
        <v>500</v>
      </c>
      <c r="O1062" s="26">
        <f ca="1">IFERROR(__xludf.DUMMYFUNCTION("ROUND(GOOGLEFINANCE(""Currency:EURKZT"")*K1062)"),3422741)</f>
        <v>3422741</v>
      </c>
      <c r="P1062" s="26">
        <f ca="1">IFERROR(__xludf.DUMMYFUNCTION("ROUND(GOOGLEFINANCE(""Currency:EURKZT"")*M1062)"),238785)</f>
        <v>238785</v>
      </c>
      <c r="Q1062" s="26">
        <f ca="1">IFERROR(__xludf.DUMMYFUNCTION("ROUND(GOOGLEFINANCE(""Currency:EURKZT"")*N1062)"),238785)</f>
        <v>238785</v>
      </c>
      <c r="R1062" s="26">
        <f t="shared" ca="1" si="1055"/>
        <v>410729</v>
      </c>
      <c r="S1062" s="26">
        <f t="shared" ca="1" si="1056"/>
        <v>4311040</v>
      </c>
      <c r="T1062" s="26">
        <f ca="1">IFERROR(__xludf.DUMMYFUNCTION("ROUND(GOOGLEFINANCE(""Currency:EURKZT"")*L1062+S1062)"),4961361)</f>
        <v>4961361</v>
      </c>
      <c r="U1062" s="26">
        <f ca="1">IFERROR(__xludf.DUMMYFUNCTION("D1062*GOOGLEFINANCE(""RUBKZT"")*1000/F1062"),6234234.4064628)</f>
        <v>6234234.4064627998</v>
      </c>
      <c r="V1062" s="27">
        <f t="shared" ca="1" si="1057"/>
        <v>0.25655730483284722</v>
      </c>
    </row>
    <row r="1063" spans="1:22" ht="12.75" customHeight="1" x14ac:dyDescent="0.2">
      <c r="A1063" s="6" t="s">
        <v>552</v>
      </c>
      <c r="B1063" s="6" t="s">
        <v>461</v>
      </c>
      <c r="C1063" s="7">
        <v>213950</v>
      </c>
      <c r="D1063" s="8">
        <v>6775.2</v>
      </c>
      <c r="E1063" s="9" t="s">
        <v>7</v>
      </c>
      <c r="F1063" s="23">
        <v>12</v>
      </c>
      <c r="G1063" s="25"/>
      <c r="H1063" s="14">
        <f t="shared" si="1051"/>
        <v>0.55000000000000004</v>
      </c>
      <c r="I1063" s="25">
        <f ca="1">IFERROR(__xludf.DUMMYFUNCTION("ROUND(D1063*GOOGLEFINANCE(""RUBKZT"")*H1063)"),29079)</f>
        <v>29079</v>
      </c>
      <c r="J1063" s="26">
        <f ca="1">IFERROR(__xludf.DUMMYFUNCTION("ROUND(I1063*GOOGLEFINANCE(""KZTEUR""))"),61)</f>
        <v>61</v>
      </c>
      <c r="K1063" s="26">
        <f t="shared" ca="1" si="1052"/>
        <v>5083</v>
      </c>
      <c r="L1063" s="26">
        <f t="shared" ca="1" si="1053"/>
        <v>965.77</v>
      </c>
      <c r="M1063" s="26">
        <f t="shared" ref="M1063:N1063" si="1097">M$3</f>
        <v>500</v>
      </c>
      <c r="N1063" s="26">
        <f t="shared" si="1097"/>
        <v>500</v>
      </c>
      <c r="O1063" s="26">
        <f ca="1">IFERROR(__xludf.DUMMYFUNCTION("ROUND(GOOGLEFINANCE(""Currency:EURKZT"")*K1063)"),2427486)</f>
        <v>2427486</v>
      </c>
      <c r="P1063" s="26">
        <f ca="1">IFERROR(__xludf.DUMMYFUNCTION("ROUND(GOOGLEFINANCE(""Currency:EURKZT"")*M1063)"),238785)</f>
        <v>238785</v>
      </c>
      <c r="Q1063" s="26">
        <f ca="1">IFERROR(__xludf.DUMMYFUNCTION("ROUND(GOOGLEFINANCE(""Currency:EURKZT"")*N1063)"),238785)</f>
        <v>238785</v>
      </c>
      <c r="R1063" s="26">
        <f t="shared" ca="1" si="1055"/>
        <v>291298</v>
      </c>
      <c r="S1063" s="26">
        <f t="shared" ca="1" si="1056"/>
        <v>3196354</v>
      </c>
      <c r="T1063" s="26">
        <f ca="1">IFERROR(__xludf.DUMMYFUNCTION("ROUND(GOOGLEFINANCE(""Currency:EURKZT"")*L1063+S1063)"),3657576)</f>
        <v>3657576</v>
      </c>
      <c r="U1063" s="26">
        <f ca="1">IFERROR(__xludf.DUMMYFUNCTION("D1063*GOOGLEFINANCE(""RUBKZT"")*1000/F1063"),4405869.0022392)</f>
        <v>4405869.0022392003</v>
      </c>
      <c r="V1063" s="27">
        <f t="shared" ca="1" si="1057"/>
        <v>0.20458713701074163</v>
      </c>
    </row>
    <row r="1064" spans="1:22" ht="12.75" customHeight="1" x14ac:dyDescent="0.2">
      <c r="A1064" s="6" t="s">
        <v>554</v>
      </c>
      <c r="B1064" s="6" t="s">
        <v>461</v>
      </c>
      <c r="C1064" s="7">
        <v>213953</v>
      </c>
      <c r="D1064" s="8">
        <v>6813.5999999999995</v>
      </c>
      <c r="E1064" s="9" t="s">
        <v>7</v>
      </c>
      <c r="F1064" s="23">
        <v>12</v>
      </c>
      <c r="G1064" s="25"/>
      <c r="H1064" s="14">
        <f t="shared" si="1051"/>
        <v>0.55000000000000004</v>
      </c>
      <c r="I1064" s="25">
        <f ca="1">IFERROR(__xludf.DUMMYFUNCTION("ROUND(D1064*GOOGLEFINANCE(""RUBKZT"")*H1064)"),29244)</f>
        <v>29244</v>
      </c>
      <c r="J1064" s="26">
        <f ca="1">IFERROR(__xludf.DUMMYFUNCTION("ROUND(I1064*GOOGLEFINANCE(""KZTEUR""))"),61)</f>
        <v>61</v>
      </c>
      <c r="K1064" s="26">
        <f t="shared" ca="1" si="1052"/>
        <v>5083</v>
      </c>
      <c r="L1064" s="26">
        <f t="shared" ca="1" si="1053"/>
        <v>965.77</v>
      </c>
      <c r="M1064" s="26">
        <f t="shared" ref="M1064:N1064" si="1098">M$3</f>
        <v>500</v>
      </c>
      <c r="N1064" s="26">
        <f t="shared" si="1098"/>
        <v>500</v>
      </c>
      <c r="O1064" s="26">
        <f ca="1">IFERROR(__xludf.DUMMYFUNCTION("ROUND(GOOGLEFINANCE(""Currency:EURKZT"")*K1064)"),2427486)</f>
        <v>2427486</v>
      </c>
      <c r="P1064" s="26">
        <f ca="1">IFERROR(__xludf.DUMMYFUNCTION("ROUND(GOOGLEFINANCE(""Currency:EURKZT"")*M1064)"),238785)</f>
        <v>238785</v>
      </c>
      <c r="Q1064" s="26">
        <f ca="1">IFERROR(__xludf.DUMMYFUNCTION("ROUND(GOOGLEFINANCE(""Currency:EURKZT"")*N1064)"),238785)</f>
        <v>238785</v>
      </c>
      <c r="R1064" s="26">
        <f t="shared" ca="1" si="1055"/>
        <v>291298</v>
      </c>
      <c r="S1064" s="26">
        <f t="shared" ca="1" si="1056"/>
        <v>3196354</v>
      </c>
      <c r="T1064" s="26">
        <f ca="1">IFERROR(__xludf.DUMMYFUNCTION("ROUND(GOOGLEFINANCE(""Currency:EURKZT"")*L1064+S1064)"),3657576)</f>
        <v>3657576</v>
      </c>
      <c r="U1064" s="26">
        <f ca="1">IFERROR(__xludf.DUMMYFUNCTION("D1064*GOOGLEFINANCE(""RUBKZT"")*1000/F1064"),4430840.27536559)</f>
        <v>4430840.2753655901</v>
      </c>
      <c r="V1064" s="27">
        <f t="shared" ca="1" si="1057"/>
        <v>0.21141441090098745</v>
      </c>
    </row>
    <row r="1065" spans="1:22" ht="12.75" customHeight="1" x14ac:dyDescent="0.2">
      <c r="A1065" s="6" t="s">
        <v>557</v>
      </c>
      <c r="B1065" s="6" t="s">
        <v>461</v>
      </c>
      <c r="C1065" s="7">
        <v>213958</v>
      </c>
      <c r="D1065" s="8">
        <v>6145.2</v>
      </c>
      <c r="E1065" s="9" t="s">
        <v>7</v>
      </c>
      <c r="F1065" s="23">
        <v>12</v>
      </c>
      <c r="G1065" s="25"/>
      <c r="H1065" s="14">
        <f t="shared" si="1051"/>
        <v>0.55000000000000004</v>
      </c>
      <c r="I1065" s="25">
        <f ca="1">IFERROR(__xludf.DUMMYFUNCTION("ROUND(D1065*GOOGLEFINANCE(""RUBKZT"")*H1065)"),26375)</f>
        <v>26375</v>
      </c>
      <c r="J1065" s="26">
        <f ca="1">IFERROR(__xludf.DUMMYFUNCTION("ROUND(I1065*GOOGLEFINANCE(""KZTEUR""))"),55)</f>
        <v>55</v>
      </c>
      <c r="K1065" s="26">
        <f t="shared" ca="1" si="1052"/>
        <v>4583</v>
      </c>
      <c r="L1065" s="26">
        <f t="shared" ca="1" si="1053"/>
        <v>870.77</v>
      </c>
      <c r="M1065" s="26">
        <f t="shared" ref="M1065:N1065" si="1099">M$3</f>
        <v>500</v>
      </c>
      <c r="N1065" s="26">
        <f t="shared" si="1099"/>
        <v>500</v>
      </c>
      <c r="O1065" s="26">
        <f ca="1">IFERROR(__xludf.DUMMYFUNCTION("ROUND(GOOGLEFINANCE(""Currency:EURKZT"")*K1065)"),2188702)</f>
        <v>2188702</v>
      </c>
      <c r="P1065" s="26">
        <f ca="1">IFERROR(__xludf.DUMMYFUNCTION("ROUND(GOOGLEFINANCE(""Currency:EURKZT"")*M1065)"),238785)</f>
        <v>238785</v>
      </c>
      <c r="Q1065" s="26">
        <f ca="1">IFERROR(__xludf.DUMMYFUNCTION("ROUND(GOOGLEFINANCE(""Currency:EURKZT"")*N1065)"),238785)</f>
        <v>238785</v>
      </c>
      <c r="R1065" s="26">
        <f t="shared" ca="1" si="1055"/>
        <v>262644</v>
      </c>
      <c r="S1065" s="26">
        <f t="shared" ca="1" si="1056"/>
        <v>2928916</v>
      </c>
      <c r="T1065" s="26">
        <f ca="1">IFERROR(__xludf.DUMMYFUNCTION("ROUND(GOOGLEFINANCE(""Currency:EURKZT"")*L1065+S1065)"),3344769)</f>
        <v>3344769</v>
      </c>
      <c r="U1065" s="26">
        <f ca="1">IFERROR(__xludf.DUMMYFUNCTION("D1065*GOOGLEFINANCE(""RUBKZT"")*1000/F1065"),3996184.0525092)</f>
        <v>3996184.0525091998</v>
      </c>
      <c r="V1065" s="27">
        <f t="shared" ca="1" si="1057"/>
        <v>0.19475636509104211</v>
      </c>
    </row>
    <row r="1066" spans="1:22" ht="12.75" customHeight="1" x14ac:dyDescent="0.2">
      <c r="A1066" s="6" t="s">
        <v>577</v>
      </c>
      <c r="B1066" s="6" t="s">
        <v>461</v>
      </c>
      <c r="C1066" s="7">
        <v>213993</v>
      </c>
      <c r="D1066" s="8">
        <v>9482.4</v>
      </c>
      <c r="E1066" s="9" t="s">
        <v>7</v>
      </c>
      <c r="F1066" s="23">
        <v>12</v>
      </c>
      <c r="G1066" s="25"/>
      <c r="H1066" s="14">
        <f t="shared" si="1051"/>
        <v>0.55000000000000004</v>
      </c>
      <c r="I1066" s="25">
        <f ca="1">IFERROR(__xludf.DUMMYFUNCTION("ROUND(D1066*GOOGLEFINANCE(""RUBKZT"")*H1066)"),40698)</f>
        <v>40698</v>
      </c>
      <c r="J1066" s="26">
        <f ca="1">IFERROR(__xludf.DUMMYFUNCTION("ROUND(I1066*GOOGLEFINANCE(""KZTEUR""))"),85)</f>
        <v>85</v>
      </c>
      <c r="K1066" s="26">
        <f t="shared" ca="1" si="1052"/>
        <v>7083</v>
      </c>
      <c r="L1066" s="26">
        <f t="shared" ca="1" si="1053"/>
        <v>1345.77</v>
      </c>
      <c r="M1066" s="26">
        <f t="shared" ref="M1066:N1066" si="1100">M$3</f>
        <v>500</v>
      </c>
      <c r="N1066" s="26">
        <f t="shared" si="1100"/>
        <v>500</v>
      </c>
      <c r="O1066" s="26">
        <f ca="1">IFERROR(__xludf.DUMMYFUNCTION("ROUND(GOOGLEFINANCE(""Currency:EURKZT"")*K1066)"),3382626)</f>
        <v>3382626</v>
      </c>
      <c r="P1066" s="26">
        <f ca="1">IFERROR(__xludf.DUMMYFUNCTION("ROUND(GOOGLEFINANCE(""Currency:EURKZT"")*M1066)"),238785)</f>
        <v>238785</v>
      </c>
      <c r="Q1066" s="26">
        <f ca="1">IFERROR(__xludf.DUMMYFUNCTION("ROUND(GOOGLEFINANCE(""Currency:EURKZT"")*N1066)"),238785)</f>
        <v>238785</v>
      </c>
      <c r="R1066" s="26">
        <f t="shared" ca="1" si="1055"/>
        <v>405915</v>
      </c>
      <c r="S1066" s="26">
        <f t="shared" ca="1" si="1056"/>
        <v>4266111</v>
      </c>
      <c r="T1066" s="26">
        <f ca="1">IFERROR(__xludf.DUMMYFUNCTION("ROUND(GOOGLEFINANCE(""Currency:EURKZT"")*L1066+S1066)"),4908810)</f>
        <v>4908810</v>
      </c>
      <c r="U1066" s="26">
        <f ca="1">IFERROR(__xludf.DUMMYFUNCTION("D1066*GOOGLEFINANCE(""RUBKZT"")*1000/F1066"),6166343.7576504)</f>
        <v>6166343.7576503996</v>
      </c>
      <c r="V1066" s="27">
        <f t="shared" ca="1" si="1057"/>
        <v>0.2561789430942325</v>
      </c>
    </row>
    <row r="1067" spans="1:22" ht="12.75" customHeight="1" x14ac:dyDescent="0.2">
      <c r="A1067" s="6" t="s">
        <v>602</v>
      </c>
      <c r="B1067" s="6" t="s">
        <v>461</v>
      </c>
      <c r="C1067" s="7">
        <v>214107</v>
      </c>
      <c r="D1067" s="8">
        <v>5412</v>
      </c>
      <c r="E1067" s="9" t="s">
        <v>16</v>
      </c>
      <c r="F1067" s="23">
        <v>12</v>
      </c>
      <c r="G1067" s="25"/>
      <c r="H1067" s="14">
        <f t="shared" si="1051"/>
        <v>0.55000000000000004</v>
      </c>
      <c r="I1067" s="25">
        <f ca="1">IFERROR(__xludf.DUMMYFUNCTION("ROUND(D1067*GOOGLEFINANCE(""RUBKZT"")*H1067)"),23228)</f>
        <v>23228</v>
      </c>
      <c r="J1067" s="26">
        <f ca="1">IFERROR(__xludf.DUMMYFUNCTION("ROUND(I1067*GOOGLEFINANCE(""KZTEUR""))"),49)</f>
        <v>49</v>
      </c>
      <c r="K1067" s="26">
        <f t="shared" ca="1" si="1052"/>
        <v>4083</v>
      </c>
      <c r="L1067" s="26">
        <f t="shared" ca="1" si="1053"/>
        <v>775.77</v>
      </c>
      <c r="M1067" s="26">
        <f t="shared" ref="M1067:N1067" si="1101">M$3</f>
        <v>500</v>
      </c>
      <c r="N1067" s="26">
        <f t="shared" si="1101"/>
        <v>500</v>
      </c>
      <c r="O1067" s="26">
        <f ca="1">IFERROR(__xludf.DUMMYFUNCTION("ROUND(GOOGLEFINANCE(""Currency:EURKZT"")*K1067)"),1949917)</f>
        <v>1949917</v>
      </c>
      <c r="P1067" s="26">
        <f ca="1">IFERROR(__xludf.DUMMYFUNCTION("ROUND(GOOGLEFINANCE(""Currency:EURKZT"")*M1067)"),238785)</f>
        <v>238785</v>
      </c>
      <c r="Q1067" s="26">
        <f ca="1">IFERROR(__xludf.DUMMYFUNCTION("ROUND(GOOGLEFINANCE(""Currency:EURKZT"")*N1067)"),238785)</f>
        <v>238785</v>
      </c>
      <c r="R1067" s="26">
        <f t="shared" ca="1" si="1055"/>
        <v>233990</v>
      </c>
      <c r="S1067" s="26">
        <f t="shared" ca="1" si="1056"/>
        <v>2661477</v>
      </c>
      <c r="T1067" s="26">
        <f ca="1">IFERROR(__xludf.DUMMYFUNCTION("ROUND(GOOGLEFINANCE(""Currency:EURKZT"")*L1067+S1067)"),3031961)</f>
        <v>3031961</v>
      </c>
      <c r="U1067" s="26">
        <f ca="1">IFERROR(__xludf.DUMMYFUNCTION("D1067*GOOGLEFINANCE(""RUBKZT"")*1000/F1067"),3519388.806252)</f>
        <v>3519388.8062519999</v>
      </c>
      <c r="V1067" s="27">
        <f t="shared" ca="1" si="1057"/>
        <v>0.16076321768386859</v>
      </c>
    </row>
    <row r="1068" spans="1:22" ht="12.75" customHeight="1" x14ac:dyDescent="0.2">
      <c r="A1068" s="6" t="s">
        <v>604</v>
      </c>
      <c r="B1068" s="6" t="s">
        <v>461</v>
      </c>
      <c r="C1068" s="7">
        <v>214113</v>
      </c>
      <c r="D1068" s="8">
        <v>26954.399999999998</v>
      </c>
      <c r="E1068" s="9" t="s">
        <v>16</v>
      </c>
      <c r="F1068" s="23">
        <v>12</v>
      </c>
      <c r="G1068" s="25"/>
      <c r="H1068" s="14">
        <f t="shared" si="1051"/>
        <v>0.55000000000000004</v>
      </c>
      <c r="I1068" s="25">
        <f ca="1">IFERROR(__xludf.DUMMYFUNCTION("ROUND(D1068*GOOGLEFINANCE(""RUBKZT"")*H1068)"),115687)</f>
        <v>115687</v>
      </c>
      <c r="J1068" s="26">
        <f ca="1">IFERROR(__xludf.DUMMYFUNCTION("ROUND(I1068*GOOGLEFINANCE(""KZTEUR""))"),242)</f>
        <v>242</v>
      </c>
      <c r="K1068" s="26">
        <f t="shared" ca="1" si="1052"/>
        <v>20167</v>
      </c>
      <c r="L1068" s="26">
        <f t="shared" ca="1" si="1053"/>
        <v>3831.73</v>
      </c>
      <c r="M1068" s="26">
        <f t="shared" ref="M1068:N1068" si="1102">M$3</f>
        <v>500</v>
      </c>
      <c r="N1068" s="26">
        <f t="shared" si="1102"/>
        <v>500</v>
      </c>
      <c r="O1068" s="26">
        <f ca="1">IFERROR(__xludf.DUMMYFUNCTION("ROUND(GOOGLEFINANCE(""Currency:EURKZT"")*K1068)"),9631146)</f>
        <v>9631146</v>
      </c>
      <c r="P1068" s="26">
        <f ca="1">IFERROR(__xludf.DUMMYFUNCTION("ROUND(GOOGLEFINANCE(""Currency:EURKZT"")*M1068)"),238785)</f>
        <v>238785</v>
      </c>
      <c r="Q1068" s="26">
        <f ca="1">IFERROR(__xludf.DUMMYFUNCTION("ROUND(GOOGLEFINANCE(""Currency:EURKZT"")*N1068)"),238785)</f>
        <v>238785</v>
      </c>
      <c r="R1068" s="26">
        <f t="shared" ca="1" si="1055"/>
        <v>1155738</v>
      </c>
      <c r="S1068" s="26">
        <f t="shared" ca="1" si="1056"/>
        <v>11264454</v>
      </c>
      <c r="T1068" s="26">
        <f ca="1">IFERROR(__xludf.DUMMYFUNCTION("ROUND(GOOGLEFINANCE(""Currency:EURKZT"")*L1068+S1068)"),13094372)</f>
        <v>13094372</v>
      </c>
      <c r="U1068" s="26">
        <f ca="1">IFERROR(__xludf.DUMMYFUNCTION("D1068*GOOGLEFINANCE(""RUBKZT"")*1000/F1068"),17528273.0301623)</f>
        <v>17528273.030162301</v>
      </c>
      <c r="V1068" s="27">
        <f t="shared" ca="1" si="1057"/>
        <v>0.33861120106884857</v>
      </c>
    </row>
    <row r="1069" spans="1:22" ht="12.75" customHeight="1" x14ac:dyDescent="0.2">
      <c r="A1069" s="6" t="s">
        <v>605</v>
      </c>
      <c r="B1069" s="6" t="s">
        <v>461</v>
      </c>
      <c r="C1069" s="7">
        <v>214120</v>
      </c>
      <c r="D1069" s="8">
        <v>5780.4</v>
      </c>
      <c r="E1069" s="9" t="s">
        <v>7</v>
      </c>
      <c r="F1069" s="23">
        <v>12</v>
      </c>
      <c r="G1069" s="25"/>
      <c r="H1069" s="14">
        <f t="shared" si="1051"/>
        <v>0.55000000000000004</v>
      </c>
      <c r="I1069" s="25">
        <f ca="1">IFERROR(__xludf.DUMMYFUNCTION("ROUND(D1069*GOOGLEFINANCE(""RUBKZT"")*H1069)"),24809)</f>
        <v>24809</v>
      </c>
      <c r="J1069" s="26">
        <f ca="1">IFERROR(__xludf.DUMMYFUNCTION("ROUND(I1069*GOOGLEFINANCE(""KZTEUR""))"),52)</f>
        <v>52</v>
      </c>
      <c r="K1069" s="26">
        <f t="shared" ca="1" si="1052"/>
        <v>4333</v>
      </c>
      <c r="L1069" s="26">
        <f t="shared" ca="1" si="1053"/>
        <v>823.27</v>
      </c>
      <c r="M1069" s="26">
        <f t="shared" ref="M1069:N1069" si="1103">M$3</f>
        <v>500</v>
      </c>
      <c r="N1069" s="26">
        <f t="shared" si="1103"/>
        <v>500</v>
      </c>
      <c r="O1069" s="26">
        <f ca="1">IFERROR(__xludf.DUMMYFUNCTION("ROUND(GOOGLEFINANCE(""Currency:EURKZT"")*K1069)"),2069309)</f>
        <v>2069309</v>
      </c>
      <c r="P1069" s="26">
        <f ca="1">IFERROR(__xludf.DUMMYFUNCTION("ROUND(GOOGLEFINANCE(""Currency:EURKZT"")*M1069)"),238785)</f>
        <v>238785</v>
      </c>
      <c r="Q1069" s="26">
        <f ca="1">IFERROR(__xludf.DUMMYFUNCTION("ROUND(GOOGLEFINANCE(""Currency:EURKZT"")*N1069)"),238785)</f>
        <v>238785</v>
      </c>
      <c r="R1069" s="26">
        <f t="shared" ca="1" si="1055"/>
        <v>248317</v>
      </c>
      <c r="S1069" s="26">
        <f t="shared" ca="1" si="1056"/>
        <v>2795196</v>
      </c>
      <c r="T1069" s="26">
        <f ca="1">IFERROR(__xludf.DUMMYFUNCTION("ROUND(GOOGLEFINANCE(""Currency:EURKZT"")*L1069+S1069)"),3188365)</f>
        <v>3188365</v>
      </c>
      <c r="U1069" s="26">
        <f ca="1">IFERROR(__xludf.DUMMYFUNCTION("D1069*GOOGLEFINANCE(""RUBKZT"")*1000/F1069"),3758956.95780839)</f>
        <v>3758956.9578083898</v>
      </c>
      <c r="V1069" s="27">
        <f t="shared" ca="1" si="1057"/>
        <v>0.17896067665038029</v>
      </c>
    </row>
    <row r="1070" spans="1:22" ht="12.75" customHeight="1" x14ac:dyDescent="0.2">
      <c r="A1070" s="6" t="s">
        <v>629</v>
      </c>
      <c r="B1070" s="6" t="s">
        <v>461</v>
      </c>
      <c r="C1070" s="7">
        <v>215827</v>
      </c>
      <c r="D1070" s="8">
        <v>5463.5999999999995</v>
      </c>
      <c r="E1070" s="9" t="s">
        <v>16</v>
      </c>
      <c r="F1070" s="23">
        <v>12</v>
      </c>
      <c r="G1070" s="25"/>
      <c r="H1070" s="14">
        <f t="shared" si="1051"/>
        <v>0.55000000000000004</v>
      </c>
      <c r="I1070" s="25">
        <f ca="1">IFERROR(__xludf.DUMMYFUNCTION("ROUND(D1070*GOOGLEFINANCE(""RUBKZT"")*H1070)"),23449)</f>
        <v>23449</v>
      </c>
      <c r="J1070" s="26">
        <f ca="1">IFERROR(__xludf.DUMMYFUNCTION("ROUND(I1070*GOOGLEFINANCE(""KZTEUR""))"),49)</f>
        <v>49</v>
      </c>
      <c r="K1070" s="26">
        <f t="shared" ca="1" si="1052"/>
        <v>4083</v>
      </c>
      <c r="L1070" s="26">
        <f t="shared" ca="1" si="1053"/>
        <v>775.77</v>
      </c>
      <c r="M1070" s="26">
        <f t="shared" ref="M1070:N1070" si="1104">M$3</f>
        <v>500</v>
      </c>
      <c r="N1070" s="26">
        <f t="shared" si="1104"/>
        <v>500</v>
      </c>
      <c r="O1070" s="26">
        <f ca="1">IFERROR(__xludf.DUMMYFUNCTION("ROUND(GOOGLEFINANCE(""Currency:EURKZT"")*K1070)"),1949917)</f>
        <v>1949917</v>
      </c>
      <c r="P1070" s="26">
        <f ca="1">IFERROR(__xludf.DUMMYFUNCTION("ROUND(GOOGLEFINANCE(""Currency:EURKZT"")*M1070)"),238785)</f>
        <v>238785</v>
      </c>
      <c r="Q1070" s="26">
        <f ca="1">IFERROR(__xludf.DUMMYFUNCTION("ROUND(GOOGLEFINANCE(""Currency:EURKZT"")*N1070)"),238785)</f>
        <v>238785</v>
      </c>
      <c r="R1070" s="26">
        <f t="shared" ca="1" si="1055"/>
        <v>233990</v>
      </c>
      <c r="S1070" s="26">
        <f t="shared" ca="1" si="1056"/>
        <v>2661477</v>
      </c>
      <c r="T1070" s="26">
        <f ca="1">IFERROR(__xludf.DUMMYFUNCTION("ROUND(GOOGLEFINANCE(""Currency:EURKZT"")*L1070+S1070)"),3031961)</f>
        <v>3031961</v>
      </c>
      <c r="U1070" s="26">
        <f ca="1">IFERROR(__xludf.DUMMYFUNCTION("D1070*GOOGLEFINANCE(""RUBKZT"")*1000/F1070"),3552943.9545156)</f>
        <v>3552943.9545156001</v>
      </c>
      <c r="V1070" s="27">
        <f t="shared" ca="1" si="1057"/>
        <v>0.1718303614444909</v>
      </c>
    </row>
    <row r="1071" spans="1:22" ht="12.75" customHeight="1" x14ac:dyDescent="0.2">
      <c r="A1071" s="6" t="s">
        <v>462</v>
      </c>
      <c r="B1071" s="6" t="s">
        <v>461</v>
      </c>
      <c r="C1071" s="7">
        <v>216566</v>
      </c>
      <c r="D1071" s="8">
        <v>5710.8</v>
      </c>
      <c r="E1071" s="9" t="s">
        <v>16</v>
      </c>
      <c r="F1071" s="23">
        <v>12</v>
      </c>
      <c r="G1071" s="25"/>
      <c r="H1071" s="14">
        <f t="shared" si="1051"/>
        <v>0.55000000000000004</v>
      </c>
      <c r="I1071" s="25">
        <f ca="1">IFERROR(__xludf.DUMMYFUNCTION("ROUND(D1071*GOOGLEFINANCE(""RUBKZT"")*H1071)"),24510)</f>
        <v>24510</v>
      </c>
      <c r="J1071" s="26">
        <f ca="1">IFERROR(__xludf.DUMMYFUNCTION("ROUND(I1071*GOOGLEFINANCE(""KZTEUR""))"),51)</f>
        <v>51</v>
      </c>
      <c r="K1071" s="26">
        <f t="shared" ca="1" si="1052"/>
        <v>4250</v>
      </c>
      <c r="L1071" s="26">
        <f t="shared" ca="1" si="1053"/>
        <v>807.5</v>
      </c>
      <c r="M1071" s="26">
        <f t="shared" ref="M1071:N1071" si="1105">M$3</f>
        <v>500</v>
      </c>
      <c r="N1071" s="26">
        <f t="shared" si="1105"/>
        <v>500</v>
      </c>
      <c r="O1071" s="26">
        <f ca="1">IFERROR(__xludf.DUMMYFUNCTION("ROUND(GOOGLEFINANCE(""Currency:EURKZT"")*K1071)"),2029671)</f>
        <v>2029671</v>
      </c>
      <c r="P1071" s="26">
        <f ca="1">IFERROR(__xludf.DUMMYFUNCTION("ROUND(GOOGLEFINANCE(""Currency:EURKZT"")*M1071)"),238785)</f>
        <v>238785</v>
      </c>
      <c r="Q1071" s="26">
        <f ca="1">IFERROR(__xludf.DUMMYFUNCTION("ROUND(GOOGLEFINANCE(""Currency:EURKZT"")*N1071)"),238785)</f>
        <v>238785</v>
      </c>
      <c r="R1071" s="26">
        <f t="shared" ca="1" si="1055"/>
        <v>243561</v>
      </c>
      <c r="S1071" s="26">
        <f t="shared" ca="1" si="1056"/>
        <v>2750802</v>
      </c>
      <c r="T1071" s="26">
        <f ca="1">IFERROR(__xludf.DUMMYFUNCTION("ROUND(GOOGLEFINANCE(""Currency:EURKZT"")*L1071+S1071)"),3136439)</f>
        <v>3136439</v>
      </c>
      <c r="U1071" s="26">
        <f ca="1">IFERROR(__xludf.DUMMYFUNCTION("D1071*GOOGLEFINANCE(""RUBKZT"")*1000/F1071"),3713696.5252668)</f>
        <v>3713696.5252668001</v>
      </c>
      <c r="V1071" s="27">
        <f t="shared" ca="1" si="1057"/>
        <v>0.18404870149452934</v>
      </c>
    </row>
    <row r="1072" spans="1:22" ht="12.75" customHeight="1" x14ac:dyDescent="0.2">
      <c r="A1072" s="6" t="s">
        <v>463</v>
      </c>
      <c r="B1072" s="6" t="s">
        <v>461</v>
      </c>
      <c r="C1072" s="7">
        <v>216565</v>
      </c>
      <c r="D1072" s="8">
        <v>7926</v>
      </c>
      <c r="E1072" s="9" t="s">
        <v>16</v>
      </c>
      <c r="F1072" s="23">
        <v>12</v>
      </c>
      <c r="G1072" s="25"/>
      <c r="H1072" s="14">
        <f t="shared" si="1051"/>
        <v>0.55000000000000004</v>
      </c>
      <c r="I1072" s="25">
        <f ca="1">IFERROR(__xludf.DUMMYFUNCTION("ROUND(D1072*GOOGLEFINANCE(""RUBKZT"")*H1072)"),34018)</f>
        <v>34018</v>
      </c>
      <c r="J1072" s="26">
        <f ca="1">IFERROR(__xludf.DUMMYFUNCTION("ROUND(I1072*GOOGLEFINANCE(""KZTEUR""))"),71)</f>
        <v>71</v>
      </c>
      <c r="K1072" s="26">
        <f t="shared" ca="1" si="1052"/>
        <v>5917</v>
      </c>
      <c r="L1072" s="26">
        <f t="shared" ca="1" si="1053"/>
        <v>1124.23</v>
      </c>
      <c r="M1072" s="26">
        <f t="shared" ref="M1072:N1072" si="1106">M$3</f>
        <v>500</v>
      </c>
      <c r="N1072" s="26">
        <f t="shared" si="1106"/>
        <v>500</v>
      </c>
      <c r="O1072" s="26">
        <f ca="1">IFERROR(__xludf.DUMMYFUNCTION("ROUND(GOOGLEFINANCE(""Currency:EURKZT"")*K1072)"),2825779)</f>
        <v>2825779</v>
      </c>
      <c r="P1072" s="26">
        <f ca="1">IFERROR(__xludf.DUMMYFUNCTION("ROUND(GOOGLEFINANCE(""Currency:EURKZT"")*M1072)"),238785)</f>
        <v>238785</v>
      </c>
      <c r="Q1072" s="26">
        <f ca="1">IFERROR(__xludf.DUMMYFUNCTION("ROUND(GOOGLEFINANCE(""Currency:EURKZT"")*N1072)"),238785)</f>
        <v>238785</v>
      </c>
      <c r="R1072" s="26">
        <f t="shared" ca="1" si="1055"/>
        <v>339093</v>
      </c>
      <c r="S1072" s="26">
        <f t="shared" ca="1" si="1056"/>
        <v>3642442</v>
      </c>
      <c r="T1072" s="26">
        <f ca="1">IFERROR(__xludf.DUMMYFUNCTION("ROUND(GOOGLEFINANCE(""Currency:EURKZT"")*L1072+S1072)"),4179340)</f>
        <v>4179340</v>
      </c>
      <c r="U1072" s="26">
        <f ca="1">IFERROR(__xludf.DUMMYFUNCTION("D1072*GOOGLEFINANCE(""RUBKZT"")*1000/F1072"),5154226.843746)</f>
        <v>5154226.843746</v>
      </c>
      <c r="V1072" s="27">
        <f t="shared" ca="1" si="1057"/>
        <v>0.23326334869764126</v>
      </c>
    </row>
    <row r="1073" spans="1:22" ht="12.75" customHeight="1" x14ac:dyDescent="0.2">
      <c r="A1073" s="6" t="s">
        <v>469</v>
      </c>
      <c r="B1073" s="6" t="s">
        <v>461</v>
      </c>
      <c r="C1073" s="7">
        <v>216635</v>
      </c>
      <c r="D1073" s="8">
        <v>8036.4</v>
      </c>
      <c r="E1073" s="9" t="s">
        <v>16</v>
      </c>
      <c r="F1073" s="23">
        <v>12</v>
      </c>
      <c r="G1073" s="25"/>
      <c r="H1073" s="14">
        <f t="shared" si="1051"/>
        <v>0.55000000000000004</v>
      </c>
      <c r="I1073" s="25">
        <f ca="1">IFERROR(__xludf.DUMMYFUNCTION("ROUND(D1073*GOOGLEFINANCE(""RUBKZT"")*H1073)"),34492)</f>
        <v>34492</v>
      </c>
      <c r="J1073" s="26">
        <f ca="1">IFERROR(__xludf.DUMMYFUNCTION("ROUND(I1073*GOOGLEFINANCE(""KZTEUR""))"),72)</f>
        <v>72</v>
      </c>
      <c r="K1073" s="26">
        <f t="shared" ca="1" si="1052"/>
        <v>6000</v>
      </c>
      <c r="L1073" s="26">
        <f t="shared" ca="1" si="1053"/>
        <v>1140</v>
      </c>
      <c r="M1073" s="26">
        <f t="shared" ref="M1073:N1073" si="1107">M$3</f>
        <v>500</v>
      </c>
      <c r="N1073" s="26">
        <f t="shared" si="1107"/>
        <v>500</v>
      </c>
      <c r="O1073" s="26">
        <f ca="1">IFERROR(__xludf.DUMMYFUNCTION("ROUND(GOOGLEFINANCE(""Currency:EURKZT"")*K1073)"),2865418)</f>
        <v>2865418</v>
      </c>
      <c r="P1073" s="26">
        <f ca="1">IFERROR(__xludf.DUMMYFUNCTION("ROUND(GOOGLEFINANCE(""Currency:EURKZT"")*M1073)"),238785)</f>
        <v>238785</v>
      </c>
      <c r="Q1073" s="26">
        <f ca="1">IFERROR(__xludf.DUMMYFUNCTION("ROUND(GOOGLEFINANCE(""Currency:EURKZT"")*N1073)"),238785)</f>
        <v>238785</v>
      </c>
      <c r="R1073" s="26">
        <f t="shared" ca="1" si="1055"/>
        <v>343850</v>
      </c>
      <c r="S1073" s="26">
        <f t="shared" ca="1" si="1056"/>
        <v>3686838</v>
      </c>
      <c r="T1073" s="26">
        <f ca="1">IFERROR(__xludf.DUMMYFUNCTION("ROUND(GOOGLEFINANCE(""Currency:EURKZT"")*L1073+S1073)"),4231267)</f>
        <v>4231267</v>
      </c>
      <c r="U1073" s="26">
        <f ca="1">IFERROR(__xludf.DUMMYFUNCTION("D1073*GOOGLEFINANCE(""RUBKZT"")*1000/F1073"),5226019.2539844)</f>
        <v>5226019.2539844001</v>
      </c>
      <c r="V1073" s="27">
        <f t="shared" ca="1" si="1057"/>
        <v>0.23509559996672394</v>
      </c>
    </row>
    <row r="1074" spans="1:22" ht="12.75" customHeight="1" x14ac:dyDescent="0.2">
      <c r="A1074" s="6" t="s">
        <v>494</v>
      </c>
      <c r="B1074" s="6" t="s">
        <v>461</v>
      </c>
      <c r="C1074" s="7">
        <v>216627</v>
      </c>
      <c r="D1074" s="8">
        <v>7855.2</v>
      </c>
      <c r="E1074" s="9" t="s">
        <v>16</v>
      </c>
      <c r="F1074" s="23">
        <v>12</v>
      </c>
      <c r="G1074" s="24">
        <v>0.04</v>
      </c>
      <c r="H1074" s="14">
        <f t="shared" si="1051"/>
        <v>0.59000000000000008</v>
      </c>
      <c r="I1074" s="25">
        <f ca="1">IFERROR(__xludf.DUMMYFUNCTION("ROUND(D1074*GOOGLEFINANCE(""RUBKZT"")*H1074)"),36166)</f>
        <v>36166</v>
      </c>
      <c r="J1074" s="26">
        <f ca="1">IFERROR(__xludf.DUMMYFUNCTION("ROUND(I1074*GOOGLEFINANCE(""KZTEUR""))"),76)</f>
        <v>76</v>
      </c>
      <c r="K1074" s="26">
        <f t="shared" ca="1" si="1052"/>
        <v>6333</v>
      </c>
      <c r="L1074" s="26">
        <f t="shared" ca="1" si="1053"/>
        <v>1203.27</v>
      </c>
      <c r="M1074" s="26">
        <f t="shared" ref="M1074:N1074" si="1108">M$3</f>
        <v>500</v>
      </c>
      <c r="N1074" s="26">
        <f t="shared" si="1108"/>
        <v>500</v>
      </c>
      <c r="O1074" s="26">
        <f ca="1">IFERROR(__xludf.DUMMYFUNCTION("ROUND(GOOGLEFINANCE(""Currency:EURKZT"")*K1074)"),3024448)</f>
        <v>3024448</v>
      </c>
      <c r="P1074" s="26">
        <f ca="1">IFERROR(__xludf.DUMMYFUNCTION("ROUND(GOOGLEFINANCE(""Currency:EURKZT"")*M1074)"),238785)</f>
        <v>238785</v>
      </c>
      <c r="Q1074" s="26">
        <f ca="1">IFERROR(__xludf.DUMMYFUNCTION("ROUND(GOOGLEFINANCE(""Currency:EURKZT"")*N1074)"),238785)</f>
        <v>238785</v>
      </c>
      <c r="R1074" s="26">
        <f t="shared" ca="1" si="1055"/>
        <v>362934</v>
      </c>
      <c r="S1074" s="26">
        <f t="shared" ca="1" si="1056"/>
        <v>3864952</v>
      </c>
      <c r="T1074" s="26">
        <f ca="1">IFERROR(__xludf.DUMMYFUNCTION("ROUND(GOOGLEFINANCE(""Currency:EURKZT"")*L1074+S1074)"),4439597)</f>
        <v>4439597</v>
      </c>
      <c r="U1074" s="26">
        <f ca="1">IFERROR(__xludf.DUMMYFUNCTION("D1074*GOOGLEFINANCE(""RUBKZT"")*1000/F1074"),5108186.0589192)</f>
        <v>5108186.0589191997</v>
      </c>
      <c r="V1074" s="27">
        <f t="shared" ca="1" si="1057"/>
        <v>0.15059679041120169</v>
      </c>
    </row>
    <row r="1075" spans="1:22" ht="12.75" customHeight="1" x14ac:dyDescent="0.2">
      <c r="A1075" s="6" t="s">
        <v>684</v>
      </c>
      <c r="B1075" s="6" t="s">
        <v>461</v>
      </c>
      <c r="C1075" s="7">
        <v>216643</v>
      </c>
      <c r="D1075" s="8">
        <v>8505.6</v>
      </c>
      <c r="E1075" s="9" t="s">
        <v>7</v>
      </c>
      <c r="F1075" s="23">
        <v>12</v>
      </c>
      <c r="G1075" s="24">
        <v>0.05</v>
      </c>
      <c r="H1075" s="14">
        <f t="shared" si="1051"/>
        <v>0.60000000000000009</v>
      </c>
      <c r="I1075" s="25">
        <f ca="1">IFERROR(__xludf.DUMMYFUNCTION("ROUND(D1075*GOOGLEFINANCE(""RUBKZT"")*H1075)"),39824)</f>
        <v>39824</v>
      </c>
      <c r="J1075" s="26">
        <f ca="1">IFERROR(__xludf.DUMMYFUNCTION("ROUND(I1075*GOOGLEFINANCE(""KZTEUR""))"),83)</f>
        <v>83</v>
      </c>
      <c r="K1075" s="26">
        <f t="shared" ca="1" si="1052"/>
        <v>6917</v>
      </c>
      <c r="L1075" s="26">
        <f t="shared" ca="1" si="1053"/>
        <v>1314.23</v>
      </c>
      <c r="M1075" s="26">
        <f t="shared" ref="M1075:N1075" si="1109">M$3</f>
        <v>500</v>
      </c>
      <c r="N1075" s="26">
        <f t="shared" si="1109"/>
        <v>500</v>
      </c>
      <c r="O1075" s="26">
        <f ca="1">IFERROR(__xludf.DUMMYFUNCTION("ROUND(GOOGLEFINANCE(""Currency:EURKZT"")*K1075)"),3303349)</f>
        <v>3303349</v>
      </c>
      <c r="P1075" s="26">
        <f ca="1">IFERROR(__xludf.DUMMYFUNCTION("ROUND(GOOGLEFINANCE(""Currency:EURKZT"")*M1075)"),238785)</f>
        <v>238785</v>
      </c>
      <c r="Q1075" s="26">
        <f ca="1">IFERROR(__xludf.DUMMYFUNCTION("ROUND(GOOGLEFINANCE(""Currency:EURKZT"")*N1075)"),238785)</f>
        <v>238785</v>
      </c>
      <c r="R1075" s="26">
        <f t="shared" ca="1" si="1055"/>
        <v>396402</v>
      </c>
      <c r="S1075" s="26">
        <f t="shared" ca="1" si="1056"/>
        <v>4177321</v>
      </c>
      <c r="T1075" s="26">
        <f ca="1">IFERROR(__xludf.DUMMYFUNCTION("ROUND(GOOGLEFINANCE(""Currency:EURKZT"")*L1075+S1075)"),4804957)</f>
        <v>4804957</v>
      </c>
      <c r="U1075" s="26">
        <f ca="1">IFERROR(__xludf.DUMMYFUNCTION("D1075*GOOGLEFINANCE(""RUBKZT"")*1000/F1075"),5531136.9974976)</f>
        <v>5531136.9974975996</v>
      </c>
      <c r="V1075" s="27">
        <f t="shared" ca="1" si="1057"/>
        <v>0.15113142479685032</v>
      </c>
    </row>
    <row r="1076" spans="1:22" ht="12.75" customHeight="1" x14ac:dyDescent="0.2">
      <c r="A1076" s="6" t="s">
        <v>540</v>
      </c>
      <c r="B1076" s="6" t="s">
        <v>461</v>
      </c>
      <c r="C1076" s="7">
        <v>216650</v>
      </c>
      <c r="D1076" s="8">
        <v>8204.4</v>
      </c>
      <c r="E1076" s="9" t="s">
        <v>7</v>
      </c>
      <c r="F1076" s="23">
        <v>12</v>
      </c>
      <c r="G1076" s="25"/>
      <c r="H1076" s="14">
        <f t="shared" si="1051"/>
        <v>0.55000000000000004</v>
      </c>
      <c r="I1076" s="25">
        <f ca="1">IFERROR(__xludf.DUMMYFUNCTION("ROUND(D1076*GOOGLEFINANCE(""RUBKZT"")*H1076)"),35213)</f>
        <v>35213</v>
      </c>
      <c r="J1076" s="26">
        <f ca="1">IFERROR(__xludf.DUMMYFUNCTION("ROUND(I1076*GOOGLEFINANCE(""KZTEUR""))"),74)</f>
        <v>74</v>
      </c>
      <c r="K1076" s="26">
        <f t="shared" ca="1" si="1052"/>
        <v>6167</v>
      </c>
      <c r="L1076" s="26">
        <f t="shared" ca="1" si="1053"/>
        <v>1171.73</v>
      </c>
      <c r="M1076" s="26">
        <f t="shared" ref="M1076:N1076" si="1110">M$3</f>
        <v>500</v>
      </c>
      <c r="N1076" s="26">
        <f t="shared" si="1110"/>
        <v>500</v>
      </c>
      <c r="O1076" s="26">
        <f ca="1">IFERROR(__xludf.DUMMYFUNCTION("ROUND(GOOGLEFINANCE(""Currency:EURKZT"")*K1076)"),2945172)</f>
        <v>2945172</v>
      </c>
      <c r="P1076" s="26">
        <f ca="1">IFERROR(__xludf.DUMMYFUNCTION("ROUND(GOOGLEFINANCE(""Currency:EURKZT"")*M1076)"),238785)</f>
        <v>238785</v>
      </c>
      <c r="Q1076" s="26">
        <f ca="1">IFERROR(__xludf.DUMMYFUNCTION("ROUND(GOOGLEFINANCE(""Currency:EURKZT"")*N1076)"),238785)</f>
        <v>238785</v>
      </c>
      <c r="R1076" s="26">
        <f t="shared" ca="1" si="1055"/>
        <v>353421</v>
      </c>
      <c r="S1076" s="26">
        <f t="shared" ca="1" si="1056"/>
        <v>3776163</v>
      </c>
      <c r="T1076" s="26">
        <f ca="1">IFERROR(__xludf.DUMMYFUNCTION("ROUND(GOOGLEFINANCE(""Currency:EURKZT"")*L1076+S1076)"),4335746)</f>
        <v>4335746</v>
      </c>
      <c r="U1076" s="26">
        <f ca="1">IFERROR(__xludf.DUMMYFUNCTION("D1076*GOOGLEFINANCE(""RUBKZT"")*1000/F1076"),5335268.5739124)</f>
        <v>5335268.5739123998</v>
      </c>
      <c r="V1076" s="27">
        <f t="shared" ca="1" si="1057"/>
        <v>0.23053070311600352</v>
      </c>
    </row>
    <row r="1077" spans="1:22" ht="12.75" customHeight="1" x14ac:dyDescent="0.2">
      <c r="A1077" s="6" t="s">
        <v>537</v>
      </c>
      <c r="B1077" s="6" t="s">
        <v>461</v>
      </c>
      <c r="C1077" s="7">
        <v>217557</v>
      </c>
      <c r="D1077" s="8">
        <v>7300.8</v>
      </c>
      <c r="E1077" s="9" t="s">
        <v>7</v>
      </c>
      <c r="F1077" s="23">
        <v>12</v>
      </c>
      <c r="G1077" s="25"/>
      <c r="H1077" s="14">
        <f t="shared" si="1051"/>
        <v>0.55000000000000004</v>
      </c>
      <c r="I1077" s="25">
        <f ca="1">IFERROR(__xludf.DUMMYFUNCTION("ROUND(D1077*GOOGLEFINANCE(""RUBKZT"")*H1077)"),31335)</f>
        <v>31335</v>
      </c>
      <c r="J1077" s="26">
        <f ca="1">IFERROR(__xludf.DUMMYFUNCTION("ROUND(I1077*GOOGLEFINANCE(""KZTEUR""))"),66)</f>
        <v>66</v>
      </c>
      <c r="K1077" s="26">
        <f t="shared" ca="1" si="1052"/>
        <v>5500</v>
      </c>
      <c r="L1077" s="26">
        <f t="shared" ca="1" si="1053"/>
        <v>1045</v>
      </c>
      <c r="M1077" s="26">
        <f t="shared" ref="M1077:N1077" si="1111">M$3</f>
        <v>500</v>
      </c>
      <c r="N1077" s="26">
        <f t="shared" si="1111"/>
        <v>500</v>
      </c>
      <c r="O1077" s="26">
        <f ca="1">IFERROR(__xludf.DUMMYFUNCTION("ROUND(GOOGLEFINANCE(""Currency:EURKZT"")*K1077)"),2626633)</f>
        <v>2626633</v>
      </c>
      <c r="P1077" s="26">
        <f ca="1">IFERROR(__xludf.DUMMYFUNCTION("ROUND(GOOGLEFINANCE(""Currency:EURKZT"")*M1077)"),238785)</f>
        <v>238785</v>
      </c>
      <c r="Q1077" s="26">
        <f ca="1">IFERROR(__xludf.DUMMYFUNCTION("ROUND(GOOGLEFINANCE(""Currency:EURKZT"")*N1077)"),238785)</f>
        <v>238785</v>
      </c>
      <c r="R1077" s="26">
        <f t="shared" ca="1" si="1055"/>
        <v>315196</v>
      </c>
      <c r="S1077" s="26">
        <f t="shared" ca="1" si="1056"/>
        <v>3419399</v>
      </c>
      <c r="T1077" s="26">
        <f ca="1">IFERROR(__xludf.DUMMYFUNCTION("ROUND(GOOGLEFINANCE(""Currency:EURKZT"")*L1077+S1077)"),3918459)</f>
        <v>3918459</v>
      </c>
      <c r="U1077" s="26">
        <f ca="1">IFERROR(__xludf.DUMMYFUNCTION("D1077*GOOGLEFINANCE(""RUBKZT"")*1000/F1077"),4747663.3031568)</f>
        <v>4747663.3031567996</v>
      </c>
      <c r="V1077" s="27">
        <f t="shared" ca="1" si="1057"/>
        <v>0.21161489839674211</v>
      </c>
    </row>
    <row r="1078" spans="1:22" ht="12.75" customHeight="1" x14ac:dyDescent="0.2">
      <c r="A1078" s="6" t="s">
        <v>602</v>
      </c>
      <c r="B1078" s="6" t="s">
        <v>461</v>
      </c>
      <c r="C1078" s="7">
        <v>216676</v>
      </c>
      <c r="D1078" s="8">
        <v>5412</v>
      </c>
      <c r="E1078" s="9" t="s">
        <v>16</v>
      </c>
      <c r="F1078" s="23">
        <v>12</v>
      </c>
      <c r="G1078" s="25"/>
      <c r="H1078" s="14">
        <f t="shared" si="1051"/>
        <v>0.55000000000000004</v>
      </c>
      <c r="I1078" s="25">
        <f ca="1">IFERROR(__xludf.DUMMYFUNCTION("ROUND(D1078*GOOGLEFINANCE(""RUBKZT"")*H1078)"),23228)</f>
        <v>23228</v>
      </c>
      <c r="J1078" s="26">
        <f ca="1">IFERROR(__xludf.DUMMYFUNCTION("ROUND(I1078*GOOGLEFINANCE(""KZTEUR""))"),49)</f>
        <v>49</v>
      </c>
      <c r="K1078" s="26">
        <f t="shared" ca="1" si="1052"/>
        <v>4083</v>
      </c>
      <c r="L1078" s="26">
        <f t="shared" ca="1" si="1053"/>
        <v>775.77</v>
      </c>
      <c r="M1078" s="26">
        <f t="shared" ref="M1078:N1078" si="1112">M$3</f>
        <v>500</v>
      </c>
      <c r="N1078" s="26">
        <f t="shared" si="1112"/>
        <v>500</v>
      </c>
      <c r="O1078" s="26">
        <f ca="1">IFERROR(__xludf.DUMMYFUNCTION("ROUND(GOOGLEFINANCE(""Currency:EURKZT"")*K1078)"),1949917)</f>
        <v>1949917</v>
      </c>
      <c r="P1078" s="26">
        <f ca="1">IFERROR(__xludf.DUMMYFUNCTION("ROUND(GOOGLEFINANCE(""Currency:EURKZT"")*M1078)"),238785)</f>
        <v>238785</v>
      </c>
      <c r="Q1078" s="26">
        <f ca="1">IFERROR(__xludf.DUMMYFUNCTION("ROUND(GOOGLEFINANCE(""Currency:EURKZT"")*N1078)"),238785)</f>
        <v>238785</v>
      </c>
      <c r="R1078" s="26">
        <f t="shared" ca="1" si="1055"/>
        <v>233990</v>
      </c>
      <c r="S1078" s="26">
        <f t="shared" ca="1" si="1056"/>
        <v>2661477</v>
      </c>
      <c r="T1078" s="26">
        <f ca="1">IFERROR(__xludf.DUMMYFUNCTION("ROUND(GOOGLEFINANCE(""Currency:EURKZT"")*L1078+S1078)"),3031961)</f>
        <v>3031961</v>
      </c>
      <c r="U1078" s="26">
        <f ca="1">IFERROR(__xludf.DUMMYFUNCTION("D1078*GOOGLEFINANCE(""RUBKZT"")*1000/F1078"),3519388.806252)</f>
        <v>3519388.8062519999</v>
      </c>
      <c r="V1078" s="27">
        <f t="shared" ca="1" si="1057"/>
        <v>0.16076321768386859</v>
      </c>
    </row>
    <row r="1079" spans="1:22" ht="12.75" customHeight="1" x14ac:dyDescent="0.2">
      <c r="A1079" s="6" t="s">
        <v>604</v>
      </c>
      <c r="B1079" s="6" t="s">
        <v>461</v>
      </c>
      <c r="C1079" s="7">
        <v>216679</v>
      </c>
      <c r="D1079" s="8">
        <v>26954.399999999998</v>
      </c>
      <c r="E1079" s="9" t="s">
        <v>16</v>
      </c>
      <c r="F1079" s="23">
        <v>12</v>
      </c>
      <c r="G1079" s="25"/>
      <c r="H1079" s="14">
        <f t="shared" si="1051"/>
        <v>0.55000000000000004</v>
      </c>
      <c r="I1079" s="25">
        <f ca="1">IFERROR(__xludf.DUMMYFUNCTION("ROUND(D1079*GOOGLEFINANCE(""RUBKZT"")*H1079)"),115687)</f>
        <v>115687</v>
      </c>
      <c r="J1079" s="26">
        <f ca="1">IFERROR(__xludf.DUMMYFUNCTION("ROUND(I1079*GOOGLEFINANCE(""KZTEUR""))"),242)</f>
        <v>242</v>
      </c>
      <c r="K1079" s="26">
        <f t="shared" ca="1" si="1052"/>
        <v>20167</v>
      </c>
      <c r="L1079" s="26">
        <f t="shared" ca="1" si="1053"/>
        <v>3831.73</v>
      </c>
      <c r="M1079" s="26">
        <f t="shared" ref="M1079:N1079" si="1113">M$3</f>
        <v>500</v>
      </c>
      <c r="N1079" s="26">
        <f t="shared" si="1113"/>
        <v>500</v>
      </c>
      <c r="O1079" s="26">
        <f ca="1">IFERROR(__xludf.DUMMYFUNCTION("ROUND(GOOGLEFINANCE(""Currency:EURKZT"")*K1079)"),9631146)</f>
        <v>9631146</v>
      </c>
      <c r="P1079" s="26">
        <f ca="1">IFERROR(__xludf.DUMMYFUNCTION("ROUND(GOOGLEFINANCE(""Currency:EURKZT"")*M1079)"),238785)</f>
        <v>238785</v>
      </c>
      <c r="Q1079" s="26">
        <f ca="1">IFERROR(__xludf.DUMMYFUNCTION("ROUND(GOOGLEFINANCE(""Currency:EURKZT"")*N1079)"),238785)</f>
        <v>238785</v>
      </c>
      <c r="R1079" s="26">
        <f t="shared" ca="1" si="1055"/>
        <v>1155738</v>
      </c>
      <c r="S1079" s="26">
        <f t="shared" ca="1" si="1056"/>
        <v>11264454</v>
      </c>
      <c r="T1079" s="26">
        <f ca="1">IFERROR(__xludf.DUMMYFUNCTION("ROUND(GOOGLEFINANCE(""Currency:EURKZT"")*L1079+S1079)"),13094372)</f>
        <v>13094372</v>
      </c>
      <c r="U1079" s="26">
        <f ca="1">IFERROR(__xludf.DUMMYFUNCTION("D1079*GOOGLEFINANCE(""RUBKZT"")*1000/F1079"),17528273.0301623)</f>
        <v>17528273.030162301</v>
      </c>
      <c r="V1079" s="27">
        <f t="shared" ca="1" si="1057"/>
        <v>0.33861120106884857</v>
      </c>
    </row>
    <row r="1080" spans="1:22" ht="12.75" customHeight="1" x14ac:dyDescent="0.2">
      <c r="A1080" s="6" t="s">
        <v>605</v>
      </c>
      <c r="B1080" s="6" t="s">
        <v>461</v>
      </c>
      <c r="C1080" s="7">
        <v>216670</v>
      </c>
      <c r="D1080" s="8">
        <v>5780.4</v>
      </c>
      <c r="E1080" s="9" t="s">
        <v>7</v>
      </c>
      <c r="F1080" s="23">
        <v>12</v>
      </c>
      <c r="G1080" s="25"/>
      <c r="H1080" s="14">
        <f t="shared" si="1051"/>
        <v>0.55000000000000004</v>
      </c>
      <c r="I1080" s="25">
        <f ca="1">IFERROR(__xludf.DUMMYFUNCTION("ROUND(D1080*GOOGLEFINANCE(""RUBKZT"")*H1080)"),24809)</f>
        <v>24809</v>
      </c>
      <c r="J1080" s="26">
        <f ca="1">IFERROR(__xludf.DUMMYFUNCTION("ROUND(I1080*GOOGLEFINANCE(""KZTEUR""))"),52)</f>
        <v>52</v>
      </c>
      <c r="K1080" s="26">
        <f t="shared" ca="1" si="1052"/>
        <v>4333</v>
      </c>
      <c r="L1080" s="26">
        <f t="shared" ca="1" si="1053"/>
        <v>823.27</v>
      </c>
      <c r="M1080" s="26">
        <f t="shared" ref="M1080:N1080" si="1114">M$3</f>
        <v>500</v>
      </c>
      <c r="N1080" s="26">
        <f t="shared" si="1114"/>
        <v>500</v>
      </c>
      <c r="O1080" s="26">
        <f ca="1">IFERROR(__xludf.DUMMYFUNCTION("ROUND(GOOGLEFINANCE(""Currency:EURKZT"")*K1080)"),2069309)</f>
        <v>2069309</v>
      </c>
      <c r="P1080" s="26">
        <f ca="1">IFERROR(__xludf.DUMMYFUNCTION("ROUND(GOOGLEFINANCE(""Currency:EURKZT"")*M1080)"),238785)</f>
        <v>238785</v>
      </c>
      <c r="Q1080" s="26">
        <f ca="1">IFERROR(__xludf.DUMMYFUNCTION("ROUND(GOOGLEFINANCE(""Currency:EURKZT"")*N1080)"),238785)</f>
        <v>238785</v>
      </c>
      <c r="R1080" s="26">
        <f t="shared" ca="1" si="1055"/>
        <v>248317</v>
      </c>
      <c r="S1080" s="26">
        <f t="shared" ca="1" si="1056"/>
        <v>2795196</v>
      </c>
      <c r="T1080" s="26">
        <f ca="1">IFERROR(__xludf.DUMMYFUNCTION("ROUND(GOOGLEFINANCE(""Currency:EURKZT"")*L1080+S1080)"),3188365)</f>
        <v>3188365</v>
      </c>
      <c r="U1080" s="26">
        <f ca="1">IFERROR(__xludf.DUMMYFUNCTION("D1080*GOOGLEFINANCE(""RUBKZT"")*1000/F1080"),3758956.95780839)</f>
        <v>3758956.9578083898</v>
      </c>
      <c r="V1080" s="27">
        <f t="shared" ca="1" si="1057"/>
        <v>0.17896067665038029</v>
      </c>
    </row>
    <row r="1081" spans="1:22" ht="12.75" customHeight="1" x14ac:dyDescent="0.2">
      <c r="A1081" s="6" t="s">
        <v>352</v>
      </c>
      <c r="B1081" s="6" t="s">
        <v>353</v>
      </c>
      <c r="C1081" s="7">
        <v>194732</v>
      </c>
      <c r="D1081" s="8">
        <v>8632.7999999999993</v>
      </c>
      <c r="E1081" s="9" t="s">
        <v>7</v>
      </c>
      <c r="F1081" s="23">
        <v>15</v>
      </c>
      <c r="G1081" s="25"/>
      <c r="H1081" s="14">
        <f t="shared" si="1051"/>
        <v>0.55000000000000004</v>
      </c>
      <c r="I1081" s="25">
        <f ca="1">IFERROR(__xludf.DUMMYFUNCTION("ROUND(D1081*GOOGLEFINANCE(""RUBKZT"")*H1081)"),37051)</f>
        <v>37051</v>
      </c>
      <c r="J1081" s="26">
        <f ca="1">IFERROR(__xludf.DUMMYFUNCTION("ROUND(I1081*GOOGLEFINANCE(""KZTEUR""))"),78)</f>
        <v>78</v>
      </c>
      <c r="K1081" s="26">
        <f t="shared" ca="1" si="1052"/>
        <v>5200</v>
      </c>
      <c r="L1081" s="26">
        <f t="shared" ca="1" si="1053"/>
        <v>988</v>
      </c>
      <c r="M1081" s="26">
        <f t="shared" ref="M1081:N1081" si="1115">M$3</f>
        <v>500</v>
      </c>
      <c r="N1081" s="26">
        <f t="shared" si="1115"/>
        <v>500</v>
      </c>
      <c r="O1081" s="26">
        <f ca="1">IFERROR(__xludf.DUMMYFUNCTION("ROUND(GOOGLEFINANCE(""Currency:EURKZT"")*K1081)"),2483362)</f>
        <v>2483362</v>
      </c>
      <c r="P1081" s="26">
        <f ca="1">IFERROR(__xludf.DUMMYFUNCTION("ROUND(GOOGLEFINANCE(""Currency:EURKZT"")*M1081)"),238785)</f>
        <v>238785</v>
      </c>
      <c r="Q1081" s="26">
        <f ca="1">IFERROR(__xludf.DUMMYFUNCTION("ROUND(GOOGLEFINANCE(""Currency:EURKZT"")*N1081)"),238785)</f>
        <v>238785</v>
      </c>
      <c r="R1081" s="26">
        <f t="shared" ca="1" si="1055"/>
        <v>298003</v>
      </c>
      <c r="S1081" s="26">
        <f t="shared" ca="1" si="1056"/>
        <v>3258935</v>
      </c>
      <c r="T1081" s="26">
        <f ca="1">IFERROR(__xludf.DUMMYFUNCTION("ROUND(GOOGLEFINANCE(""Currency:EURKZT"")*L1081+S1081)"),3730774)</f>
        <v>3730774</v>
      </c>
      <c r="U1081" s="26">
        <f ca="1">IFERROR(__xludf.DUMMYFUNCTION("D1081*GOOGLEFINANCE(""RUBKZT"")*1000/F1081"),4491083.47178304)</f>
        <v>4491083.4717830401</v>
      </c>
      <c r="V1081" s="27">
        <f t="shared" ca="1" si="1057"/>
        <v>0.20379403088555889</v>
      </c>
    </row>
    <row r="1082" spans="1:22" ht="12.75" customHeight="1" x14ac:dyDescent="0.2">
      <c r="A1082" s="6" t="s">
        <v>365</v>
      </c>
      <c r="B1082" s="6" t="s">
        <v>353</v>
      </c>
      <c r="C1082" s="7">
        <v>194817</v>
      </c>
      <c r="D1082" s="8">
        <v>6520.8</v>
      </c>
      <c r="E1082" s="9" t="s">
        <v>7</v>
      </c>
      <c r="F1082" s="23">
        <v>15</v>
      </c>
      <c r="G1082" s="25"/>
      <c r="H1082" s="14">
        <f t="shared" si="1051"/>
        <v>0.55000000000000004</v>
      </c>
      <c r="I1082" s="25">
        <f ca="1">IFERROR(__xludf.DUMMYFUNCTION("ROUND(D1082*GOOGLEFINANCE(""RUBKZT"")*H1082)"),27987)</f>
        <v>27987</v>
      </c>
      <c r="J1082" s="26">
        <f ca="1">IFERROR(__xludf.DUMMYFUNCTION("ROUND(I1082*GOOGLEFINANCE(""KZTEUR""))"),59)</f>
        <v>59</v>
      </c>
      <c r="K1082" s="26">
        <f t="shared" ca="1" si="1052"/>
        <v>3933</v>
      </c>
      <c r="L1082" s="26">
        <f t="shared" ca="1" si="1053"/>
        <v>747.27</v>
      </c>
      <c r="M1082" s="26">
        <f t="shared" ref="M1082:N1082" si="1116">M$3</f>
        <v>500</v>
      </c>
      <c r="N1082" s="26">
        <f t="shared" si="1116"/>
        <v>500</v>
      </c>
      <c r="O1082" s="26">
        <f ca="1">IFERROR(__xludf.DUMMYFUNCTION("ROUND(GOOGLEFINANCE(""Currency:EURKZT"")*K1082)"),1878281)</f>
        <v>1878281</v>
      </c>
      <c r="P1082" s="26">
        <f ca="1">IFERROR(__xludf.DUMMYFUNCTION("ROUND(GOOGLEFINANCE(""Currency:EURKZT"")*M1082)"),238785)</f>
        <v>238785</v>
      </c>
      <c r="Q1082" s="26">
        <f ca="1">IFERROR(__xludf.DUMMYFUNCTION("ROUND(GOOGLEFINANCE(""Currency:EURKZT"")*N1082)"),238785)</f>
        <v>238785</v>
      </c>
      <c r="R1082" s="26">
        <f t="shared" ca="1" si="1055"/>
        <v>225394</v>
      </c>
      <c r="S1082" s="26">
        <f t="shared" ca="1" si="1056"/>
        <v>2581245</v>
      </c>
      <c r="T1082" s="26">
        <f ca="1">IFERROR(__xludf.DUMMYFUNCTION("ROUND(GOOGLEFINANCE(""Currency:EURKZT"")*L1082+S1082)"),2938118)</f>
        <v>2938118</v>
      </c>
      <c r="U1082" s="26">
        <f ca="1">IFERROR(__xludf.DUMMYFUNCTION("D1082*GOOGLEFINANCE(""RUBKZT"")*1000/F1082"),3392347.45422144)</f>
        <v>3392347.45422144</v>
      </c>
      <c r="V1082" s="27">
        <f t="shared" ca="1" si="1057"/>
        <v>0.1545987786131939</v>
      </c>
    </row>
    <row r="1083" spans="1:22" ht="12.75" customHeight="1" x14ac:dyDescent="0.2">
      <c r="A1083" s="6" t="s">
        <v>389</v>
      </c>
      <c r="B1083" s="6" t="s">
        <v>353</v>
      </c>
      <c r="C1083" s="7">
        <v>199335</v>
      </c>
      <c r="D1083" s="8">
        <v>34508.400000000001</v>
      </c>
      <c r="E1083" s="9" t="s">
        <v>7</v>
      </c>
      <c r="F1083" s="23">
        <v>15</v>
      </c>
      <c r="G1083" s="25"/>
      <c r="H1083" s="14">
        <f t="shared" si="1051"/>
        <v>0.55000000000000004</v>
      </c>
      <c r="I1083" s="25">
        <f ca="1">IFERROR(__xludf.DUMMYFUNCTION("ROUND(D1083*GOOGLEFINANCE(""RUBKZT"")*H1083)"),148108)</f>
        <v>148108</v>
      </c>
      <c r="J1083" s="26">
        <f ca="1">IFERROR(__xludf.DUMMYFUNCTION("ROUND(I1083*GOOGLEFINANCE(""KZTEUR""))"),310)</f>
        <v>310</v>
      </c>
      <c r="K1083" s="26">
        <f t="shared" ca="1" si="1052"/>
        <v>20667</v>
      </c>
      <c r="L1083" s="26">
        <f t="shared" ca="1" si="1053"/>
        <v>3926.73</v>
      </c>
      <c r="M1083" s="26">
        <f t="shared" ref="M1083:N1083" si="1117">M$3</f>
        <v>500</v>
      </c>
      <c r="N1083" s="26">
        <f t="shared" si="1117"/>
        <v>500</v>
      </c>
      <c r="O1083" s="26">
        <f ca="1">IFERROR(__xludf.DUMMYFUNCTION("ROUND(GOOGLEFINANCE(""Currency:EURKZT"")*K1083)"),9869931)</f>
        <v>9869931</v>
      </c>
      <c r="P1083" s="26">
        <f ca="1">IFERROR(__xludf.DUMMYFUNCTION("ROUND(GOOGLEFINANCE(""Currency:EURKZT"")*M1083)"),238785)</f>
        <v>238785</v>
      </c>
      <c r="Q1083" s="26">
        <f ca="1">IFERROR(__xludf.DUMMYFUNCTION("ROUND(GOOGLEFINANCE(""Currency:EURKZT"")*N1083)"),238785)</f>
        <v>238785</v>
      </c>
      <c r="R1083" s="26">
        <f t="shared" ca="1" si="1055"/>
        <v>1184392</v>
      </c>
      <c r="S1083" s="26">
        <f t="shared" ca="1" si="1056"/>
        <v>11531893</v>
      </c>
      <c r="T1083" s="26">
        <f ca="1">IFERROR(__xludf.DUMMYFUNCTION("ROUND(GOOGLEFINANCE(""Currency:EURKZT"")*L1083+S1083)"),13407180)</f>
        <v>13407180</v>
      </c>
      <c r="U1083" s="26">
        <f ca="1">IFERROR(__xludf.DUMMYFUNCTION("D1083*GOOGLEFINANCE(""RUBKZT"")*1000/F1083"),17952472.5323971)</f>
        <v>17952472.532397099</v>
      </c>
      <c r="V1083" s="27">
        <f t="shared" ca="1" si="1057"/>
        <v>0.33901928163842798</v>
      </c>
    </row>
    <row r="1084" spans="1:22" ht="12.75" customHeight="1" x14ac:dyDescent="0.2">
      <c r="A1084" s="6" t="s">
        <v>405</v>
      </c>
      <c r="B1084" s="6" t="s">
        <v>353</v>
      </c>
      <c r="C1084" s="7">
        <v>200532</v>
      </c>
      <c r="D1084" s="8">
        <v>33740.400000000001</v>
      </c>
      <c r="E1084" s="9" t="s">
        <v>7</v>
      </c>
      <c r="F1084" s="23">
        <v>15</v>
      </c>
      <c r="G1084" s="25"/>
      <c r="H1084" s="14">
        <f t="shared" si="1051"/>
        <v>0.55000000000000004</v>
      </c>
      <c r="I1084" s="25">
        <f ca="1">IFERROR(__xludf.DUMMYFUNCTION("ROUND(D1084*GOOGLEFINANCE(""RUBKZT"")*H1084)"),144812)</f>
        <v>144812</v>
      </c>
      <c r="J1084" s="26">
        <f ca="1">IFERROR(__xludf.DUMMYFUNCTION("ROUND(I1084*GOOGLEFINANCE(""KZTEUR""))"),303)</f>
        <v>303</v>
      </c>
      <c r="K1084" s="26">
        <f t="shared" ca="1" si="1052"/>
        <v>20200</v>
      </c>
      <c r="L1084" s="26">
        <f t="shared" ca="1" si="1053"/>
        <v>3838</v>
      </c>
      <c r="M1084" s="26">
        <f t="shared" ref="M1084:N1084" si="1118">M$3</f>
        <v>500</v>
      </c>
      <c r="N1084" s="26">
        <f t="shared" si="1118"/>
        <v>500</v>
      </c>
      <c r="O1084" s="26">
        <f ca="1">IFERROR(__xludf.DUMMYFUNCTION("ROUND(GOOGLEFINANCE(""Currency:EURKZT"")*K1084)"),9646906)</f>
        <v>9646906</v>
      </c>
      <c r="P1084" s="26">
        <f ca="1">IFERROR(__xludf.DUMMYFUNCTION("ROUND(GOOGLEFINANCE(""Currency:EURKZT"")*M1084)"),238785)</f>
        <v>238785</v>
      </c>
      <c r="Q1084" s="26">
        <f ca="1">IFERROR(__xludf.DUMMYFUNCTION("ROUND(GOOGLEFINANCE(""Currency:EURKZT"")*N1084)"),238785)</f>
        <v>238785</v>
      </c>
      <c r="R1084" s="26">
        <f t="shared" ca="1" si="1055"/>
        <v>1157629</v>
      </c>
      <c r="S1084" s="26">
        <f t="shared" ca="1" si="1056"/>
        <v>11282105</v>
      </c>
      <c r="T1084" s="26">
        <f ca="1">IFERROR(__xludf.DUMMYFUNCTION("ROUND(GOOGLEFINANCE(""Currency:EURKZT"")*L1084+S1084)"),13115017)</f>
        <v>13115017</v>
      </c>
      <c r="U1084" s="26">
        <f ca="1">IFERROR(__xludf.DUMMYFUNCTION("D1084*GOOGLEFINANCE(""RUBKZT"")*1000/F1084"),17552932.1623747)</f>
        <v>17552932.162374701</v>
      </c>
      <c r="V1084" s="27">
        <f t="shared" ca="1" si="1057"/>
        <v>0.33838424779584358</v>
      </c>
    </row>
    <row r="1085" spans="1:22" ht="12.75" customHeight="1" x14ac:dyDescent="0.2">
      <c r="A1085" s="6" t="s">
        <v>407</v>
      </c>
      <c r="B1085" s="6" t="s">
        <v>353</v>
      </c>
      <c r="C1085" s="7">
        <v>200541</v>
      </c>
      <c r="D1085" s="8">
        <v>33693.599999999999</v>
      </c>
      <c r="E1085" s="9" t="s">
        <v>7</v>
      </c>
      <c r="F1085" s="23">
        <v>15</v>
      </c>
      <c r="G1085" s="25"/>
      <c r="H1085" s="14">
        <f t="shared" si="1051"/>
        <v>0.55000000000000004</v>
      </c>
      <c r="I1085" s="25">
        <f ca="1">IFERROR(__xludf.DUMMYFUNCTION("ROUND(D1085*GOOGLEFINANCE(""RUBKZT"")*H1085)"),144611)</f>
        <v>144611</v>
      </c>
      <c r="J1085" s="26">
        <f ca="1">IFERROR(__xludf.DUMMYFUNCTION("ROUND(I1085*GOOGLEFINANCE(""KZTEUR""))"),303)</f>
        <v>303</v>
      </c>
      <c r="K1085" s="26">
        <f t="shared" ca="1" si="1052"/>
        <v>20200</v>
      </c>
      <c r="L1085" s="26">
        <f t="shared" ca="1" si="1053"/>
        <v>3838</v>
      </c>
      <c r="M1085" s="26">
        <f t="shared" ref="M1085:N1085" si="1119">M$3</f>
        <v>500</v>
      </c>
      <c r="N1085" s="26">
        <f t="shared" si="1119"/>
        <v>500</v>
      </c>
      <c r="O1085" s="26">
        <f ca="1">IFERROR(__xludf.DUMMYFUNCTION("ROUND(GOOGLEFINANCE(""Currency:EURKZT"")*K1085)"),9646906)</f>
        <v>9646906</v>
      </c>
      <c r="P1085" s="26">
        <f ca="1">IFERROR(__xludf.DUMMYFUNCTION("ROUND(GOOGLEFINANCE(""Currency:EURKZT"")*M1085)"),238785)</f>
        <v>238785</v>
      </c>
      <c r="Q1085" s="26">
        <f ca="1">IFERROR(__xludf.DUMMYFUNCTION("ROUND(GOOGLEFINANCE(""Currency:EURKZT"")*N1085)"),238785)</f>
        <v>238785</v>
      </c>
      <c r="R1085" s="26">
        <f t="shared" ca="1" si="1055"/>
        <v>1157629</v>
      </c>
      <c r="S1085" s="26">
        <f t="shared" ca="1" si="1056"/>
        <v>11282105</v>
      </c>
      <c r="T1085" s="26">
        <f ca="1">IFERROR(__xludf.DUMMYFUNCTION("ROUND(GOOGLEFINANCE(""Currency:EURKZT"")*L1085+S1085)"),13115017)</f>
        <v>13115017</v>
      </c>
      <c r="U1085" s="26">
        <f ca="1">IFERROR(__xludf.DUMMYFUNCTION("D1085*GOOGLEFINANCE(""RUBKZT"")*1000/F1085"),17528585.1710764)</f>
        <v>17528585.171076398</v>
      </c>
      <c r="V1085" s="27">
        <f t="shared" ca="1" si="1057"/>
        <v>0.33652782692362493</v>
      </c>
    </row>
    <row r="1086" spans="1:22" ht="12.75" customHeight="1" x14ac:dyDescent="0.2">
      <c r="A1086" s="6" t="s">
        <v>442</v>
      </c>
      <c r="B1086" s="6" t="s">
        <v>353</v>
      </c>
      <c r="C1086" s="7">
        <v>211897</v>
      </c>
      <c r="D1086" s="8">
        <v>7084.8</v>
      </c>
      <c r="E1086" s="9" t="s">
        <v>16</v>
      </c>
      <c r="F1086" s="23">
        <v>15</v>
      </c>
      <c r="G1086" s="25"/>
      <c r="H1086" s="14">
        <f t="shared" si="1051"/>
        <v>0.55000000000000004</v>
      </c>
      <c r="I1086" s="25">
        <f ca="1">IFERROR(__xludf.DUMMYFUNCTION("ROUND(D1086*GOOGLEFINANCE(""RUBKZT"")*H1086)"),30408)</f>
        <v>30408</v>
      </c>
      <c r="J1086" s="26">
        <f ca="1">IFERROR(__xludf.DUMMYFUNCTION("ROUND(I1086*GOOGLEFINANCE(""KZTEUR""))"),64)</f>
        <v>64</v>
      </c>
      <c r="K1086" s="26">
        <f t="shared" ca="1" si="1052"/>
        <v>4267</v>
      </c>
      <c r="L1086" s="26">
        <f t="shared" ca="1" si="1053"/>
        <v>810.73</v>
      </c>
      <c r="M1086" s="26">
        <f t="shared" ref="M1086:N1086" si="1120">M$3</f>
        <v>500</v>
      </c>
      <c r="N1086" s="26">
        <f t="shared" si="1120"/>
        <v>500</v>
      </c>
      <c r="O1086" s="26">
        <f ca="1">IFERROR(__xludf.DUMMYFUNCTION("ROUND(GOOGLEFINANCE(""Currency:EURKZT"")*K1086)"),2037790)</f>
        <v>2037790</v>
      </c>
      <c r="P1086" s="26">
        <f ca="1">IFERROR(__xludf.DUMMYFUNCTION("ROUND(GOOGLEFINANCE(""Currency:EURKZT"")*M1086)"),238785)</f>
        <v>238785</v>
      </c>
      <c r="Q1086" s="26">
        <f ca="1">IFERROR(__xludf.DUMMYFUNCTION("ROUND(GOOGLEFINANCE(""Currency:EURKZT"")*N1086)"),238785)</f>
        <v>238785</v>
      </c>
      <c r="R1086" s="26">
        <f t="shared" ca="1" si="1055"/>
        <v>244535</v>
      </c>
      <c r="S1086" s="26">
        <f t="shared" ca="1" si="1056"/>
        <v>2759895</v>
      </c>
      <c r="T1086" s="26">
        <f ca="1">IFERROR(__xludf.DUMMYFUNCTION("ROUND(GOOGLEFINANCE(""Currency:EURKZT"")*L1086+S1086)"),3147075)</f>
        <v>3147075</v>
      </c>
      <c r="U1086" s="26">
        <f ca="1">IFERROR(__xludf.DUMMYFUNCTION("D1086*GOOGLEFINANCE(""RUBKZT"")*1000/F1086"),3685759.91345664)</f>
        <v>3685759.9134566402</v>
      </c>
      <c r="V1086" s="27">
        <f t="shared" ca="1" si="1057"/>
        <v>0.17117002723374569</v>
      </c>
    </row>
    <row r="1087" spans="1:22" ht="12.75" customHeight="1" x14ac:dyDescent="0.2">
      <c r="A1087" s="6" t="s">
        <v>456</v>
      </c>
      <c r="B1087" s="6" t="s">
        <v>353</v>
      </c>
      <c r="C1087" s="7">
        <v>213660</v>
      </c>
      <c r="D1087" s="8">
        <v>6898.8</v>
      </c>
      <c r="E1087" s="9" t="s">
        <v>16</v>
      </c>
      <c r="F1087" s="23">
        <v>15</v>
      </c>
      <c r="G1087" s="25"/>
      <c r="H1087" s="14">
        <f t="shared" si="1051"/>
        <v>0.55000000000000004</v>
      </c>
      <c r="I1087" s="25">
        <f ca="1">IFERROR(__xludf.DUMMYFUNCTION("ROUND(D1087*GOOGLEFINANCE(""RUBKZT"")*H1087)"),29609)</f>
        <v>29609</v>
      </c>
      <c r="J1087" s="26">
        <f ca="1">IFERROR(__xludf.DUMMYFUNCTION("ROUND(I1087*GOOGLEFINANCE(""KZTEUR""))"),62)</f>
        <v>62</v>
      </c>
      <c r="K1087" s="26">
        <f t="shared" ca="1" si="1052"/>
        <v>4133</v>
      </c>
      <c r="L1087" s="26">
        <f t="shared" ca="1" si="1053"/>
        <v>785.27</v>
      </c>
      <c r="M1087" s="26">
        <f t="shared" ref="M1087:N1087" si="1121">M$3</f>
        <v>500</v>
      </c>
      <c r="N1087" s="26">
        <f t="shared" si="1121"/>
        <v>500</v>
      </c>
      <c r="O1087" s="26">
        <f ca="1">IFERROR(__xludf.DUMMYFUNCTION("ROUND(GOOGLEFINANCE(""Currency:EURKZT"")*K1087)"),1973795)</f>
        <v>1973795</v>
      </c>
      <c r="P1087" s="26">
        <f ca="1">IFERROR(__xludf.DUMMYFUNCTION("ROUND(GOOGLEFINANCE(""Currency:EURKZT"")*M1087)"),238785)</f>
        <v>238785</v>
      </c>
      <c r="Q1087" s="26">
        <f ca="1">IFERROR(__xludf.DUMMYFUNCTION("ROUND(GOOGLEFINANCE(""Currency:EURKZT"")*N1087)"),238785)</f>
        <v>238785</v>
      </c>
      <c r="R1087" s="26">
        <f t="shared" ca="1" si="1055"/>
        <v>236855</v>
      </c>
      <c r="S1087" s="26">
        <f t="shared" ca="1" si="1056"/>
        <v>2688220</v>
      </c>
      <c r="T1087" s="26">
        <f ca="1">IFERROR(__xludf.DUMMYFUNCTION("ROUND(GOOGLEFINANCE(""Currency:EURKZT"")*L1087+S1087)"),3063241)</f>
        <v>3063241</v>
      </c>
      <c r="U1087" s="26">
        <f ca="1">IFERROR(__xludf.DUMMYFUNCTION("D1087*GOOGLEFINANCE(""RUBKZT"")*1000/F1087"),3588996.23009184)</f>
        <v>3588996.23009184</v>
      </c>
      <c r="V1087" s="27">
        <f t="shared" ca="1" si="1057"/>
        <v>0.17163364883528265</v>
      </c>
    </row>
    <row r="1088" spans="1:22" ht="12.75" customHeight="1" x14ac:dyDescent="0.2">
      <c r="A1088" s="6" t="s">
        <v>457</v>
      </c>
      <c r="B1088" s="6" t="s">
        <v>353</v>
      </c>
      <c r="C1088" s="7">
        <v>213668</v>
      </c>
      <c r="D1088" s="8">
        <v>9930</v>
      </c>
      <c r="E1088" s="9" t="s">
        <v>16</v>
      </c>
      <c r="F1088" s="23">
        <v>15</v>
      </c>
      <c r="G1088" s="25"/>
      <c r="H1088" s="14">
        <f t="shared" si="1051"/>
        <v>0.55000000000000004</v>
      </c>
      <c r="I1088" s="25">
        <f ca="1">IFERROR(__xludf.DUMMYFUNCTION("ROUND(D1088*GOOGLEFINANCE(""RUBKZT"")*H1088)"),42619)</f>
        <v>42619</v>
      </c>
      <c r="J1088" s="26">
        <f ca="1">IFERROR(__xludf.DUMMYFUNCTION("ROUND(I1088*GOOGLEFINANCE(""KZTEUR""))"),89)</f>
        <v>89</v>
      </c>
      <c r="K1088" s="26">
        <f t="shared" ca="1" si="1052"/>
        <v>5933</v>
      </c>
      <c r="L1088" s="26">
        <f t="shared" ca="1" si="1053"/>
        <v>1127.27</v>
      </c>
      <c r="M1088" s="26">
        <f t="shared" ref="M1088:N1088" si="1122">M$3</f>
        <v>500</v>
      </c>
      <c r="N1088" s="26">
        <f t="shared" si="1122"/>
        <v>500</v>
      </c>
      <c r="O1088" s="26">
        <f ca="1">IFERROR(__xludf.DUMMYFUNCTION("ROUND(GOOGLEFINANCE(""Currency:EURKZT"")*K1088)"),2833421)</f>
        <v>2833421</v>
      </c>
      <c r="P1088" s="26">
        <f ca="1">IFERROR(__xludf.DUMMYFUNCTION("ROUND(GOOGLEFINANCE(""Currency:EURKZT"")*M1088)"),238785)</f>
        <v>238785</v>
      </c>
      <c r="Q1088" s="26">
        <f ca="1">IFERROR(__xludf.DUMMYFUNCTION("ROUND(GOOGLEFINANCE(""Currency:EURKZT"")*N1088)"),238785)</f>
        <v>238785</v>
      </c>
      <c r="R1088" s="26">
        <f t="shared" ca="1" si="1055"/>
        <v>340011</v>
      </c>
      <c r="S1088" s="26">
        <f t="shared" ca="1" si="1056"/>
        <v>3651002</v>
      </c>
      <c r="T1088" s="26">
        <f ca="1">IFERROR(__xludf.DUMMYFUNCTION("ROUND(GOOGLEFINANCE(""Currency:EURKZT"")*L1088+S1088)"),4189352)</f>
        <v>4189352</v>
      </c>
      <c r="U1088" s="26">
        <f ca="1">IFERROR(__xludf.DUMMYFUNCTION("D1088*GOOGLEFINANCE(""RUBKZT"")*1000/F1088"),5165932.128024)</f>
        <v>5165932.1280239997</v>
      </c>
      <c r="V1088" s="27">
        <f t="shared" ca="1" si="1057"/>
        <v>0.23311006762477818</v>
      </c>
    </row>
    <row r="1089" spans="1:22" ht="12.75" customHeight="1" x14ac:dyDescent="0.2">
      <c r="A1089" s="6" t="s">
        <v>458</v>
      </c>
      <c r="B1089" s="6" t="s">
        <v>353</v>
      </c>
      <c r="C1089" s="7">
        <v>213669</v>
      </c>
      <c r="D1089" s="8">
        <v>7402.7999999999993</v>
      </c>
      <c r="E1089" s="9" t="s">
        <v>16</v>
      </c>
      <c r="F1089" s="23">
        <v>15</v>
      </c>
      <c r="G1089" s="25"/>
      <c r="H1089" s="14">
        <f t="shared" si="1051"/>
        <v>0.55000000000000004</v>
      </c>
      <c r="I1089" s="25">
        <f ca="1">IFERROR(__xludf.DUMMYFUNCTION("ROUND(D1089*GOOGLEFINANCE(""RUBKZT"")*H1089)"),31772)</f>
        <v>31772</v>
      </c>
      <c r="J1089" s="26">
        <f ca="1">IFERROR(__xludf.DUMMYFUNCTION("ROUND(I1089*GOOGLEFINANCE(""KZTEUR""))"),67)</f>
        <v>67</v>
      </c>
      <c r="K1089" s="26">
        <f t="shared" ca="1" si="1052"/>
        <v>4467</v>
      </c>
      <c r="L1089" s="26">
        <f t="shared" ca="1" si="1053"/>
        <v>848.73</v>
      </c>
      <c r="M1089" s="26">
        <f t="shared" ref="M1089:N1089" si="1123">M$3</f>
        <v>500</v>
      </c>
      <c r="N1089" s="26">
        <f t="shared" si="1123"/>
        <v>500</v>
      </c>
      <c r="O1089" s="26">
        <f ca="1">IFERROR(__xludf.DUMMYFUNCTION("ROUND(GOOGLEFINANCE(""Currency:EURKZT"")*K1089)"),2133303)</f>
        <v>2133303</v>
      </c>
      <c r="P1089" s="26">
        <f ca="1">IFERROR(__xludf.DUMMYFUNCTION("ROUND(GOOGLEFINANCE(""Currency:EURKZT"")*M1089)"),238785)</f>
        <v>238785</v>
      </c>
      <c r="Q1089" s="26">
        <f ca="1">IFERROR(__xludf.DUMMYFUNCTION("ROUND(GOOGLEFINANCE(""Currency:EURKZT"")*N1089)"),238785)</f>
        <v>238785</v>
      </c>
      <c r="R1089" s="26">
        <f t="shared" ca="1" si="1055"/>
        <v>255996</v>
      </c>
      <c r="S1089" s="26">
        <f t="shared" ca="1" si="1056"/>
        <v>2866869</v>
      </c>
      <c r="T1089" s="26">
        <f ca="1">IFERROR(__xludf.DUMMYFUNCTION("ROUND(GOOGLEFINANCE(""Currency:EURKZT"")*L1089+S1089)"),3272197)</f>
        <v>3272197</v>
      </c>
      <c r="U1089" s="26">
        <f ca="1">IFERROR(__xludf.DUMMYFUNCTION("D1089*GOOGLEFINANCE(""RUBKZT"")*1000/F1089"),3851194.59791904)</f>
        <v>3851194.5979190399</v>
      </c>
      <c r="V1089" s="27">
        <f t="shared" ca="1" si="1057"/>
        <v>0.17694460263823966</v>
      </c>
    </row>
    <row r="1090" spans="1:22" ht="12.75" customHeight="1" x14ac:dyDescent="0.2">
      <c r="A1090" s="6" t="s">
        <v>459</v>
      </c>
      <c r="B1090" s="6" t="s">
        <v>353</v>
      </c>
      <c r="C1090" s="7">
        <v>213670</v>
      </c>
      <c r="D1090" s="8">
        <v>8774.4</v>
      </c>
      <c r="E1090" s="9" t="s">
        <v>16</v>
      </c>
      <c r="F1090" s="23">
        <v>15</v>
      </c>
      <c r="G1090" s="25"/>
      <c r="H1090" s="14">
        <f t="shared" si="1051"/>
        <v>0.55000000000000004</v>
      </c>
      <c r="I1090" s="25">
        <f ca="1">IFERROR(__xludf.DUMMYFUNCTION("ROUND(D1090*GOOGLEFINANCE(""RUBKZT"")*H1090)"),37659)</f>
        <v>37659</v>
      </c>
      <c r="J1090" s="26">
        <f ca="1">IFERROR(__xludf.DUMMYFUNCTION("ROUND(I1090*GOOGLEFINANCE(""KZTEUR""))"),79)</f>
        <v>79</v>
      </c>
      <c r="K1090" s="26">
        <f t="shared" ca="1" si="1052"/>
        <v>5267</v>
      </c>
      <c r="L1090" s="26">
        <f t="shared" ca="1" si="1053"/>
        <v>1000.73</v>
      </c>
      <c r="M1090" s="26">
        <f t="shared" ref="M1090:N1090" si="1124">M$3</f>
        <v>500</v>
      </c>
      <c r="N1090" s="26">
        <f t="shared" si="1124"/>
        <v>500</v>
      </c>
      <c r="O1090" s="26">
        <f ca="1">IFERROR(__xludf.DUMMYFUNCTION("ROUND(GOOGLEFINANCE(""Currency:EURKZT"")*K1090)"),2515359)</f>
        <v>2515359</v>
      </c>
      <c r="P1090" s="26">
        <f ca="1">IFERROR(__xludf.DUMMYFUNCTION("ROUND(GOOGLEFINANCE(""Currency:EURKZT"")*M1090)"),238785)</f>
        <v>238785</v>
      </c>
      <c r="Q1090" s="26">
        <f ca="1">IFERROR(__xludf.DUMMYFUNCTION("ROUND(GOOGLEFINANCE(""Currency:EURKZT"")*N1090)"),238785)</f>
        <v>238785</v>
      </c>
      <c r="R1090" s="26">
        <f t="shared" ca="1" si="1055"/>
        <v>301843</v>
      </c>
      <c r="S1090" s="26">
        <f t="shared" ca="1" si="1056"/>
        <v>3294772</v>
      </c>
      <c r="T1090" s="26">
        <f ca="1">IFERROR(__xludf.DUMMYFUNCTION("ROUND(GOOGLEFINANCE(""Currency:EURKZT"")*L1090+S1090)"),3772690)</f>
        <v>3772690</v>
      </c>
      <c r="U1090" s="26">
        <f ca="1">IFERROR(__xludf.DUMMYFUNCTION("D1090*GOOGLEFINANCE(""RUBKZT"")*1000/F1090"),4564748.72750592)</f>
        <v>4564748.7275059205</v>
      </c>
      <c r="V1090" s="27">
        <f t="shared" ca="1" si="1057"/>
        <v>0.20994535132913664</v>
      </c>
    </row>
    <row r="1091" spans="1:22" ht="12.75" customHeight="1" x14ac:dyDescent="0.2">
      <c r="A1091" s="6" t="s">
        <v>464</v>
      </c>
      <c r="B1091" s="6" t="s">
        <v>353</v>
      </c>
      <c r="C1091" s="7">
        <v>213676</v>
      </c>
      <c r="D1091" s="8">
        <v>7315.2</v>
      </c>
      <c r="E1091" s="9" t="s">
        <v>16</v>
      </c>
      <c r="F1091" s="23">
        <v>15</v>
      </c>
      <c r="G1091" s="25"/>
      <c r="H1091" s="14">
        <f t="shared" si="1051"/>
        <v>0.55000000000000004</v>
      </c>
      <c r="I1091" s="25">
        <f ca="1">IFERROR(__xludf.DUMMYFUNCTION("ROUND(D1091*GOOGLEFINANCE(""RUBKZT"")*H1091)"),31396)</f>
        <v>31396</v>
      </c>
      <c r="J1091" s="26">
        <f ca="1">IFERROR(__xludf.DUMMYFUNCTION("ROUND(I1091*GOOGLEFINANCE(""KZTEUR""))"),66)</f>
        <v>66</v>
      </c>
      <c r="K1091" s="26">
        <f t="shared" ca="1" si="1052"/>
        <v>4400</v>
      </c>
      <c r="L1091" s="26">
        <f t="shared" ca="1" si="1053"/>
        <v>836</v>
      </c>
      <c r="M1091" s="26">
        <f t="shared" ref="M1091:N1091" si="1125">M$3</f>
        <v>500</v>
      </c>
      <c r="N1091" s="26">
        <f t="shared" si="1125"/>
        <v>500</v>
      </c>
      <c r="O1091" s="26">
        <f ca="1">IFERROR(__xludf.DUMMYFUNCTION("ROUND(GOOGLEFINANCE(""Currency:EURKZT"")*K1091)"),2101306)</f>
        <v>2101306</v>
      </c>
      <c r="P1091" s="26">
        <f ca="1">IFERROR(__xludf.DUMMYFUNCTION("ROUND(GOOGLEFINANCE(""Currency:EURKZT"")*M1091)"),238785)</f>
        <v>238785</v>
      </c>
      <c r="Q1091" s="26">
        <f ca="1">IFERROR(__xludf.DUMMYFUNCTION("ROUND(GOOGLEFINANCE(""Currency:EURKZT"")*N1091)"),238785)</f>
        <v>238785</v>
      </c>
      <c r="R1091" s="26">
        <f t="shared" ca="1" si="1055"/>
        <v>252157</v>
      </c>
      <c r="S1091" s="26">
        <f t="shared" ca="1" si="1056"/>
        <v>2831033</v>
      </c>
      <c r="T1091" s="26">
        <f ca="1">IFERROR(__xludf.DUMMYFUNCTION("ROUND(GOOGLEFINANCE(""Currency:EURKZT"")*L1091+S1091)"),3230281)</f>
        <v>3230281</v>
      </c>
      <c r="U1091" s="26">
        <f ca="1">IFERROR(__xludf.DUMMYFUNCTION("D1091*GOOGLEFINANCE(""RUBKZT"")*1000/F1091"),3805622.02446336)</f>
        <v>3805622.0244633602</v>
      </c>
      <c r="V1091" s="27">
        <f t="shared" ca="1" si="1057"/>
        <v>0.17810866127849564</v>
      </c>
    </row>
    <row r="1092" spans="1:22" ht="12.75" customHeight="1" x14ac:dyDescent="0.2">
      <c r="A1092" s="6" t="s">
        <v>462</v>
      </c>
      <c r="B1092" s="6" t="s">
        <v>353</v>
      </c>
      <c r="C1092" s="7">
        <v>213677</v>
      </c>
      <c r="D1092" s="8">
        <v>6957.5999999999995</v>
      </c>
      <c r="E1092" s="9" t="s">
        <v>16</v>
      </c>
      <c r="F1092" s="23">
        <v>15</v>
      </c>
      <c r="G1092" s="25"/>
      <c r="H1092" s="14">
        <f t="shared" si="1051"/>
        <v>0.55000000000000004</v>
      </c>
      <c r="I1092" s="25">
        <f ca="1">IFERROR(__xludf.DUMMYFUNCTION("ROUND(D1092*GOOGLEFINANCE(""RUBKZT"")*H1092)"),29862)</f>
        <v>29862</v>
      </c>
      <c r="J1092" s="26">
        <f ca="1">IFERROR(__xludf.DUMMYFUNCTION("ROUND(I1092*GOOGLEFINANCE(""KZTEUR""))"),63)</f>
        <v>63</v>
      </c>
      <c r="K1092" s="26">
        <f t="shared" ca="1" si="1052"/>
        <v>4200</v>
      </c>
      <c r="L1092" s="26">
        <f t="shared" ca="1" si="1053"/>
        <v>798</v>
      </c>
      <c r="M1092" s="26">
        <f t="shared" ref="M1092:N1092" si="1126">M$3</f>
        <v>500</v>
      </c>
      <c r="N1092" s="26">
        <f t="shared" si="1126"/>
        <v>500</v>
      </c>
      <c r="O1092" s="26">
        <f ca="1">IFERROR(__xludf.DUMMYFUNCTION("ROUND(GOOGLEFINANCE(""Currency:EURKZT"")*K1092)"),2005792)</f>
        <v>2005792</v>
      </c>
      <c r="P1092" s="26">
        <f ca="1">IFERROR(__xludf.DUMMYFUNCTION("ROUND(GOOGLEFINANCE(""Currency:EURKZT"")*M1092)"),238785)</f>
        <v>238785</v>
      </c>
      <c r="Q1092" s="26">
        <f ca="1">IFERROR(__xludf.DUMMYFUNCTION("ROUND(GOOGLEFINANCE(""Currency:EURKZT"")*N1092)"),238785)</f>
        <v>238785</v>
      </c>
      <c r="R1092" s="26">
        <f t="shared" ca="1" si="1055"/>
        <v>240695</v>
      </c>
      <c r="S1092" s="26">
        <f t="shared" ca="1" si="1056"/>
        <v>2724057</v>
      </c>
      <c r="T1092" s="26">
        <f ca="1">IFERROR(__xludf.DUMMYFUNCTION("ROUND(GOOGLEFINANCE(""Currency:EURKZT"")*L1092+S1092)"),3105158)</f>
        <v>3105158</v>
      </c>
      <c r="U1092" s="26">
        <f ca="1">IFERROR(__xludf.DUMMYFUNCTION("D1092*GOOGLEFINANCE(""RUBKZT"")*1000/F1092"),3619586.03967168)</f>
        <v>3619586.03967168</v>
      </c>
      <c r="V1092" s="27">
        <f t="shared" ca="1" si="1057"/>
        <v>0.1656688772911652</v>
      </c>
    </row>
    <row r="1093" spans="1:22" ht="12.75" customHeight="1" x14ac:dyDescent="0.2">
      <c r="A1093" s="6" t="s">
        <v>463</v>
      </c>
      <c r="B1093" s="6" t="s">
        <v>353</v>
      </c>
      <c r="C1093" s="7">
        <v>213678</v>
      </c>
      <c r="D1093" s="8">
        <v>9601.1999999999989</v>
      </c>
      <c r="E1093" s="9" t="s">
        <v>16</v>
      </c>
      <c r="F1093" s="23">
        <v>15</v>
      </c>
      <c r="G1093" s="25"/>
      <c r="H1093" s="14">
        <f t="shared" si="1051"/>
        <v>0.55000000000000004</v>
      </c>
      <c r="I1093" s="25">
        <f ca="1">IFERROR(__xludf.DUMMYFUNCTION("ROUND(D1093*GOOGLEFINANCE(""RUBKZT"")*H1093)"),41208)</f>
        <v>41208</v>
      </c>
      <c r="J1093" s="26">
        <f ca="1">IFERROR(__xludf.DUMMYFUNCTION("ROUND(I1093*GOOGLEFINANCE(""KZTEUR""))"),86)</f>
        <v>86</v>
      </c>
      <c r="K1093" s="26">
        <f t="shared" ca="1" si="1052"/>
        <v>5733</v>
      </c>
      <c r="L1093" s="26">
        <f t="shared" ca="1" si="1053"/>
        <v>1089.27</v>
      </c>
      <c r="M1093" s="26">
        <f t="shared" ref="M1093:N1093" si="1127">M$3</f>
        <v>500</v>
      </c>
      <c r="N1093" s="26">
        <f t="shared" si="1127"/>
        <v>500</v>
      </c>
      <c r="O1093" s="26">
        <f ca="1">IFERROR(__xludf.DUMMYFUNCTION("ROUND(GOOGLEFINANCE(""Currency:EURKZT"")*K1093)"),2737907)</f>
        <v>2737907</v>
      </c>
      <c r="P1093" s="26">
        <f ca="1">IFERROR(__xludf.DUMMYFUNCTION("ROUND(GOOGLEFINANCE(""Currency:EURKZT"")*M1093)"),238785)</f>
        <v>238785</v>
      </c>
      <c r="Q1093" s="26">
        <f ca="1">IFERROR(__xludf.DUMMYFUNCTION("ROUND(GOOGLEFINANCE(""Currency:EURKZT"")*N1093)"),238785)</f>
        <v>238785</v>
      </c>
      <c r="R1093" s="26">
        <f t="shared" ca="1" si="1055"/>
        <v>328549</v>
      </c>
      <c r="S1093" s="26">
        <f t="shared" ca="1" si="1056"/>
        <v>3544026</v>
      </c>
      <c r="T1093" s="26">
        <f ca="1">IFERROR(__xludf.DUMMYFUNCTION("ROUND(GOOGLEFINANCE(""Currency:EURKZT"")*L1093+S1093)"),4064228)</f>
        <v>4064228</v>
      </c>
      <c r="U1093" s="26">
        <f ca="1">IFERROR(__xludf.DUMMYFUNCTION("D1093*GOOGLEFINANCE(""RUBKZT"")*1000/F1093"),4994878.90710816)</f>
        <v>4994878.9071081597</v>
      </c>
      <c r="V1093" s="27">
        <f t="shared" ca="1" si="1057"/>
        <v>0.22898590017788364</v>
      </c>
    </row>
    <row r="1094" spans="1:22" ht="12.75" customHeight="1" x14ac:dyDescent="0.2">
      <c r="A1094" s="6" t="s">
        <v>465</v>
      </c>
      <c r="B1094" s="6" t="s">
        <v>353</v>
      </c>
      <c r="C1094" s="7">
        <v>213679</v>
      </c>
      <c r="D1094" s="8">
        <v>8134.7999999999993</v>
      </c>
      <c r="E1094" s="9" t="s">
        <v>16</v>
      </c>
      <c r="F1094" s="23">
        <v>15</v>
      </c>
      <c r="G1094" s="25"/>
      <c r="H1094" s="14">
        <f t="shared" si="1051"/>
        <v>0.55000000000000004</v>
      </c>
      <c r="I1094" s="25">
        <f ca="1">IFERROR(__xludf.DUMMYFUNCTION("ROUND(D1094*GOOGLEFINANCE(""RUBKZT"")*H1094)"),34914)</f>
        <v>34914</v>
      </c>
      <c r="J1094" s="26">
        <f ca="1">IFERROR(__xludf.DUMMYFUNCTION("ROUND(I1094*GOOGLEFINANCE(""KZTEUR""))"),73)</f>
        <v>73</v>
      </c>
      <c r="K1094" s="26">
        <f t="shared" ca="1" si="1052"/>
        <v>4867</v>
      </c>
      <c r="L1094" s="26">
        <f t="shared" ca="1" si="1053"/>
        <v>924.73</v>
      </c>
      <c r="M1094" s="26">
        <f t="shared" ref="M1094:N1094" si="1128">M$3</f>
        <v>500</v>
      </c>
      <c r="N1094" s="26">
        <f t="shared" si="1128"/>
        <v>500</v>
      </c>
      <c r="O1094" s="26">
        <f ca="1">IFERROR(__xludf.DUMMYFUNCTION("ROUND(GOOGLEFINANCE(""Currency:EURKZT"")*K1094)"),2324331)</f>
        <v>2324331</v>
      </c>
      <c r="P1094" s="26">
        <f ca="1">IFERROR(__xludf.DUMMYFUNCTION("ROUND(GOOGLEFINANCE(""Currency:EURKZT"")*M1094)"),238785)</f>
        <v>238785</v>
      </c>
      <c r="Q1094" s="26">
        <f ca="1">IFERROR(__xludf.DUMMYFUNCTION("ROUND(GOOGLEFINANCE(""Currency:EURKZT"")*N1094)"),238785)</f>
        <v>238785</v>
      </c>
      <c r="R1094" s="26">
        <f t="shared" ca="1" si="1055"/>
        <v>278920</v>
      </c>
      <c r="S1094" s="26">
        <f t="shared" ca="1" si="1056"/>
        <v>3080821</v>
      </c>
      <c r="T1094" s="26">
        <f ca="1">IFERROR(__xludf.DUMMYFUNCTION("ROUND(GOOGLEFINANCE(""Currency:EURKZT"")*L1094+S1094)"),3522444)</f>
        <v>3522444</v>
      </c>
      <c r="U1094" s="26">
        <f ca="1">IFERROR(__xludf.DUMMYFUNCTION("D1094*GOOGLEFINANCE(""RUBKZT"")*1000/F1094"),4232006.51309664)</f>
        <v>4232006.5130966399</v>
      </c>
      <c r="V1094" s="27">
        <f t="shared" ca="1" si="1057"/>
        <v>0.20144039567318597</v>
      </c>
    </row>
    <row r="1095" spans="1:22" ht="12.75" customHeight="1" x14ac:dyDescent="0.2">
      <c r="A1095" s="6" t="s">
        <v>466</v>
      </c>
      <c r="B1095" s="6" t="s">
        <v>353</v>
      </c>
      <c r="C1095" s="7">
        <v>213680</v>
      </c>
      <c r="D1095" s="8">
        <v>7867.2</v>
      </c>
      <c r="E1095" s="9" t="s">
        <v>16</v>
      </c>
      <c r="F1095" s="23">
        <v>15</v>
      </c>
      <c r="G1095" s="25"/>
      <c r="H1095" s="14">
        <f t="shared" si="1051"/>
        <v>0.55000000000000004</v>
      </c>
      <c r="I1095" s="25">
        <f ca="1">IFERROR(__xludf.DUMMYFUNCTION("ROUND(D1095*GOOGLEFINANCE(""RUBKZT"")*H1095)"),33766)</f>
        <v>33766</v>
      </c>
      <c r="J1095" s="26">
        <f ca="1">IFERROR(__xludf.DUMMYFUNCTION("ROUND(I1095*GOOGLEFINANCE(""KZTEUR""))"),71)</f>
        <v>71</v>
      </c>
      <c r="K1095" s="26">
        <f t="shared" ca="1" si="1052"/>
        <v>4733</v>
      </c>
      <c r="L1095" s="26">
        <f t="shared" ca="1" si="1053"/>
        <v>899.27</v>
      </c>
      <c r="M1095" s="26">
        <f t="shared" ref="M1095:N1095" si="1129">M$3</f>
        <v>500</v>
      </c>
      <c r="N1095" s="26">
        <f t="shared" si="1129"/>
        <v>500</v>
      </c>
      <c r="O1095" s="26">
        <f ca="1">IFERROR(__xludf.DUMMYFUNCTION("ROUND(GOOGLEFINANCE(""Currency:EURKZT"")*K1095)"),2260337)</f>
        <v>2260337</v>
      </c>
      <c r="P1095" s="26">
        <f ca="1">IFERROR(__xludf.DUMMYFUNCTION("ROUND(GOOGLEFINANCE(""Currency:EURKZT"")*M1095)"),238785)</f>
        <v>238785</v>
      </c>
      <c r="Q1095" s="26">
        <f ca="1">IFERROR(__xludf.DUMMYFUNCTION("ROUND(GOOGLEFINANCE(""Currency:EURKZT"")*N1095)"),238785)</f>
        <v>238785</v>
      </c>
      <c r="R1095" s="26">
        <f t="shared" ca="1" si="1055"/>
        <v>271240</v>
      </c>
      <c r="S1095" s="26">
        <f t="shared" ca="1" si="1056"/>
        <v>3009147</v>
      </c>
      <c r="T1095" s="26">
        <f ca="1">IFERROR(__xludf.DUMMYFUNCTION("ROUND(GOOGLEFINANCE(""Currency:EURKZT"")*L1095+S1095)"),3438611)</f>
        <v>3438611</v>
      </c>
      <c r="U1095" s="26">
        <f ca="1">IFERROR(__xludf.DUMMYFUNCTION("D1095*GOOGLEFINANCE(""RUBKZT"")*1000/F1095"),4092791.66541696)</f>
        <v>4092791.6654169601</v>
      </c>
      <c r="V1095" s="27">
        <f t="shared" ca="1" si="1057"/>
        <v>0.19024561528389228</v>
      </c>
    </row>
    <row r="1096" spans="1:22" ht="12.75" customHeight="1" x14ac:dyDescent="0.2">
      <c r="A1096" s="6" t="s">
        <v>467</v>
      </c>
      <c r="B1096" s="6" t="s">
        <v>353</v>
      </c>
      <c r="C1096" s="7">
        <v>213681</v>
      </c>
      <c r="D1096" s="8">
        <v>10189.199999999999</v>
      </c>
      <c r="E1096" s="9" t="s">
        <v>16</v>
      </c>
      <c r="F1096" s="23">
        <v>15</v>
      </c>
      <c r="G1096" s="25"/>
      <c r="H1096" s="14">
        <f t="shared" si="1051"/>
        <v>0.55000000000000004</v>
      </c>
      <c r="I1096" s="25">
        <f ca="1">IFERROR(__xludf.DUMMYFUNCTION("ROUND(D1096*GOOGLEFINANCE(""RUBKZT"")*H1096)"),43731)</f>
        <v>43731</v>
      </c>
      <c r="J1096" s="26">
        <f ca="1">IFERROR(__xludf.DUMMYFUNCTION("ROUND(I1096*GOOGLEFINANCE(""KZTEUR""))"),92)</f>
        <v>92</v>
      </c>
      <c r="K1096" s="26">
        <f t="shared" ca="1" si="1052"/>
        <v>6133</v>
      </c>
      <c r="L1096" s="26">
        <f t="shared" ca="1" si="1053"/>
        <v>1165.27</v>
      </c>
      <c r="M1096" s="26">
        <f t="shared" ref="M1096:N1096" si="1130">M$3</f>
        <v>500</v>
      </c>
      <c r="N1096" s="26">
        <f t="shared" si="1130"/>
        <v>500</v>
      </c>
      <c r="O1096" s="26">
        <f ca="1">IFERROR(__xludf.DUMMYFUNCTION("ROUND(GOOGLEFINANCE(""Currency:EURKZT"")*K1096)"),2928934)</f>
        <v>2928934</v>
      </c>
      <c r="P1096" s="26">
        <f ca="1">IFERROR(__xludf.DUMMYFUNCTION("ROUND(GOOGLEFINANCE(""Currency:EURKZT"")*M1096)"),238785)</f>
        <v>238785</v>
      </c>
      <c r="Q1096" s="26">
        <f ca="1">IFERROR(__xludf.DUMMYFUNCTION("ROUND(GOOGLEFINANCE(""Currency:EURKZT"")*N1096)"),238785)</f>
        <v>238785</v>
      </c>
      <c r="R1096" s="26">
        <f t="shared" ca="1" si="1055"/>
        <v>351472</v>
      </c>
      <c r="S1096" s="26">
        <f t="shared" ca="1" si="1056"/>
        <v>3757976</v>
      </c>
      <c r="T1096" s="26">
        <f ca="1">IFERROR(__xludf.DUMMYFUNCTION("ROUND(GOOGLEFINANCE(""Currency:EURKZT"")*L1096+S1096)"),4314474)</f>
        <v>4314474</v>
      </c>
      <c r="U1096" s="26">
        <f ca="1">IFERROR(__xludf.DUMMYFUNCTION("D1096*GOOGLEFINANCE(""RUBKZT"")*1000/F1096"),5300777.00290656)</f>
        <v>5300777.00290656</v>
      </c>
      <c r="V1096" s="27">
        <f t="shared" ca="1" si="1057"/>
        <v>0.2286033020262864</v>
      </c>
    </row>
    <row r="1097" spans="1:22" ht="12.75" customHeight="1" x14ac:dyDescent="0.2">
      <c r="A1097" s="6" t="s">
        <v>468</v>
      </c>
      <c r="B1097" s="6" t="s">
        <v>353</v>
      </c>
      <c r="C1097" s="7">
        <v>213682</v>
      </c>
      <c r="D1097" s="8">
        <v>10048.799999999999</v>
      </c>
      <c r="E1097" s="9" t="s">
        <v>16</v>
      </c>
      <c r="F1097" s="23">
        <v>15</v>
      </c>
      <c r="G1097" s="25"/>
      <c r="H1097" s="14">
        <f t="shared" si="1051"/>
        <v>0.55000000000000004</v>
      </c>
      <c r="I1097" s="25">
        <f ca="1">IFERROR(__xludf.DUMMYFUNCTION("ROUND(D1097*GOOGLEFINANCE(""RUBKZT"")*H1097)"),43129)</f>
        <v>43129</v>
      </c>
      <c r="J1097" s="26">
        <f ca="1">IFERROR(__xludf.DUMMYFUNCTION("ROUND(I1097*GOOGLEFINANCE(""KZTEUR""))"),90)</f>
        <v>90</v>
      </c>
      <c r="K1097" s="26">
        <f t="shared" ca="1" si="1052"/>
        <v>6000</v>
      </c>
      <c r="L1097" s="26">
        <f t="shared" ca="1" si="1053"/>
        <v>1140</v>
      </c>
      <c r="M1097" s="26">
        <f t="shared" ref="M1097:N1097" si="1131">M$3</f>
        <v>500</v>
      </c>
      <c r="N1097" s="26">
        <f t="shared" si="1131"/>
        <v>500</v>
      </c>
      <c r="O1097" s="26">
        <f ca="1">IFERROR(__xludf.DUMMYFUNCTION("ROUND(GOOGLEFINANCE(""Currency:EURKZT"")*K1097)"),2865418)</f>
        <v>2865418</v>
      </c>
      <c r="P1097" s="26">
        <f ca="1">IFERROR(__xludf.DUMMYFUNCTION("ROUND(GOOGLEFINANCE(""Currency:EURKZT"")*M1097)"),238785)</f>
        <v>238785</v>
      </c>
      <c r="Q1097" s="26">
        <f ca="1">IFERROR(__xludf.DUMMYFUNCTION("ROUND(GOOGLEFINANCE(""Currency:EURKZT"")*N1097)"),238785)</f>
        <v>238785</v>
      </c>
      <c r="R1097" s="26">
        <f t="shared" ca="1" si="1055"/>
        <v>343850</v>
      </c>
      <c r="S1097" s="26">
        <f t="shared" ca="1" si="1056"/>
        <v>3686838</v>
      </c>
      <c r="T1097" s="26">
        <f ca="1">IFERROR(__xludf.DUMMYFUNCTION("ROUND(GOOGLEFINANCE(""Currency:EURKZT"")*L1097+S1097)"),4231267)</f>
        <v>4231267</v>
      </c>
      <c r="U1097" s="26">
        <f ca="1">IFERROR(__xludf.DUMMYFUNCTION("D1097*GOOGLEFINANCE(""RUBKZT"")*1000/F1097"),5227736.02901184)</f>
        <v>5227736.02901184</v>
      </c>
      <c r="V1097" s="27">
        <f t="shared" ca="1" si="1057"/>
        <v>0.23550133541840776</v>
      </c>
    </row>
    <row r="1098" spans="1:22" ht="12.75" customHeight="1" x14ac:dyDescent="0.2">
      <c r="A1098" s="6" t="s">
        <v>469</v>
      </c>
      <c r="B1098" s="6" t="s">
        <v>353</v>
      </c>
      <c r="C1098" s="7">
        <v>213683</v>
      </c>
      <c r="D1098" s="8">
        <v>9980.4</v>
      </c>
      <c r="E1098" s="9" t="s">
        <v>16</v>
      </c>
      <c r="F1098" s="23">
        <v>15</v>
      </c>
      <c r="G1098" s="25"/>
      <c r="H1098" s="14">
        <f t="shared" si="1051"/>
        <v>0.55000000000000004</v>
      </c>
      <c r="I1098" s="25">
        <f ca="1">IFERROR(__xludf.DUMMYFUNCTION("ROUND(D1098*GOOGLEFINANCE(""RUBKZT"")*H1098)"),42835)</f>
        <v>42835</v>
      </c>
      <c r="J1098" s="26">
        <f ca="1">IFERROR(__xludf.DUMMYFUNCTION("ROUND(I1098*GOOGLEFINANCE(""KZTEUR""))"),90)</f>
        <v>90</v>
      </c>
      <c r="K1098" s="26">
        <f t="shared" ca="1" si="1052"/>
        <v>6000</v>
      </c>
      <c r="L1098" s="26">
        <f t="shared" ca="1" si="1053"/>
        <v>1140</v>
      </c>
      <c r="M1098" s="26">
        <f t="shared" ref="M1098:N1098" si="1132">M$3</f>
        <v>500</v>
      </c>
      <c r="N1098" s="26">
        <f t="shared" si="1132"/>
        <v>500</v>
      </c>
      <c r="O1098" s="26">
        <f ca="1">IFERROR(__xludf.DUMMYFUNCTION("ROUND(GOOGLEFINANCE(""Currency:EURKZT"")*K1098)"),2865418)</f>
        <v>2865418</v>
      </c>
      <c r="P1098" s="26">
        <f ca="1">IFERROR(__xludf.DUMMYFUNCTION("ROUND(GOOGLEFINANCE(""Currency:EURKZT"")*M1098)"),238785)</f>
        <v>238785</v>
      </c>
      <c r="Q1098" s="26">
        <f ca="1">IFERROR(__xludf.DUMMYFUNCTION("ROUND(GOOGLEFINANCE(""Currency:EURKZT"")*N1098)"),238785)</f>
        <v>238785</v>
      </c>
      <c r="R1098" s="26">
        <f t="shared" ca="1" si="1055"/>
        <v>343850</v>
      </c>
      <c r="S1098" s="26">
        <f t="shared" ca="1" si="1056"/>
        <v>3686838</v>
      </c>
      <c r="T1098" s="26">
        <f ca="1">IFERROR(__xludf.DUMMYFUNCTION("ROUND(GOOGLEFINANCE(""Currency:EURKZT"")*L1098+S1098)"),4231267)</f>
        <v>4231267</v>
      </c>
      <c r="U1098" s="26">
        <f ca="1">IFERROR(__xludf.DUMMYFUNCTION("D1098*GOOGLEFINANCE(""RUBKZT"")*1000/F1098"),5192151.96480672)</f>
        <v>5192151.9648067197</v>
      </c>
      <c r="V1098" s="27">
        <f t="shared" ca="1" si="1057"/>
        <v>0.22709154605623319</v>
      </c>
    </row>
    <row r="1099" spans="1:22" ht="12.75" customHeight="1" x14ac:dyDescent="0.2">
      <c r="A1099" s="6" t="s">
        <v>470</v>
      </c>
      <c r="B1099" s="6" t="s">
        <v>353</v>
      </c>
      <c r="C1099" s="7">
        <v>213686</v>
      </c>
      <c r="D1099" s="8">
        <v>11160</v>
      </c>
      <c r="E1099" s="9" t="s">
        <v>16</v>
      </c>
      <c r="F1099" s="23">
        <v>15</v>
      </c>
      <c r="G1099" s="25"/>
      <c r="H1099" s="14">
        <f t="shared" si="1051"/>
        <v>0.55000000000000004</v>
      </c>
      <c r="I1099" s="25">
        <f ca="1">IFERROR(__xludf.DUMMYFUNCTION("ROUND(D1099*GOOGLEFINANCE(""RUBKZT"")*H1099)"),47898)</f>
        <v>47898</v>
      </c>
      <c r="J1099" s="26">
        <f ca="1">IFERROR(__xludf.DUMMYFUNCTION("ROUND(I1099*GOOGLEFINANCE(""KZTEUR""))"),100)</f>
        <v>100</v>
      </c>
      <c r="K1099" s="26">
        <f t="shared" ca="1" si="1052"/>
        <v>6667</v>
      </c>
      <c r="L1099" s="26">
        <f t="shared" ca="1" si="1053"/>
        <v>1266.73</v>
      </c>
      <c r="M1099" s="26">
        <f t="shared" ref="M1099:N1099" si="1133">M$3</f>
        <v>500</v>
      </c>
      <c r="N1099" s="26">
        <f t="shared" si="1133"/>
        <v>500</v>
      </c>
      <c r="O1099" s="26">
        <f ca="1">IFERROR(__xludf.DUMMYFUNCTION("ROUND(GOOGLEFINANCE(""Currency:EURKZT"")*K1099)"),3183957)</f>
        <v>3183957</v>
      </c>
      <c r="P1099" s="26">
        <f ca="1">IFERROR(__xludf.DUMMYFUNCTION("ROUND(GOOGLEFINANCE(""Currency:EURKZT"")*M1099)"),238785)</f>
        <v>238785</v>
      </c>
      <c r="Q1099" s="26">
        <f ca="1">IFERROR(__xludf.DUMMYFUNCTION("ROUND(GOOGLEFINANCE(""Currency:EURKZT"")*N1099)"),238785)</f>
        <v>238785</v>
      </c>
      <c r="R1099" s="26">
        <f t="shared" ca="1" si="1055"/>
        <v>382075</v>
      </c>
      <c r="S1099" s="26">
        <f t="shared" ca="1" si="1056"/>
        <v>4043602</v>
      </c>
      <c r="T1099" s="26">
        <f ca="1">IFERROR(__xludf.DUMMYFUNCTION("ROUND(GOOGLEFINANCE(""Currency:EURKZT"")*L1099+S1099)"),4648554)</f>
        <v>4648554</v>
      </c>
      <c r="U1099" s="26">
        <f ca="1">IFERROR(__xludf.DUMMYFUNCTION("D1099*GOOGLEFINANCE(""RUBKZT"")*1000/F1099"),5805821.001888)</f>
        <v>5805821.0018880004</v>
      </c>
      <c r="V1099" s="27">
        <f t="shared" ca="1" si="1057"/>
        <v>0.24895204011570057</v>
      </c>
    </row>
    <row r="1100" spans="1:22" ht="12.75" customHeight="1" x14ac:dyDescent="0.2">
      <c r="A1100" s="6" t="s">
        <v>472</v>
      </c>
      <c r="B1100" s="6" t="s">
        <v>353</v>
      </c>
      <c r="C1100" s="7">
        <v>213688</v>
      </c>
      <c r="D1100" s="8">
        <v>8823.6</v>
      </c>
      <c r="E1100" s="9" t="s">
        <v>16</v>
      </c>
      <c r="F1100" s="23">
        <v>15</v>
      </c>
      <c r="G1100" s="25"/>
      <c r="H1100" s="14">
        <f t="shared" si="1051"/>
        <v>0.55000000000000004</v>
      </c>
      <c r="I1100" s="25">
        <f ca="1">IFERROR(__xludf.DUMMYFUNCTION("ROUND(D1100*GOOGLEFINANCE(""RUBKZT"")*H1100)"),37870)</f>
        <v>37870</v>
      </c>
      <c r="J1100" s="26">
        <f ca="1">IFERROR(__xludf.DUMMYFUNCTION("ROUND(I1100*GOOGLEFINANCE(""KZTEUR""))"),79)</f>
        <v>79</v>
      </c>
      <c r="K1100" s="26">
        <f t="shared" ca="1" si="1052"/>
        <v>5267</v>
      </c>
      <c r="L1100" s="26">
        <f t="shared" ca="1" si="1053"/>
        <v>1000.73</v>
      </c>
      <c r="M1100" s="26">
        <f t="shared" ref="M1100:N1100" si="1134">M$3</f>
        <v>500</v>
      </c>
      <c r="N1100" s="26">
        <f t="shared" si="1134"/>
        <v>500</v>
      </c>
      <c r="O1100" s="26">
        <f ca="1">IFERROR(__xludf.DUMMYFUNCTION("ROUND(GOOGLEFINANCE(""Currency:EURKZT"")*K1100)"),2515359)</f>
        <v>2515359</v>
      </c>
      <c r="P1100" s="26">
        <f ca="1">IFERROR(__xludf.DUMMYFUNCTION("ROUND(GOOGLEFINANCE(""Currency:EURKZT"")*M1100)"),238785)</f>
        <v>238785</v>
      </c>
      <c r="Q1100" s="26">
        <f ca="1">IFERROR(__xludf.DUMMYFUNCTION("ROUND(GOOGLEFINANCE(""Currency:EURKZT"")*N1100)"),238785)</f>
        <v>238785</v>
      </c>
      <c r="R1100" s="26">
        <f t="shared" ca="1" si="1055"/>
        <v>301843</v>
      </c>
      <c r="S1100" s="26">
        <f t="shared" ca="1" si="1056"/>
        <v>3294772</v>
      </c>
      <c r="T1100" s="26">
        <f ca="1">IFERROR(__xludf.DUMMYFUNCTION("ROUND(GOOGLEFINANCE(""Currency:EURKZT"")*L1100+S1100)"),3772690)</f>
        <v>3772690</v>
      </c>
      <c r="U1100" s="26">
        <f ca="1">IFERROR(__xludf.DUMMYFUNCTION("D1100*GOOGLEFINANCE(""RUBKZT"")*1000/F1100"),4590344.28246048)</f>
        <v>4590344.28246048</v>
      </c>
      <c r="V1100" s="27">
        <f t="shared" ca="1" si="1057"/>
        <v>0.21672978231990436</v>
      </c>
    </row>
    <row r="1101" spans="1:22" ht="12.75" customHeight="1" x14ac:dyDescent="0.2">
      <c r="A1101" s="6" t="s">
        <v>474</v>
      </c>
      <c r="B1101" s="6" t="s">
        <v>353</v>
      </c>
      <c r="C1101" s="7">
        <v>213694</v>
      </c>
      <c r="D1101" s="8">
        <v>8192.4</v>
      </c>
      <c r="E1101" s="9" t="s">
        <v>16</v>
      </c>
      <c r="F1101" s="23">
        <v>15</v>
      </c>
      <c r="G1101" s="25"/>
      <c r="H1101" s="14">
        <f t="shared" si="1051"/>
        <v>0.55000000000000004</v>
      </c>
      <c r="I1101" s="25">
        <f ca="1">IFERROR(__xludf.DUMMYFUNCTION("ROUND(D1101*GOOGLEFINANCE(""RUBKZT"")*H1101)"),35161)</f>
        <v>35161</v>
      </c>
      <c r="J1101" s="26">
        <f ca="1">IFERROR(__xludf.DUMMYFUNCTION("ROUND(I1101*GOOGLEFINANCE(""KZTEUR""))"),74)</f>
        <v>74</v>
      </c>
      <c r="K1101" s="26">
        <f t="shared" ca="1" si="1052"/>
        <v>4933</v>
      </c>
      <c r="L1101" s="26">
        <f t="shared" ca="1" si="1053"/>
        <v>937.27</v>
      </c>
      <c r="M1101" s="26">
        <f t="shared" ref="M1101:N1101" si="1135">M$3</f>
        <v>500</v>
      </c>
      <c r="N1101" s="26">
        <f t="shared" si="1135"/>
        <v>500</v>
      </c>
      <c r="O1101" s="26">
        <f ca="1">IFERROR(__xludf.DUMMYFUNCTION("ROUND(GOOGLEFINANCE(""Currency:EURKZT"")*K1101)"),2355851)</f>
        <v>2355851</v>
      </c>
      <c r="P1101" s="26">
        <f ca="1">IFERROR(__xludf.DUMMYFUNCTION("ROUND(GOOGLEFINANCE(""Currency:EURKZT"")*M1101)"),238785)</f>
        <v>238785</v>
      </c>
      <c r="Q1101" s="26">
        <f ca="1">IFERROR(__xludf.DUMMYFUNCTION("ROUND(GOOGLEFINANCE(""Currency:EURKZT"")*N1101)"),238785)</f>
        <v>238785</v>
      </c>
      <c r="R1101" s="26">
        <f t="shared" ca="1" si="1055"/>
        <v>282702</v>
      </c>
      <c r="S1101" s="26">
        <f t="shared" ca="1" si="1056"/>
        <v>3116123</v>
      </c>
      <c r="T1101" s="26">
        <f ca="1">IFERROR(__xludf.DUMMYFUNCTION("ROUND(GOOGLEFINANCE(""Currency:EURKZT"")*L1101+S1101)"),3563735)</f>
        <v>3563735</v>
      </c>
      <c r="U1101" s="26">
        <f ca="1">IFERROR(__xludf.DUMMYFUNCTION("D1101*GOOGLEFINANCE(""RUBKZT"")*1000/F1101"),4261972.04084832)</f>
        <v>4261972.0408483204</v>
      </c>
      <c r="V1101" s="27">
        <f t="shared" ca="1" si="1057"/>
        <v>0.19592844048402036</v>
      </c>
    </row>
    <row r="1102" spans="1:22" ht="12.75" customHeight="1" x14ac:dyDescent="0.2">
      <c r="A1102" s="6" t="s">
        <v>475</v>
      </c>
      <c r="B1102" s="6" t="s">
        <v>353</v>
      </c>
      <c r="C1102" s="7">
        <v>213697</v>
      </c>
      <c r="D1102" s="8">
        <v>9428.4</v>
      </c>
      <c r="E1102" s="9" t="s">
        <v>16</v>
      </c>
      <c r="F1102" s="23">
        <v>15</v>
      </c>
      <c r="G1102" s="24">
        <v>0.04</v>
      </c>
      <c r="H1102" s="14">
        <f t="shared" si="1051"/>
        <v>0.59000000000000008</v>
      </c>
      <c r="I1102" s="25">
        <f ca="1">IFERROR(__xludf.DUMMYFUNCTION("ROUND(D1102*GOOGLEFINANCE(""RUBKZT"")*H1102)"),43409)</f>
        <v>43409</v>
      </c>
      <c r="J1102" s="26">
        <f ca="1">IFERROR(__xludf.DUMMYFUNCTION("ROUND(I1102*GOOGLEFINANCE(""KZTEUR""))"),91)</f>
        <v>91</v>
      </c>
      <c r="K1102" s="26">
        <f t="shared" ca="1" si="1052"/>
        <v>6067</v>
      </c>
      <c r="L1102" s="26">
        <f t="shared" ca="1" si="1053"/>
        <v>1152.73</v>
      </c>
      <c r="M1102" s="26">
        <f t="shared" ref="M1102:N1102" si="1136">M$3</f>
        <v>500</v>
      </c>
      <c r="N1102" s="26">
        <f t="shared" si="1136"/>
        <v>500</v>
      </c>
      <c r="O1102" s="26">
        <f ca="1">IFERROR(__xludf.DUMMYFUNCTION("ROUND(GOOGLEFINANCE(""Currency:EURKZT"")*K1102)"),2897415)</f>
        <v>2897415</v>
      </c>
      <c r="P1102" s="26">
        <f ca="1">IFERROR(__xludf.DUMMYFUNCTION("ROUND(GOOGLEFINANCE(""Currency:EURKZT"")*M1102)"),238785)</f>
        <v>238785</v>
      </c>
      <c r="Q1102" s="26">
        <f ca="1">IFERROR(__xludf.DUMMYFUNCTION("ROUND(GOOGLEFINANCE(""Currency:EURKZT"")*N1102)"),238785)</f>
        <v>238785</v>
      </c>
      <c r="R1102" s="26">
        <f t="shared" ca="1" si="1055"/>
        <v>347690</v>
      </c>
      <c r="S1102" s="26">
        <f t="shared" ca="1" si="1056"/>
        <v>3722675</v>
      </c>
      <c r="T1102" s="26">
        <f ca="1">IFERROR(__xludf.DUMMYFUNCTION("ROUND(GOOGLEFINANCE(""Currency:EURKZT"")*L1102+S1102)"),4273184)</f>
        <v>4273184</v>
      </c>
      <c r="U1102" s="26">
        <f ca="1">IFERROR(__xludf.DUMMYFUNCTION("D1102*GOOGLEFINANCE(""RUBKZT"")*1000/F1102"),4904982.32385312)</f>
        <v>4904982.3238531202</v>
      </c>
      <c r="V1102" s="27">
        <f t="shared" ca="1" si="1057"/>
        <v>0.1478518883935539</v>
      </c>
    </row>
    <row r="1103" spans="1:22" ht="12.75" customHeight="1" x14ac:dyDescent="0.2">
      <c r="A1103" s="6" t="s">
        <v>476</v>
      </c>
      <c r="B1103" s="6" t="s">
        <v>353</v>
      </c>
      <c r="C1103" s="7">
        <v>213698</v>
      </c>
      <c r="D1103" s="8">
        <v>10878</v>
      </c>
      <c r="E1103" s="9" t="s">
        <v>16</v>
      </c>
      <c r="F1103" s="23">
        <v>15</v>
      </c>
      <c r="G1103" s="25"/>
      <c r="H1103" s="14">
        <f t="shared" si="1051"/>
        <v>0.55000000000000004</v>
      </c>
      <c r="I1103" s="25">
        <f ca="1">IFERROR(__xludf.DUMMYFUNCTION("ROUND(D1103*GOOGLEFINANCE(""RUBKZT"")*H1103)"),46688)</f>
        <v>46688</v>
      </c>
      <c r="J1103" s="26">
        <f ca="1">IFERROR(__xludf.DUMMYFUNCTION("ROUND(I1103*GOOGLEFINANCE(""KZTEUR""))"),98)</f>
        <v>98</v>
      </c>
      <c r="K1103" s="26">
        <f t="shared" ca="1" si="1052"/>
        <v>6533</v>
      </c>
      <c r="L1103" s="26">
        <f t="shared" ca="1" si="1053"/>
        <v>1241.27</v>
      </c>
      <c r="M1103" s="26">
        <f t="shared" ref="M1103:N1103" si="1137">M$3</f>
        <v>500</v>
      </c>
      <c r="N1103" s="26">
        <f t="shared" si="1137"/>
        <v>500</v>
      </c>
      <c r="O1103" s="26">
        <f ca="1">IFERROR(__xludf.DUMMYFUNCTION("ROUND(GOOGLEFINANCE(""Currency:EURKZT"")*K1103)"),3119962)</f>
        <v>3119962</v>
      </c>
      <c r="P1103" s="26">
        <f ca="1">IFERROR(__xludf.DUMMYFUNCTION("ROUND(GOOGLEFINANCE(""Currency:EURKZT"")*M1103)"),238785)</f>
        <v>238785</v>
      </c>
      <c r="Q1103" s="26">
        <f ca="1">IFERROR(__xludf.DUMMYFUNCTION("ROUND(GOOGLEFINANCE(""Currency:EURKZT"")*N1103)"),238785)</f>
        <v>238785</v>
      </c>
      <c r="R1103" s="26">
        <f t="shared" ca="1" si="1055"/>
        <v>374395</v>
      </c>
      <c r="S1103" s="26">
        <f t="shared" ca="1" si="1056"/>
        <v>3971927</v>
      </c>
      <c r="T1103" s="26">
        <f ca="1">IFERROR(__xludf.DUMMYFUNCTION("ROUND(GOOGLEFINANCE(""Currency:EURKZT"")*L1103+S1103)"),4564720)</f>
        <v>4564720</v>
      </c>
      <c r="U1103" s="26">
        <f ca="1">IFERROR(__xludf.DUMMYFUNCTION("D1103*GOOGLEFINANCE(""RUBKZT"")*1000/F1103"),5659114.7722704)</f>
        <v>5659114.7722704001</v>
      </c>
      <c r="V1103" s="27">
        <f t="shared" ca="1" si="1057"/>
        <v>0.23975069057256526</v>
      </c>
    </row>
    <row r="1104" spans="1:22" ht="12.75" customHeight="1" x14ac:dyDescent="0.2">
      <c r="A1104" s="6" t="s">
        <v>477</v>
      </c>
      <c r="B1104" s="6" t="s">
        <v>353</v>
      </c>
      <c r="C1104" s="7">
        <v>213699</v>
      </c>
      <c r="D1104" s="8">
        <v>8053.2</v>
      </c>
      <c r="E1104" s="9" t="s">
        <v>16</v>
      </c>
      <c r="F1104" s="23">
        <v>15</v>
      </c>
      <c r="G1104" s="25"/>
      <c r="H1104" s="14">
        <f t="shared" si="1051"/>
        <v>0.55000000000000004</v>
      </c>
      <c r="I1104" s="25">
        <f ca="1">IFERROR(__xludf.DUMMYFUNCTION("ROUND(D1104*GOOGLEFINANCE(""RUBKZT"")*H1104)"),34564)</f>
        <v>34564</v>
      </c>
      <c r="J1104" s="26">
        <f ca="1">IFERROR(__xludf.DUMMYFUNCTION("ROUND(I1104*GOOGLEFINANCE(""KZTEUR""))"),72)</f>
        <v>72</v>
      </c>
      <c r="K1104" s="26">
        <f t="shared" ca="1" si="1052"/>
        <v>4800</v>
      </c>
      <c r="L1104" s="26">
        <f t="shared" ca="1" si="1053"/>
        <v>912</v>
      </c>
      <c r="M1104" s="26">
        <f t="shared" ref="M1104:N1104" si="1138">M$3</f>
        <v>500</v>
      </c>
      <c r="N1104" s="26">
        <f t="shared" si="1138"/>
        <v>500</v>
      </c>
      <c r="O1104" s="26">
        <f ca="1">IFERROR(__xludf.DUMMYFUNCTION("ROUND(GOOGLEFINANCE(""Currency:EURKZT"")*K1104)"),2292334)</f>
        <v>2292334</v>
      </c>
      <c r="P1104" s="26">
        <f ca="1">IFERROR(__xludf.DUMMYFUNCTION("ROUND(GOOGLEFINANCE(""Currency:EURKZT"")*M1104)"),238785)</f>
        <v>238785</v>
      </c>
      <c r="Q1104" s="26">
        <f ca="1">IFERROR(__xludf.DUMMYFUNCTION("ROUND(GOOGLEFINANCE(""Currency:EURKZT"")*N1104)"),238785)</f>
        <v>238785</v>
      </c>
      <c r="R1104" s="26">
        <f t="shared" ca="1" si="1055"/>
        <v>275080</v>
      </c>
      <c r="S1104" s="26">
        <f t="shared" ca="1" si="1056"/>
        <v>3044984</v>
      </c>
      <c r="T1104" s="26">
        <f ca="1">IFERROR(__xludf.DUMMYFUNCTION("ROUND(GOOGLEFINANCE(""Currency:EURKZT"")*L1104+S1104)"),3480527)</f>
        <v>3480527</v>
      </c>
      <c r="U1104" s="26">
        <f ca="1">IFERROR(__xludf.DUMMYFUNCTION("D1104*GOOGLEFINANCE(""RUBKZT"")*1000/F1104"),4189555.34878176)</f>
        <v>4189555.3487817599</v>
      </c>
      <c r="V1104" s="27">
        <f t="shared" ca="1" si="1057"/>
        <v>0.20371292875526029</v>
      </c>
    </row>
    <row r="1105" spans="1:22" ht="12.75" customHeight="1" x14ac:dyDescent="0.2">
      <c r="A1105" s="6" t="s">
        <v>482</v>
      </c>
      <c r="B1105" s="6" t="s">
        <v>353</v>
      </c>
      <c r="C1105" s="7">
        <v>213723</v>
      </c>
      <c r="D1105" s="8">
        <v>12481.199999999999</v>
      </c>
      <c r="E1105" s="9" t="s">
        <v>16</v>
      </c>
      <c r="F1105" s="23">
        <v>15</v>
      </c>
      <c r="G1105" s="25"/>
      <c r="H1105" s="14">
        <f t="shared" si="1051"/>
        <v>0.55000000000000004</v>
      </c>
      <c r="I1105" s="25">
        <f ca="1">IFERROR(__xludf.DUMMYFUNCTION("ROUND(D1105*GOOGLEFINANCE(""RUBKZT"")*H1105)"),53569)</f>
        <v>53569</v>
      </c>
      <c r="J1105" s="26">
        <f ca="1">IFERROR(__xludf.DUMMYFUNCTION("ROUND(I1105*GOOGLEFINANCE(""KZTEUR""))"),112)</f>
        <v>112</v>
      </c>
      <c r="K1105" s="26">
        <f t="shared" ca="1" si="1052"/>
        <v>7467</v>
      </c>
      <c r="L1105" s="26">
        <f t="shared" ca="1" si="1053"/>
        <v>1418.73</v>
      </c>
      <c r="M1105" s="26">
        <f t="shared" ref="M1105:N1105" si="1139">M$3</f>
        <v>500</v>
      </c>
      <c r="N1105" s="26">
        <f t="shared" si="1139"/>
        <v>500</v>
      </c>
      <c r="O1105" s="26">
        <f ca="1">IFERROR(__xludf.DUMMYFUNCTION("ROUND(GOOGLEFINANCE(""Currency:EURKZT"")*K1105)"),3566012)</f>
        <v>3566012</v>
      </c>
      <c r="P1105" s="26">
        <f ca="1">IFERROR(__xludf.DUMMYFUNCTION("ROUND(GOOGLEFINANCE(""Currency:EURKZT"")*M1105)"),238785)</f>
        <v>238785</v>
      </c>
      <c r="Q1105" s="26">
        <f ca="1">IFERROR(__xludf.DUMMYFUNCTION("ROUND(GOOGLEFINANCE(""Currency:EURKZT"")*N1105)"),238785)</f>
        <v>238785</v>
      </c>
      <c r="R1105" s="26">
        <f t="shared" ca="1" si="1055"/>
        <v>427921</v>
      </c>
      <c r="S1105" s="26">
        <f t="shared" ca="1" si="1056"/>
        <v>4471503</v>
      </c>
      <c r="T1105" s="26">
        <f ca="1">IFERROR(__xludf.DUMMYFUNCTION("ROUND(GOOGLEFINANCE(""Currency:EURKZT"")*L1105+S1105)"),5149045)</f>
        <v>5149045</v>
      </c>
      <c r="U1105" s="26">
        <f ca="1">IFERROR(__xludf.DUMMYFUNCTION("D1105*GOOGLEFINANCE(""RUBKZT"")*1000/F1105"),6493155.29469216)</f>
        <v>6493155.2946921596</v>
      </c>
      <c r="V1105" s="27">
        <f t="shared" ca="1" si="1057"/>
        <v>0.26104069680730302</v>
      </c>
    </row>
    <row r="1106" spans="1:22" ht="12.75" customHeight="1" x14ac:dyDescent="0.2">
      <c r="A1106" s="6" t="s">
        <v>483</v>
      </c>
      <c r="B1106" s="6" t="s">
        <v>353</v>
      </c>
      <c r="C1106" s="7">
        <v>213724</v>
      </c>
      <c r="D1106" s="8">
        <v>7731.5999999999995</v>
      </c>
      <c r="E1106" s="9" t="s">
        <v>16</v>
      </c>
      <c r="F1106" s="23">
        <v>15</v>
      </c>
      <c r="G1106" s="25"/>
      <c r="H1106" s="14">
        <f t="shared" si="1051"/>
        <v>0.55000000000000004</v>
      </c>
      <c r="I1106" s="25">
        <f ca="1">IFERROR(__xludf.DUMMYFUNCTION("ROUND(D1106*GOOGLEFINANCE(""RUBKZT"")*H1106)"),33184)</f>
        <v>33184</v>
      </c>
      <c r="J1106" s="26">
        <f ca="1">IFERROR(__xludf.DUMMYFUNCTION("ROUND(I1106*GOOGLEFINANCE(""KZTEUR""))"),69)</f>
        <v>69</v>
      </c>
      <c r="K1106" s="26">
        <f t="shared" ca="1" si="1052"/>
        <v>4600</v>
      </c>
      <c r="L1106" s="26">
        <f t="shared" ca="1" si="1053"/>
        <v>874</v>
      </c>
      <c r="M1106" s="26">
        <f t="shared" ref="M1106:N1106" si="1140">M$3</f>
        <v>500</v>
      </c>
      <c r="N1106" s="26">
        <f t="shared" si="1140"/>
        <v>500</v>
      </c>
      <c r="O1106" s="26">
        <f ca="1">IFERROR(__xludf.DUMMYFUNCTION("ROUND(GOOGLEFINANCE(""Currency:EURKZT"")*K1106)"),2196820)</f>
        <v>2196820</v>
      </c>
      <c r="P1106" s="26">
        <f ca="1">IFERROR(__xludf.DUMMYFUNCTION("ROUND(GOOGLEFINANCE(""Currency:EURKZT"")*M1106)"),238785)</f>
        <v>238785</v>
      </c>
      <c r="Q1106" s="26">
        <f ca="1">IFERROR(__xludf.DUMMYFUNCTION("ROUND(GOOGLEFINANCE(""Currency:EURKZT"")*N1106)"),238785)</f>
        <v>238785</v>
      </c>
      <c r="R1106" s="26">
        <f t="shared" ca="1" si="1055"/>
        <v>263618</v>
      </c>
      <c r="S1106" s="26">
        <f t="shared" ca="1" si="1056"/>
        <v>2938008</v>
      </c>
      <c r="T1106" s="26">
        <f ca="1">IFERROR(__xludf.DUMMYFUNCTION("ROUND(GOOGLEFINANCE(""Currency:EURKZT"")*L1106+S1106)"),3355404)</f>
        <v>3355404</v>
      </c>
      <c r="U1106" s="26">
        <f ca="1">IFERROR(__xludf.DUMMYFUNCTION("D1106*GOOGLEFINANCE(""RUBKZT"")*1000/F1106"),4022247.81883488)</f>
        <v>4022247.8188348799</v>
      </c>
      <c r="V1106" s="27">
        <f t="shared" ca="1" si="1057"/>
        <v>0.19873726646176731</v>
      </c>
    </row>
    <row r="1107" spans="1:22" ht="12.75" customHeight="1" x14ac:dyDescent="0.2">
      <c r="A1107" s="6" t="s">
        <v>484</v>
      </c>
      <c r="B1107" s="6" t="s">
        <v>353</v>
      </c>
      <c r="C1107" s="7">
        <v>213727</v>
      </c>
      <c r="D1107" s="8">
        <v>7995.5999999999995</v>
      </c>
      <c r="E1107" s="9" t="s">
        <v>16</v>
      </c>
      <c r="F1107" s="23">
        <v>15</v>
      </c>
      <c r="G1107" s="25"/>
      <c r="H1107" s="14">
        <f t="shared" si="1051"/>
        <v>0.55000000000000004</v>
      </c>
      <c r="I1107" s="25">
        <f ca="1">IFERROR(__xludf.DUMMYFUNCTION("ROUND(D1107*GOOGLEFINANCE(""RUBKZT"")*H1107)"),34317)</f>
        <v>34317</v>
      </c>
      <c r="J1107" s="26">
        <f ca="1">IFERROR(__xludf.DUMMYFUNCTION("ROUND(I1107*GOOGLEFINANCE(""KZTEUR""))"),72)</f>
        <v>72</v>
      </c>
      <c r="K1107" s="26">
        <f t="shared" ca="1" si="1052"/>
        <v>4800</v>
      </c>
      <c r="L1107" s="26">
        <f t="shared" ca="1" si="1053"/>
        <v>912</v>
      </c>
      <c r="M1107" s="26">
        <f t="shared" ref="M1107:N1107" si="1141">M$3</f>
        <v>500</v>
      </c>
      <c r="N1107" s="26">
        <f t="shared" si="1141"/>
        <v>500</v>
      </c>
      <c r="O1107" s="26">
        <f ca="1">IFERROR(__xludf.DUMMYFUNCTION("ROUND(GOOGLEFINANCE(""Currency:EURKZT"")*K1107)"),2292334)</f>
        <v>2292334</v>
      </c>
      <c r="P1107" s="26">
        <f ca="1">IFERROR(__xludf.DUMMYFUNCTION("ROUND(GOOGLEFINANCE(""Currency:EURKZT"")*M1107)"),238785)</f>
        <v>238785</v>
      </c>
      <c r="Q1107" s="26">
        <f ca="1">IFERROR(__xludf.DUMMYFUNCTION("ROUND(GOOGLEFINANCE(""Currency:EURKZT"")*N1107)"),238785)</f>
        <v>238785</v>
      </c>
      <c r="R1107" s="26">
        <f t="shared" ca="1" si="1055"/>
        <v>275080</v>
      </c>
      <c r="S1107" s="26">
        <f t="shared" ca="1" si="1056"/>
        <v>3044984</v>
      </c>
      <c r="T1107" s="26">
        <f ca="1">IFERROR(__xludf.DUMMYFUNCTION("ROUND(GOOGLEFINANCE(""Currency:EURKZT"")*L1107+S1107)"),3480527)</f>
        <v>3480527</v>
      </c>
      <c r="U1107" s="26">
        <f ca="1">IFERROR(__xludf.DUMMYFUNCTION("D1107*GOOGLEFINANCE(""RUBKZT"")*1000/F1107"),4159589.82103008)</f>
        <v>4159589.8210300799</v>
      </c>
      <c r="V1107" s="27">
        <f t="shared" ca="1" si="1057"/>
        <v>0.19510344871051993</v>
      </c>
    </row>
    <row r="1108" spans="1:22" ht="12.75" customHeight="1" x14ac:dyDescent="0.2">
      <c r="A1108" s="6" t="s">
        <v>485</v>
      </c>
      <c r="B1108" s="6" t="s">
        <v>353</v>
      </c>
      <c r="C1108" s="7">
        <v>213728</v>
      </c>
      <c r="D1108" s="8">
        <v>6981.5999999999995</v>
      </c>
      <c r="E1108" s="9" t="s">
        <v>16</v>
      </c>
      <c r="F1108" s="23">
        <v>15</v>
      </c>
      <c r="G1108" s="25"/>
      <c r="H1108" s="14">
        <f t="shared" si="1051"/>
        <v>0.55000000000000004</v>
      </c>
      <c r="I1108" s="25">
        <f ca="1">IFERROR(__xludf.DUMMYFUNCTION("ROUND(D1108*GOOGLEFINANCE(""RUBKZT"")*H1108)"),29965)</f>
        <v>29965</v>
      </c>
      <c r="J1108" s="26">
        <f ca="1">IFERROR(__xludf.DUMMYFUNCTION("ROUND(I1108*GOOGLEFINANCE(""KZTEUR""))"),63)</f>
        <v>63</v>
      </c>
      <c r="K1108" s="26">
        <f t="shared" ca="1" si="1052"/>
        <v>4200</v>
      </c>
      <c r="L1108" s="26">
        <f t="shared" ca="1" si="1053"/>
        <v>798</v>
      </c>
      <c r="M1108" s="26">
        <f t="shared" ref="M1108:N1108" si="1142">M$3</f>
        <v>500</v>
      </c>
      <c r="N1108" s="26">
        <f t="shared" si="1142"/>
        <v>500</v>
      </c>
      <c r="O1108" s="26">
        <f ca="1">IFERROR(__xludf.DUMMYFUNCTION("ROUND(GOOGLEFINANCE(""Currency:EURKZT"")*K1108)"),2005792)</f>
        <v>2005792</v>
      </c>
      <c r="P1108" s="26">
        <f ca="1">IFERROR(__xludf.DUMMYFUNCTION("ROUND(GOOGLEFINANCE(""Currency:EURKZT"")*M1108)"),238785)</f>
        <v>238785</v>
      </c>
      <c r="Q1108" s="26">
        <f ca="1">IFERROR(__xludf.DUMMYFUNCTION("ROUND(GOOGLEFINANCE(""Currency:EURKZT"")*N1108)"),238785)</f>
        <v>238785</v>
      </c>
      <c r="R1108" s="26">
        <f t="shared" ca="1" si="1055"/>
        <v>240695</v>
      </c>
      <c r="S1108" s="26">
        <f t="shared" ca="1" si="1056"/>
        <v>2724057</v>
      </c>
      <c r="T1108" s="26">
        <f ca="1">IFERROR(__xludf.DUMMYFUNCTION("ROUND(GOOGLEFINANCE(""Currency:EURKZT"")*L1108+S1108)"),3105158)</f>
        <v>3105158</v>
      </c>
      <c r="U1108" s="26">
        <f ca="1">IFERROR(__xludf.DUMMYFUNCTION("D1108*GOOGLEFINANCE(""RUBKZT"")*1000/F1108"),3632071.67623488)</f>
        <v>3632071.67623488</v>
      </c>
      <c r="V1108" s="27">
        <f t="shared" ca="1" si="1057"/>
        <v>0.16968981167299055</v>
      </c>
    </row>
    <row r="1109" spans="1:22" ht="12.75" customHeight="1" x14ac:dyDescent="0.2">
      <c r="A1109" s="6" t="s">
        <v>486</v>
      </c>
      <c r="B1109" s="6" t="s">
        <v>353</v>
      </c>
      <c r="C1109" s="7">
        <v>213729</v>
      </c>
      <c r="D1109" s="8">
        <v>10560</v>
      </c>
      <c r="E1109" s="9" t="s">
        <v>16</v>
      </c>
      <c r="F1109" s="23">
        <v>15</v>
      </c>
      <c r="G1109" s="25"/>
      <c r="H1109" s="14">
        <f t="shared" si="1051"/>
        <v>0.55000000000000004</v>
      </c>
      <c r="I1109" s="25">
        <f ca="1">IFERROR(__xludf.DUMMYFUNCTION("ROUND(D1109*GOOGLEFINANCE(""RUBKZT"")*H1109)"),45323)</f>
        <v>45323</v>
      </c>
      <c r="J1109" s="26">
        <f ca="1">IFERROR(__xludf.DUMMYFUNCTION("ROUND(I1109*GOOGLEFINANCE(""KZTEUR""))"),95)</f>
        <v>95</v>
      </c>
      <c r="K1109" s="26">
        <f t="shared" ca="1" si="1052"/>
        <v>6333</v>
      </c>
      <c r="L1109" s="26">
        <f t="shared" ca="1" si="1053"/>
        <v>1203.27</v>
      </c>
      <c r="M1109" s="26">
        <f t="shared" ref="M1109:N1109" si="1143">M$3</f>
        <v>500</v>
      </c>
      <c r="N1109" s="26">
        <f t="shared" si="1143"/>
        <v>500</v>
      </c>
      <c r="O1109" s="26">
        <f ca="1">IFERROR(__xludf.DUMMYFUNCTION("ROUND(GOOGLEFINANCE(""Currency:EURKZT"")*K1109)"),3024448)</f>
        <v>3024448</v>
      </c>
      <c r="P1109" s="26">
        <f ca="1">IFERROR(__xludf.DUMMYFUNCTION("ROUND(GOOGLEFINANCE(""Currency:EURKZT"")*M1109)"),238785)</f>
        <v>238785</v>
      </c>
      <c r="Q1109" s="26">
        <f ca="1">IFERROR(__xludf.DUMMYFUNCTION("ROUND(GOOGLEFINANCE(""Currency:EURKZT"")*N1109)"),238785)</f>
        <v>238785</v>
      </c>
      <c r="R1109" s="26">
        <f t="shared" ca="1" si="1055"/>
        <v>362934</v>
      </c>
      <c r="S1109" s="26">
        <f t="shared" ca="1" si="1056"/>
        <v>3864952</v>
      </c>
      <c r="T1109" s="26">
        <f ca="1">IFERROR(__xludf.DUMMYFUNCTION("ROUND(GOOGLEFINANCE(""Currency:EURKZT"")*L1109+S1109)"),4439597)</f>
        <v>4439597</v>
      </c>
      <c r="U1109" s="26">
        <f ca="1">IFERROR(__xludf.DUMMYFUNCTION("D1109*GOOGLEFINANCE(""RUBKZT"")*1000/F1109"),5493680.087808)</f>
        <v>5493680.0878079999</v>
      </c>
      <c r="V1109" s="27">
        <f t="shared" ca="1" si="1057"/>
        <v>0.23742765116022915</v>
      </c>
    </row>
    <row r="1110" spans="1:22" ht="12.75" customHeight="1" x14ac:dyDescent="0.2">
      <c r="A1110" s="6" t="s">
        <v>487</v>
      </c>
      <c r="B1110" s="6" t="s">
        <v>353</v>
      </c>
      <c r="C1110" s="7">
        <v>213733</v>
      </c>
      <c r="D1110" s="8">
        <v>11335.199999999999</v>
      </c>
      <c r="E1110" s="9" t="s">
        <v>16</v>
      </c>
      <c r="F1110" s="23">
        <v>15</v>
      </c>
      <c r="G1110" s="25"/>
      <c r="H1110" s="14">
        <f t="shared" si="1051"/>
        <v>0.55000000000000004</v>
      </c>
      <c r="I1110" s="25">
        <f ca="1">IFERROR(__xludf.DUMMYFUNCTION("ROUND(D1110*GOOGLEFINANCE(""RUBKZT"")*H1110)"),48650)</f>
        <v>48650</v>
      </c>
      <c r="J1110" s="26">
        <f ca="1">IFERROR(__xludf.DUMMYFUNCTION("ROUND(I1110*GOOGLEFINANCE(""KZTEUR""))"),102)</f>
        <v>102</v>
      </c>
      <c r="K1110" s="26">
        <f t="shared" ca="1" si="1052"/>
        <v>6800</v>
      </c>
      <c r="L1110" s="26">
        <f t="shared" ca="1" si="1053"/>
        <v>1292</v>
      </c>
      <c r="M1110" s="26">
        <f t="shared" ref="M1110:N1110" si="1144">M$3</f>
        <v>500</v>
      </c>
      <c r="N1110" s="26">
        <f t="shared" si="1144"/>
        <v>500</v>
      </c>
      <c r="O1110" s="26">
        <f ca="1">IFERROR(__xludf.DUMMYFUNCTION("ROUND(GOOGLEFINANCE(""Currency:EURKZT"")*K1110)"),3247473)</f>
        <v>3247473</v>
      </c>
      <c r="P1110" s="26">
        <f ca="1">IFERROR(__xludf.DUMMYFUNCTION("ROUND(GOOGLEFINANCE(""Currency:EURKZT"")*M1110)"),238785)</f>
        <v>238785</v>
      </c>
      <c r="Q1110" s="26">
        <f ca="1">IFERROR(__xludf.DUMMYFUNCTION("ROUND(GOOGLEFINANCE(""Currency:EURKZT"")*N1110)"),238785)</f>
        <v>238785</v>
      </c>
      <c r="R1110" s="26">
        <f t="shared" ca="1" si="1055"/>
        <v>389697</v>
      </c>
      <c r="S1110" s="26">
        <f t="shared" ca="1" si="1056"/>
        <v>4114740</v>
      </c>
      <c r="T1110" s="26">
        <f ca="1">IFERROR(__xludf.DUMMYFUNCTION("ROUND(GOOGLEFINANCE(""Currency:EURKZT"")*L1110+S1110)"),4731760)</f>
        <v>4731760</v>
      </c>
      <c r="U1110" s="26">
        <f ca="1">IFERROR(__xludf.DUMMYFUNCTION("D1110*GOOGLEFINANCE(""RUBKZT"")*1000/F1110"),5896966.14879936)</f>
        <v>5896966.1487993598</v>
      </c>
      <c r="V1110" s="27">
        <f t="shared" ca="1" si="1057"/>
        <v>0.24625216595925403</v>
      </c>
    </row>
    <row r="1111" spans="1:22" ht="12.75" customHeight="1" x14ac:dyDescent="0.2">
      <c r="A1111" s="6" t="s">
        <v>493</v>
      </c>
      <c r="B1111" s="6" t="s">
        <v>353</v>
      </c>
      <c r="C1111" s="7">
        <v>213772</v>
      </c>
      <c r="D1111" s="8">
        <v>6460.8</v>
      </c>
      <c r="E1111" s="9" t="s">
        <v>16</v>
      </c>
      <c r="F1111" s="23">
        <v>15</v>
      </c>
      <c r="G1111" s="25"/>
      <c r="H1111" s="14">
        <f t="shared" si="1051"/>
        <v>0.55000000000000004</v>
      </c>
      <c r="I1111" s="25">
        <f ca="1">IFERROR(__xludf.DUMMYFUNCTION("ROUND(D1111*GOOGLEFINANCE(""RUBKZT"")*H1111)"),27729)</f>
        <v>27729</v>
      </c>
      <c r="J1111" s="26">
        <f ca="1">IFERROR(__xludf.DUMMYFUNCTION("ROUND(I1111*GOOGLEFINANCE(""KZTEUR""))"),58)</f>
        <v>58</v>
      </c>
      <c r="K1111" s="26">
        <f t="shared" ca="1" si="1052"/>
        <v>3867</v>
      </c>
      <c r="L1111" s="26">
        <f t="shared" ca="1" si="1053"/>
        <v>734.73</v>
      </c>
      <c r="M1111" s="26">
        <f t="shared" ref="M1111:N1111" si="1145">M$3</f>
        <v>500</v>
      </c>
      <c r="N1111" s="26">
        <f t="shared" si="1145"/>
        <v>500</v>
      </c>
      <c r="O1111" s="26">
        <f ca="1">IFERROR(__xludf.DUMMYFUNCTION("ROUND(GOOGLEFINANCE(""Currency:EURKZT"")*K1111)"),1846762)</f>
        <v>1846762</v>
      </c>
      <c r="P1111" s="26">
        <f ca="1">IFERROR(__xludf.DUMMYFUNCTION("ROUND(GOOGLEFINANCE(""Currency:EURKZT"")*M1111)"),238785)</f>
        <v>238785</v>
      </c>
      <c r="Q1111" s="26">
        <f ca="1">IFERROR(__xludf.DUMMYFUNCTION("ROUND(GOOGLEFINANCE(""Currency:EURKZT"")*N1111)"),238785)</f>
        <v>238785</v>
      </c>
      <c r="R1111" s="26">
        <f t="shared" ca="1" si="1055"/>
        <v>221611</v>
      </c>
      <c r="S1111" s="26">
        <f t="shared" ca="1" si="1056"/>
        <v>2545943</v>
      </c>
      <c r="T1111" s="26">
        <f ca="1">IFERROR(__xludf.DUMMYFUNCTION("ROUND(GOOGLEFINANCE(""Currency:EURKZT"")*L1111+S1111)"),2896828)</f>
        <v>2896828</v>
      </c>
      <c r="U1111" s="26">
        <f ca="1">IFERROR(__xludf.DUMMYFUNCTION("D1111*GOOGLEFINANCE(""RUBKZT"")*1000/F1111"),3361133.36281344)</f>
        <v>3361133.3628134402</v>
      </c>
      <c r="V1111" s="27">
        <f t="shared" ca="1" si="1057"/>
        <v>0.16028061134918611</v>
      </c>
    </row>
    <row r="1112" spans="1:22" ht="12.75" customHeight="1" x14ac:dyDescent="0.2">
      <c r="A1112" s="6" t="s">
        <v>497</v>
      </c>
      <c r="B1112" s="6" t="s">
        <v>353</v>
      </c>
      <c r="C1112" s="7">
        <v>213790</v>
      </c>
      <c r="D1112" s="8">
        <v>9979.1999999999989</v>
      </c>
      <c r="E1112" s="9" t="s">
        <v>16</v>
      </c>
      <c r="F1112" s="23">
        <v>15</v>
      </c>
      <c r="G1112" s="25"/>
      <c r="H1112" s="14">
        <f t="shared" si="1051"/>
        <v>0.55000000000000004</v>
      </c>
      <c r="I1112" s="25">
        <f ca="1">IFERROR(__xludf.DUMMYFUNCTION("ROUND(D1112*GOOGLEFINANCE(""RUBKZT"")*H1112)"),42830)</f>
        <v>42830</v>
      </c>
      <c r="J1112" s="26">
        <f ca="1">IFERROR(__xludf.DUMMYFUNCTION("ROUND(I1112*GOOGLEFINANCE(""KZTEUR""))"),90)</f>
        <v>90</v>
      </c>
      <c r="K1112" s="26">
        <f t="shared" ca="1" si="1052"/>
        <v>6000</v>
      </c>
      <c r="L1112" s="26">
        <f t="shared" ca="1" si="1053"/>
        <v>1140</v>
      </c>
      <c r="M1112" s="26">
        <f t="shared" ref="M1112:N1112" si="1146">M$3</f>
        <v>500</v>
      </c>
      <c r="N1112" s="26">
        <f t="shared" si="1146"/>
        <v>500</v>
      </c>
      <c r="O1112" s="26">
        <f ca="1">IFERROR(__xludf.DUMMYFUNCTION("ROUND(GOOGLEFINANCE(""Currency:EURKZT"")*K1112)"),2865418)</f>
        <v>2865418</v>
      </c>
      <c r="P1112" s="26">
        <f ca="1">IFERROR(__xludf.DUMMYFUNCTION("ROUND(GOOGLEFINANCE(""Currency:EURKZT"")*M1112)"),238785)</f>
        <v>238785</v>
      </c>
      <c r="Q1112" s="26">
        <f ca="1">IFERROR(__xludf.DUMMYFUNCTION("ROUND(GOOGLEFINANCE(""Currency:EURKZT"")*N1112)"),238785)</f>
        <v>238785</v>
      </c>
      <c r="R1112" s="26">
        <f t="shared" ca="1" si="1055"/>
        <v>343850</v>
      </c>
      <c r="S1112" s="26">
        <f t="shared" ca="1" si="1056"/>
        <v>3686838</v>
      </c>
      <c r="T1112" s="26">
        <f ca="1">IFERROR(__xludf.DUMMYFUNCTION("ROUND(GOOGLEFINANCE(""Currency:EURKZT"")*L1112+S1112)"),4231267)</f>
        <v>4231267</v>
      </c>
      <c r="U1112" s="26">
        <f ca="1">IFERROR(__xludf.DUMMYFUNCTION("D1112*GOOGLEFINANCE(""RUBKZT"")*1000/F1112"),5191527.68297855)</f>
        <v>5191527.68297855</v>
      </c>
      <c r="V1112" s="27">
        <f t="shared" ca="1" si="1057"/>
        <v>0.22694400589198224</v>
      </c>
    </row>
    <row r="1113" spans="1:22" ht="12.75" customHeight="1" x14ac:dyDescent="0.2">
      <c r="A1113" s="6" t="s">
        <v>501</v>
      </c>
      <c r="B1113" s="6" t="s">
        <v>353</v>
      </c>
      <c r="C1113" s="7">
        <v>213815</v>
      </c>
      <c r="D1113" s="8">
        <v>7474.7999999999993</v>
      </c>
      <c r="E1113" s="9" t="s">
        <v>16</v>
      </c>
      <c r="F1113" s="23">
        <v>15</v>
      </c>
      <c r="G1113" s="25"/>
      <c r="H1113" s="14">
        <f t="shared" si="1051"/>
        <v>0.55000000000000004</v>
      </c>
      <c r="I1113" s="25">
        <f ca="1">IFERROR(__xludf.DUMMYFUNCTION("ROUND(D1113*GOOGLEFINANCE(""RUBKZT"")*H1113)"),32081)</f>
        <v>32081</v>
      </c>
      <c r="J1113" s="26">
        <f ca="1">IFERROR(__xludf.DUMMYFUNCTION("ROUND(I1113*GOOGLEFINANCE(""KZTEUR""))"),67)</f>
        <v>67</v>
      </c>
      <c r="K1113" s="26">
        <f t="shared" ca="1" si="1052"/>
        <v>4467</v>
      </c>
      <c r="L1113" s="26">
        <f t="shared" ca="1" si="1053"/>
        <v>848.73</v>
      </c>
      <c r="M1113" s="26">
        <f t="shared" ref="M1113:N1113" si="1147">M$3</f>
        <v>500</v>
      </c>
      <c r="N1113" s="26">
        <f t="shared" si="1147"/>
        <v>500</v>
      </c>
      <c r="O1113" s="26">
        <f ca="1">IFERROR(__xludf.DUMMYFUNCTION("ROUND(GOOGLEFINANCE(""Currency:EURKZT"")*K1113)"),2133303)</f>
        <v>2133303</v>
      </c>
      <c r="P1113" s="26">
        <f ca="1">IFERROR(__xludf.DUMMYFUNCTION("ROUND(GOOGLEFINANCE(""Currency:EURKZT"")*M1113)"),238785)</f>
        <v>238785</v>
      </c>
      <c r="Q1113" s="26">
        <f ca="1">IFERROR(__xludf.DUMMYFUNCTION("ROUND(GOOGLEFINANCE(""Currency:EURKZT"")*N1113)"),238785)</f>
        <v>238785</v>
      </c>
      <c r="R1113" s="26">
        <f t="shared" ca="1" si="1055"/>
        <v>255996</v>
      </c>
      <c r="S1113" s="26">
        <f t="shared" ca="1" si="1056"/>
        <v>2866869</v>
      </c>
      <c r="T1113" s="26">
        <f ca="1">IFERROR(__xludf.DUMMYFUNCTION("ROUND(GOOGLEFINANCE(""Currency:EURKZT"")*L1113+S1113)"),3272197)</f>
        <v>3272197</v>
      </c>
      <c r="U1113" s="26">
        <f ca="1">IFERROR(__xludf.DUMMYFUNCTION("D1113*GOOGLEFINANCE(""RUBKZT"")*1000/F1113"),3888651.50760864)</f>
        <v>3888651.50760864</v>
      </c>
      <c r="V1113" s="27">
        <f t="shared" ca="1" si="1057"/>
        <v>0.1883916242233093</v>
      </c>
    </row>
    <row r="1114" spans="1:22" ht="12.75" customHeight="1" x14ac:dyDescent="0.2">
      <c r="A1114" s="6" t="s">
        <v>502</v>
      </c>
      <c r="B1114" s="6" t="s">
        <v>353</v>
      </c>
      <c r="C1114" s="7">
        <v>213819</v>
      </c>
      <c r="D1114" s="8">
        <v>10953.6</v>
      </c>
      <c r="E1114" s="9" t="s">
        <v>16</v>
      </c>
      <c r="F1114" s="23">
        <v>15</v>
      </c>
      <c r="G1114" s="25"/>
      <c r="H1114" s="14">
        <f t="shared" si="1051"/>
        <v>0.55000000000000004</v>
      </c>
      <c r="I1114" s="25">
        <f ca="1">IFERROR(__xludf.DUMMYFUNCTION("ROUND(D1114*GOOGLEFINANCE(""RUBKZT"")*H1114)"),47012)</f>
        <v>47012</v>
      </c>
      <c r="J1114" s="26">
        <f ca="1">IFERROR(__xludf.DUMMYFUNCTION("ROUND(I1114*GOOGLEFINANCE(""KZTEUR""))"),98)</f>
        <v>98</v>
      </c>
      <c r="K1114" s="26">
        <f t="shared" ca="1" si="1052"/>
        <v>6533</v>
      </c>
      <c r="L1114" s="26">
        <f t="shared" ca="1" si="1053"/>
        <v>1241.27</v>
      </c>
      <c r="M1114" s="26">
        <f t="shared" ref="M1114:N1114" si="1148">M$3</f>
        <v>500</v>
      </c>
      <c r="N1114" s="26">
        <f t="shared" si="1148"/>
        <v>500</v>
      </c>
      <c r="O1114" s="26">
        <f ca="1">IFERROR(__xludf.DUMMYFUNCTION("ROUND(GOOGLEFINANCE(""Currency:EURKZT"")*K1114)"),3119962)</f>
        <v>3119962</v>
      </c>
      <c r="P1114" s="26">
        <f ca="1">IFERROR(__xludf.DUMMYFUNCTION("ROUND(GOOGLEFINANCE(""Currency:EURKZT"")*M1114)"),238785)</f>
        <v>238785</v>
      </c>
      <c r="Q1114" s="26">
        <f ca="1">IFERROR(__xludf.DUMMYFUNCTION("ROUND(GOOGLEFINANCE(""Currency:EURKZT"")*N1114)"),238785)</f>
        <v>238785</v>
      </c>
      <c r="R1114" s="26">
        <f t="shared" ca="1" si="1055"/>
        <v>374395</v>
      </c>
      <c r="S1114" s="26">
        <f t="shared" ca="1" si="1056"/>
        <v>3971927</v>
      </c>
      <c r="T1114" s="26">
        <f ca="1">IFERROR(__xludf.DUMMYFUNCTION("ROUND(GOOGLEFINANCE(""Currency:EURKZT"")*L1114+S1114)"),4564720)</f>
        <v>4564720</v>
      </c>
      <c r="U1114" s="26">
        <f ca="1">IFERROR(__xludf.DUMMYFUNCTION("D1114*GOOGLEFINANCE(""RUBKZT"")*1000/F1114"),5698444.52744448)</f>
        <v>5698444.52744448</v>
      </c>
      <c r="V1114" s="27">
        <f t="shared" ca="1" si="1057"/>
        <v>0.24836671853793441</v>
      </c>
    </row>
    <row r="1115" spans="1:22" ht="12.75" customHeight="1" x14ac:dyDescent="0.2">
      <c r="A1115" s="6" t="s">
        <v>503</v>
      </c>
      <c r="B1115" s="6" t="s">
        <v>353</v>
      </c>
      <c r="C1115" s="7">
        <v>213820</v>
      </c>
      <c r="D1115" s="8">
        <v>8420.4</v>
      </c>
      <c r="E1115" s="9" t="s">
        <v>16</v>
      </c>
      <c r="F1115" s="23">
        <v>15</v>
      </c>
      <c r="G1115" s="25"/>
      <c r="H1115" s="14">
        <f t="shared" si="1051"/>
        <v>0.55000000000000004</v>
      </c>
      <c r="I1115" s="25">
        <f ca="1">IFERROR(__xludf.DUMMYFUNCTION("ROUND(D1115*GOOGLEFINANCE(""RUBKZT"")*H1115)"),36140)</f>
        <v>36140</v>
      </c>
      <c r="J1115" s="26">
        <f ca="1">IFERROR(__xludf.DUMMYFUNCTION("ROUND(I1115*GOOGLEFINANCE(""KZTEUR""))"),76)</f>
        <v>76</v>
      </c>
      <c r="K1115" s="26">
        <f t="shared" ca="1" si="1052"/>
        <v>5067</v>
      </c>
      <c r="L1115" s="26">
        <f t="shared" ca="1" si="1053"/>
        <v>962.73</v>
      </c>
      <c r="M1115" s="26">
        <f t="shared" ref="M1115:N1115" si="1149">M$3</f>
        <v>500</v>
      </c>
      <c r="N1115" s="26">
        <f t="shared" si="1149"/>
        <v>500</v>
      </c>
      <c r="O1115" s="26">
        <f ca="1">IFERROR(__xludf.DUMMYFUNCTION("ROUND(GOOGLEFINANCE(""Currency:EURKZT"")*K1115)"),2419845)</f>
        <v>2419845</v>
      </c>
      <c r="P1115" s="26">
        <f ca="1">IFERROR(__xludf.DUMMYFUNCTION("ROUND(GOOGLEFINANCE(""Currency:EURKZT"")*M1115)"),238785)</f>
        <v>238785</v>
      </c>
      <c r="Q1115" s="26">
        <f ca="1">IFERROR(__xludf.DUMMYFUNCTION("ROUND(GOOGLEFINANCE(""Currency:EURKZT"")*N1115)"),238785)</f>
        <v>238785</v>
      </c>
      <c r="R1115" s="26">
        <f t="shared" ca="1" si="1055"/>
        <v>290381</v>
      </c>
      <c r="S1115" s="26">
        <f t="shared" ca="1" si="1056"/>
        <v>3187796</v>
      </c>
      <c r="T1115" s="26">
        <f ca="1">IFERROR(__xludf.DUMMYFUNCTION("ROUND(GOOGLEFINANCE(""Currency:EURKZT"")*L1115+S1115)"),3647567)</f>
        <v>3647567</v>
      </c>
      <c r="U1115" s="26">
        <f ca="1">IFERROR(__xludf.DUMMYFUNCTION("D1115*GOOGLEFINANCE(""RUBKZT"")*1000/F1115"),4380585.58819872)</f>
        <v>4380585.5881987195</v>
      </c>
      <c r="V1115" s="27">
        <f t="shared" ca="1" si="1057"/>
        <v>0.20096096609019642</v>
      </c>
    </row>
    <row r="1116" spans="1:22" ht="12.75" customHeight="1" x14ac:dyDescent="0.2">
      <c r="A1116" s="6" t="s">
        <v>509</v>
      </c>
      <c r="B1116" s="6" t="s">
        <v>353</v>
      </c>
      <c r="C1116" s="7">
        <v>213833</v>
      </c>
      <c r="D1116" s="8">
        <v>11059.199999999999</v>
      </c>
      <c r="E1116" s="9" t="s">
        <v>16</v>
      </c>
      <c r="F1116" s="23">
        <v>15</v>
      </c>
      <c r="G1116" s="25"/>
      <c r="H1116" s="14">
        <f t="shared" si="1051"/>
        <v>0.55000000000000004</v>
      </c>
      <c r="I1116" s="25">
        <f ca="1">IFERROR(__xludf.DUMMYFUNCTION("ROUND(D1116*GOOGLEFINANCE(""RUBKZT"")*H1116)"),47465)</f>
        <v>47465</v>
      </c>
      <c r="J1116" s="26">
        <f ca="1">IFERROR(__xludf.DUMMYFUNCTION("ROUND(I1116*GOOGLEFINANCE(""KZTEUR""))"),99)</f>
        <v>99</v>
      </c>
      <c r="K1116" s="26">
        <f t="shared" ca="1" si="1052"/>
        <v>6600</v>
      </c>
      <c r="L1116" s="26">
        <f t="shared" ca="1" si="1053"/>
        <v>1254</v>
      </c>
      <c r="M1116" s="26">
        <f t="shared" ref="M1116:N1116" si="1150">M$3</f>
        <v>500</v>
      </c>
      <c r="N1116" s="26">
        <f t="shared" si="1150"/>
        <v>500</v>
      </c>
      <c r="O1116" s="26">
        <f ca="1">IFERROR(__xludf.DUMMYFUNCTION("ROUND(GOOGLEFINANCE(""Currency:EURKZT"")*K1116)"),3151959)</f>
        <v>3151959</v>
      </c>
      <c r="P1116" s="26">
        <f ca="1">IFERROR(__xludf.DUMMYFUNCTION("ROUND(GOOGLEFINANCE(""Currency:EURKZT"")*M1116)"),238785)</f>
        <v>238785</v>
      </c>
      <c r="Q1116" s="26">
        <f ca="1">IFERROR(__xludf.DUMMYFUNCTION("ROUND(GOOGLEFINANCE(""Currency:EURKZT"")*N1116)"),238785)</f>
        <v>238785</v>
      </c>
      <c r="R1116" s="26">
        <f t="shared" ca="1" si="1055"/>
        <v>378235</v>
      </c>
      <c r="S1116" s="26">
        <f t="shared" ca="1" si="1056"/>
        <v>4007764</v>
      </c>
      <c r="T1116" s="26">
        <f ca="1">IFERROR(__xludf.DUMMYFUNCTION("ROUND(GOOGLEFINANCE(""Currency:EURKZT"")*L1116+S1116)"),4606636)</f>
        <v>4606636</v>
      </c>
      <c r="U1116" s="26">
        <f ca="1">IFERROR(__xludf.DUMMYFUNCTION("D1116*GOOGLEFINANCE(""RUBKZT"")*1000/F1116"),5753381.32832256)</f>
        <v>5753381.3283225596</v>
      </c>
      <c r="V1116" s="27">
        <f t="shared" ca="1" si="1057"/>
        <v>0.24893334926453048</v>
      </c>
    </row>
    <row r="1117" spans="1:22" ht="12.75" customHeight="1" x14ac:dyDescent="0.2">
      <c r="A1117" s="6" t="s">
        <v>494</v>
      </c>
      <c r="B1117" s="6" t="s">
        <v>353</v>
      </c>
      <c r="C1117" s="7">
        <v>213835</v>
      </c>
      <c r="D1117" s="8">
        <v>9687.6</v>
      </c>
      <c r="E1117" s="9" t="s">
        <v>16</v>
      </c>
      <c r="F1117" s="23">
        <v>15</v>
      </c>
      <c r="G1117" s="25"/>
      <c r="H1117" s="14">
        <f t="shared" si="1051"/>
        <v>0.55000000000000004</v>
      </c>
      <c r="I1117" s="25">
        <f ca="1">IFERROR(__xludf.DUMMYFUNCTION("ROUND(D1117*GOOGLEFINANCE(""RUBKZT"")*H1117)"),41579)</f>
        <v>41579</v>
      </c>
      <c r="J1117" s="26">
        <f ca="1">IFERROR(__xludf.DUMMYFUNCTION("ROUND(I1117*GOOGLEFINANCE(""KZTEUR""))"),87)</f>
        <v>87</v>
      </c>
      <c r="K1117" s="26">
        <f t="shared" ca="1" si="1052"/>
        <v>5800</v>
      </c>
      <c r="L1117" s="26">
        <f t="shared" ca="1" si="1053"/>
        <v>1102</v>
      </c>
      <c r="M1117" s="26">
        <f t="shared" ref="M1117:N1117" si="1151">M$3</f>
        <v>500</v>
      </c>
      <c r="N1117" s="26">
        <f t="shared" si="1151"/>
        <v>500</v>
      </c>
      <c r="O1117" s="26">
        <f ca="1">IFERROR(__xludf.DUMMYFUNCTION("ROUND(GOOGLEFINANCE(""Currency:EURKZT"")*K1117)"),2769904)</f>
        <v>2769904</v>
      </c>
      <c r="P1117" s="26">
        <f ca="1">IFERROR(__xludf.DUMMYFUNCTION("ROUND(GOOGLEFINANCE(""Currency:EURKZT"")*M1117)"),238785)</f>
        <v>238785</v>
      </c>
      <c r="Q1117" s="26">
        <f ca="1">IFERROR(__xludf.DUMMYFUNCTION("ROUND(GOOGLEFINANCE(""Currency:EURKZT"")*N1117)"),238785)</f>
        <v>238785</v>
      </c>
      <c r="R1117" s="26">
        <f t="shared" ca="1" si="1055"/>
        <v>332388</v>
      </c>
      <c r="S1117" s="26">
        <f t="shared" ca="1" si="1056"/>
        <v>3579862</v>
      </c>
      <c r="T1117" s="26">
        <f ca="1">IFERROR(__xludf.DUMMYFUNCTION("ROUND(GOOGLEFINANCE(""Currency:EURKZT"")*L1117+S1117)"),4106144)</f>
        <v>4106144</v>
      </c>
      <c r="U1117" s="26">
        <f ca="1">IFERROR(__xludf.DUMMYFUNCTION("D1117*GOOGLEFINANCE(""RUBKZT"")*1000/F1117"),5039827.19873568)</f>
        <v>5039827.1987356804</v>
      </c>
      <c r="V1117" s="27">
        <f t="shared" ca="1" si="1057"/>
        <v>0.2273868619161141</v>
      </c>
    </row>
    <row r="1118" spans="1:22" ht="12.75" customHeight="1" x14ac:dyDescent="0.2">
      <c r="A1118" s="6" t="s">
        <v>511</v>
      </c>
      <c r="B1118" s="6" t="s">
        <v>353</v>
      </c>
      <c r="C1118" s="7">
        <v>213841</v>
      </c>
      <c r="D1118" s="8">
        <v>7950</v>
      </c>
      <c r="E1118" s="9" t="s">
        <v>16</v>
      </c>
      <c r="F1118" s="23">
        <v>15</v>
      </c>
      <c r="G1118" s="25"/>
      <c r="H1118" s="14">
        <f t="shared" si="1051"/>
        <v>0.55000000000000004</v>
      </c>
      <c r="I1118" s="25">
        <f ca="1">IFERROR(__xludf.DUMMYFUNCTION("ROUND(D1118*GOOGLEFINANCE(""RUBKZT"")*H1118)"),34121)</f>
        <v>34121</v>
      </c>
      <c r="J1118" s="26">
        <f ca="1">IFERROR(__xludf.DUMMYFUNCTION("ROUND(I1118*GOOGLEFINANCE(""KZTEUR""))"),71)</f>
        <v>71</v>
      </c>
      <c r="K1118" s="26">
        <f t="shared" ca="1" si="1052"/>
        <v>4733</v>
      </c>
      <c r="L1118" s="26">
        <f t="shared" ca="1" si="1053"/>
        <v>899.27</v>
      </c>
      <c r="M1118" s="26">
        <f t="shared" ref="M1118:N1118" si="1152">M$3</f>
        <v>500</v>
      </c>
      <c r="N1118" s="26">
        <f t="shared" si="1152"/>
        <v>500</v>
      </c>
      <c r="O1118" s="26">
        <f ca="1">IFERROR(__xludf.DUMMYFUNCTION("ROUND(GOOGLEFINANCE(""Currency:EURKZT"")*K1118)"),2260337)</f>
        <v>2260337</v>
      </c>
      <c r="P1118" s="26">
        <f ca="1">IFERROR(__xludf.DUMMYFUNCTION("ROUND(GOOGLEFINANCE(""Currency:EURKZT"")*M1118)"),238785)</f>
        <v>238785</v>
      </c>
      <c r="Q1118" s="26">
        <f ca="1">IFERROR(__xludf.DUMMYFUNCTION("ROUND(GOOGLEFINANCE(""Currency:EURKZT"")*N1118)"),238785)</f>
        <v>238785</v>
      </c>
      <c r="R1118" s="26">
        <f t="shared" ca="1" si="1055"/>
        <v>271240</v>
      </c>
      <c r="S1118" s="26">
        <f t="shared" ca="1" si="1056"/>
        <v>3009147</v>
      </c>
      <c r="T1118" s="26">
        <f ca="1">IFERROR(__xludf.DUMMYFUNCTION("ROUND(GOOGLEFINANCE(""Currency:EURKZT"")*L1118+S1118)"),3438611)</f>
        <v>3438611</v>
      </c>
      <c r="U1118" s="26">
        <f ca="1">IFERROR(__xludf.DUMMYFUNCTION("D1118*GOOGLEFINANCE(""RUBKZT"")*1000/F1118"),4135867.11156)</f>
        <v>4135867.1115600001</v>
      </c>
      <c r="V1118" s="27">
        <f t="shared" ca="1" si="1057"/>
        <v>0.20277260543864953</v>
      </c>
    </row>
    <row r="1119" spans="1:22" ht="12.75" customHeight="1" x14ac:dyDescent="0.2">
      <c r="A1119" s="6" t="s">
        <v>518</v>
      </c>
      <c r="B1119" s="6" t="s">
        <v>353</v>
      </c>
      <c r="C1119" s="7">
        <v>213855</v>
      </c>
      <c r="D1119" s="8">
        <v>8212.7999999999993</v>
      </c>
      <c r="E1119" s="9" t="s">
        <v>7</v>
      </c>
      <c r="F1119" s="23">
        <v>15</v>
      </c>
      <c r="G1119" s="25"/>
      <c r="H1119" s="14">
        <f t="shared" si="1051"/>
        <v>0.55000000000000004</v>
      </c>
      <c r="I1119" s="25">
        <f ca="1">IFERROR(__xludf.DUMMYFUNCTION("ROUND(D1119*GOOGLEFINANCE(""RUBKZT"")*H1119)"),35249)</f>
        <v>35249</v>
      </c>
      <c r="J1119" s="26">
        <f ca="1">IFERROR(__xludf.DUMMYFUNCTION("ROUND(I1119*GOOGLEFINANCE(""KZTEUR""))"),74)</f>
        <v>74</v>
      </c>
      <c r="K1119" s="26">
        <f t="shared" ca="1" si="1052"/>
        <v>4933</v>
      </c>
      <c r="L1119" s="26">
        <f t="shared" ca="1" si="1053"/>
        <v>937.27</v>
      </c>
      <c r="M1119" s="26">
        <f t="shared" ref="M1119:N1119" si="1153">M$3</f>
        <v>500</v>
      </c>
      <c r="N1119" s="26">
        <f t="shared" si="1153"/>
        <v>500</v>
      </c>
      <c r="O1119" s="26">
        <f ca="1">IFERROR(__xludf.DUMMYFUNCTION("ROUND(GOOGLEFINANCE(""Currency:EURKZT"")*K1119)"),2355851)</f>
        <v>2355851</v>
      </c>
      <c r="P1119" s="26">
        <f ca="1">IFERROR(__xludf.DUMMYFUNCTION("ROUND(GOOGLEFINANCE(""Currency:EURKZT"")*M1119)"),238785)</f>
        <v>238785</v>
      </c>
      <c r="Q1119" s="26">
        <f ca="1">IFERROR(__xludf.DUMMYFUNCTION("ROUND(GOOGLEFINANCE(""Currency:EURKZT"")*N1119)"),238785)</f>
        <v>238785</v>
      </c>
      <c r="R1119" s="26">
        <f t="shared" ca="1" si="1055"/>
        <v>282702</v>
      </c>
      <c r="S1119" s="26">
        <f t="shared" ca="1" si="1056"/>
        <v>3116123</v>
      </c>
      <c r="T1119" s="26">
        <f ca="1">IFERROR(__xludf.DUMMYFUNCTION("ROUND(GOOGLEFINANCE(""Currency:EURKZT"")*L1119+S1119)"),3563735)</f>
        <v>3563735</v>
      </c>
      <c r="U1119" s="26">
        <f ca="1">IFERROR(__xludf.DUMMYFUNCTION("D1119*GOOGLEFINANCE(""RUBKZT"")*1000/F1119"),4272584.83192704)</f>
        <v>4272584.8319270397</v>
      </c>
      <c r="V1119" s="27">
        <f t="shared" ca="1" si="1057"/>
        <v>0.1989064371865584</v>
      </c>
    </row>
    <row r="1120" spans="1:22" ht="12.75" customHeight="1" x14ac:dyDescent="0.2">
      <c r="A1120" s="6" t="s">
        <v>531</v>
      </c>
      <c r="B1120" s="6" t="s">
        <v>353</v>
      </c>
      <c r="C1120" s="7">
        <v>213874</v>
      </c>
      <c r="D1120" s="8">
        <v>9182.4</v>
      </c>
      <c r="E1120" s="9" t="s">
        <v>7</v>
      </c>
      <c r="F1120" s="23">
        <v>15</v>
      </c>
      <c r="G1120" s="25"/>
      <c r="H1120" s="14">
        <f t="shared" si="1051"/>
        <v>0.55000000000000004</v>
      </c>
      <c r="I1120" s="25">
        <f ca="1">IFERROR(__xludf.DUMMYFUNCTION("ROUND(D1120*GOOGLEFINANCE(""RUBKZT"")*H1120)"),39410)</f>
        <v>39410</v>
      </c>
      <c r="J1120" s="26">
        <f ca="1">IFERROR(__xludf.DUMMYFUNCTION("ROUND(I1120*GOOGLEFINANCE(""KZTEUR""))"),83)</f>
        <v>83</v>
      </c>
      <c r="K1120" s="26">
        <f t="shared" ca="1" si="1052"/>
        <v>5533</v>
      </c>
      <c r="L1120" s="26">
        <f t="shared" ca="1" si="1053"/>
        <v>1051.27</v>
      </c>
      <c r="M1120" s="26">
        <f t="shared" ref="M1120:N1120" si="1154">M$3</f>
        <v>500</v>
      </c>
      <c r="N1120" s="26">
        <f t="shared" si="1154"/>
        <v>500</v>
      </c>
      <c r="O1120" s="26">
        <f ca="1">IFERROR(__xludf.DUMMYFUNCTION("ROUND(GOOGLEFINANCE(""Currency:EURKZT"")*K1120)"),2642393)</f>
        <v>2642393</v>
      </c>
      <c r="P1120" s="26">
        <f ca="1">IFERROR(__xludf.DUMMYFUNCTION("ROUND(GOOGLEFINANCE(""Currency:EURKZT"")*M1120)"),238785)</f>
        <v>238785</v>
      </c>
      <c r="Q1120" s="26">
        <f ca="1">IFERROR(__xludf.DUMMYFUNCTION("ROUND(GOOGLEFINANCE(""Currency:EURKZT"")*N1120)"),238785)</f>
        <v>238785</v>
      </c>
      <c r="R1120" s="26">
        <f t="shared" ca="1" si="1055"/>
        <v>317087</v>
      </c>
      <c r="S1120" s="26">
        <f t="shared" ca="1" si="1056"/>
        <v>3437050</v>
      </c>
      <c r="T1120" s="26">
        <f ca="1">IFERROR(__xludf.DUMMYFUNCTION("ROUND(GOOGLEFINANCE(""Currency:EURKZT"")*L1120+S1120)"),3939105)</f>
        <v>3939105</v>
      </c>
      <c r="U1120" s="26">
        <f ca="1">IFERROR(__xludf.DUMMYFUNCTION("D1120*GOOGLEFINANCE(""RUBKZT"")*1000/F1120"),4777004.54908032)</f>
        <v>4777004.5490803197</v>
      </c>
      <c r="V1120" s="27">
        <f t="shared" ca="1" si="1057"/>
        <v>0.21271317953705721</v>
      </c>
    </row>
    <row r="1121" spans="1:22" ht="12.75" customHeight="1" x14ac:dyDescent="0.2">
      <c r="A1121" s="6" t="s">
        <v>533</v>
      </c>
      <c r="B1121" s="6" t="s">
        <v>353</v>
      </c>
      <c r="C1121" s="7">
        <v>213879</v>
      </c>
      <c r="D1121" s="8">
        <v>6568.8</v>
      </c>
      <c r="E1121" s="9" t="s">
        <v>7</v>
      </c>
      <c r="F1121" s="23">
        <v>15</v>
      </c>
      <c r="G1121" s="25"/>
      <c r="H1121" s="14">
        <f t="shared" si="1051"/>
        <v>0.55000000000000004</v>
      </c>
      <c r="I1121" s="25">
        <f ca="1">IFERROR(__xludf.DUMMYFUNCTION("ROUND(D1121*GOOGLEFINANCE(""RUBKZT"")*H1121)"),28193)</f>
        <v>28193</v>
      </c>
      <c r="J1121" s="26">
        <f ca="1">IFERROR(__xludf.DUMMYFUNCTION("ROUND(I1121*GOOGLEFINANCE(""KZTEUR""))"),59)</f>
        <v>59</v>
      </c>
      <c r="K1121" s="26">
        <f t="shared" ca="1" si="1052"/>
        <v>3933</v>
      </c>
      <c r="L1121" s="26">
        <f t="shared" ca="1" si="1053"/>
        <v>747.27</v>
      </c>
      <c r="M1121" s="26">
        <f t="shared" ref="M1121:N1121" si="1155">M$3</f>
        <v>500</v>
      </c>
      <c r="N1121" s="26">
        <f t="shared" si="1155"/>
        <v>500</v>
      </c>
      <c r="O1121" s="26">
        <f ca="1">IFERROR(__xludf.DUMMYFUNCTION("ROUND(GOOGLEFINANCE(""Currency:EURKZT"")*K1121)"),1878281)</f>
        <v>1878281</v>
      </c>
      <c r="P1121" s="26">
        <f ca="1">IFERROR(__xludf.DUMMYFUNCTION("ROUND(GOOGLEFINANCE(""Currency:EURKZT"")*M1121)"),238785)</f>
        <v>238785</v>
      </c>
      <c r="Q1121" s="26">
        <f ca="1">IFERROR(__xludf.DUMMYFUNCTION("ROUND(GOOGLEFINANCE(""Currency:EURKZT"")*N1121)"),238785)</f>
        <v>238785</v>
      </c>
      <c r="R1121" s="26">
        <f t="shared" ca="1" si="1055"/>
        <v>225394</v>
      </c>
      <c r="S1121" s="26">
        <f t="shared" ca="1" si="1056"/>
        <v>2581245</v>
      </c>
      <c r="T1121" s="26">
        <f ca="1">IFERROR(__xludf.DUMMYFUNCTION("ROUND(GOOGLEFINANCE(""Currency:EURKZT"")*L1121+S1121)"),2938118)</f>
        <v>2938118</v>
      </c>
      <c r="U1121" s="26">
        <f ca="1">IFERROR(__xludf.DUMMYFUNCTION("D1121*GOOGLEFINANCE(""RUBKZT"")*1000/F1121"),3417318.72734784)</f>
        <v>3417318.7273478401</v>
      </c>
      <c r="V1121" s="27">
        <f t="shared" ca="1" si="1057"/>
        <v>0.16309784948999329</v>
      </c>
    </row>
    <row r="1122" spans="1:22" ht="12.75" customHeight="1" x14ac:dyDescent="0.2">
      <c r="A1122" s="6" t="s">
        <v>534</v>
      </c>
      <c r="B1122" s="6" t="s">
        <v>353</v>
      </c>
      <c r="C1122" s="7">
        <v>213882</v>
      </c>
      <c r="D1122" s="8">
        <v>6220.8</v>
      </c>
      <c r="E1122" s="9" t="s">
        <v>7</v>
      </c>
      <c r="F1122" s="23">
        <v>15</v>
      </c>
      <c r="G1122" s="25"/>
      <c r="H1122" s="14">
        <f t="shared" si="1051"/>
        <v>0.55000000000000004</v>
      </c>
      <c r="I1122" s="25">
        <f ca="1">IFERROR(__xludf.DUMMYFUNCTION("ROUND(D1122*GOOGLEFINANCE(""RUBKZT"")*H1122)"),26699)</f>
        <v>26699</v>
      </c>
      <c r="J1122" s="26">
        <f ca="1">IFERROR(__xludf.DUMMYFUNCTION("ROUND(I1122*GOOGLEFINANCE(""KZTEUR""))"),56)</f>
        <v>56</v>
      </c>
      <c r="K1122" s="26">
        <f t="shared" ca="1" si="1052"/>
        <v>3733</v>
      </c>
      <c r="L1122" s="26">
        <f t="shared" ca="1" si="1053"/>
        <v>709.27</v>
      </c>
      <c r="M1122" s="26">
        <f t="shared" ref="M1122:N1122" si="1156">M$3</f>
        <v>500</v>
      </c>
      <c r="N1122" s="26">
        <f t="shared" si="1156"/>
        <v>500</v>
      </c>
      <c r="O1122" s="26">
        <f ca="1">IFERROR(__xludf.DUMMYFUNCTION("ROUND(GOOGLEFINANCE(""Currency:EURKZT"")*K1122)"),1782767)</f>
        <v>1782767</v>
      </c>
      <c r="P1122" s="26">
        <f ca="1">IFERROR(__xludf.DUMMYFUNCTION("ROUND(GOOGLEFINANCE(""Currency:EURKZT"")*M1122)"),238785)</f>
        <v>238785</v>
      </c>
      <c r="Q1122" s="26">
        <f ca="1">IFERROR(__xludf.DUMMYFUNCTION("ROUND(GOOGLEFINANCE(""Currency:EURKZT"")*N1122)"),238785)</f>
        <v>238785</v>
      </c>
      <c r="R1122" s="26">
        <f t="shared" ca="1" si="1055"/>
        <v>213932</v>
      </c>
      <c r="S1122" s="26">
        <f t="shared" ca="1" si="1056"/>
        <v>2474269</v>
      </c>
      <c r="T1122" s="26">
        <f ca="1">IFERROR(__xludf.DUMMYFUNCTION("ROUND(GOOGLEFINANCE(""Currency:EURKZT"")*L1122+S1122)"),2812995)</f>
        <v>2812995</v>
      </c>
      <c r="U1122" s="26">
        <f ca="1">IFERROR(__xludf.DUMMYFUNCTION("D1122*GOOGLEFINANCE(""RUBKZT"")*1000/F1122"),3236276.99718144)</f>
        <v>3236276.9971814398</v>
      </c>
      <c r="V1122" s="27">
        <f t="shared" ca="1" si="1057"/>
        <v>0.15047378227883085</v>
      </c>
    </row>
    <row r="1123" spans="1:22" ht="12.75" customHeight="1" x14ac:dyDescent="0.2">
      <c r="A1123" s="6" t="s">
        <v>536</v>
      </c>
      <c r="B1123" s="6" t="s">
        <v>353</v>
      </c>
      <c r="C1123" s="7">
        <v>213894</v>
      </c>
      <c r="D1123" s="8">
        <v>10630.8</v>
      </c>
      <c r="E1123" s="9" t="s">
        <v>7</v>
      </c>
      <c r="F1123" s="23">
        <v>15</v>
      </c>
      <c r="G1123" s="24">
        <v>0.05</v>
      </c>
      <c r="H1123" s="14">
        <f t="shared" si="1051"/>
        <v>0.60000000000000009</v>
      </c>
      <c r="I1123" s="25">
        <f ca="1">IFERROR(__xludf.DUMMYFUNCTION("ROUND(D1123*GOOGLEFINANCE(""RUBKZT"")*H1123)"),49775)</f>
        <v>49775</v>
      </c>
      <c r="J1123" s="26">
        <f ca="1">IFERROR(__xludf.DUMMYFUNCTION("ROUND(I1123*GOOGLEFINANCE(""KZTEUR""))"),104)</f>
        <v>104</v>
      </c>
      <c r="K1123" s="26">
        <f t="shared" ca="1" si="1052"/>
        <v>6933</v>
      </c>
      <c r="L1123" s="26">
        <f t="shared" ca="1" si="1053"/>
        <v>1317.27</v>
      </c>
      <c r="M1123" s="26">
        <f t="shared" ref="M1123:N1123" si="1157">M$3</f>
        <v>500</v>
      </c>
      <c r="N1123" s="26">
        <f t="shared" si="1157"/>
        <v>500</v>
      </c>
      <c r="O1123" s="26">
        <f ca="1">IFERROR(__xludf.DUMMYFUNCTION("ROUND(GOOGLEFINANCE(""Currency:EURKZT"")*K1123)"),3310990)</f>
        <v>3310990</v>
      </c>
      <c r="P1123" s="26">
        <f ca="1">IFERROR(__xludf.DUMMYFUNCTION("ROUND(GOOGLEFINANCE(""Currency:EURKZT"")*M1123)"),238785)</f>
        <v>238785</v>
      </c>
      <c r="Q1123" s="26">
        <f ca="1">IFERROR(__xludf.DUMMYFUNCTION("ROUND(GOOGLEFINANCE(""Currency:EURKZT"")*N1123)"),238785)</f>
        <v>238785</v>
      </c>
      <c r="R1123" s="26">
        <f t="shared" ca="1" si="1055"/>
        <v>397319</v>
      </c>
      <c r="S1123" s="26">
        <f t="shared" ca="1" si="1056"/>
        <v>4185879</v>
      </c>
      <c r="T1123" s="26">
        <f ca="1">IFERROR(__xludf.DUMMYFUNCTION("ROUND(GOOGLEFINANCE(""Currency:EURKZT"")*L1123+S1123)"),4814967)</f>
        <v>4814967</v>
      </c>
      <c r="U1123" s="26">
        <f ca="1">IFERROR(__xludf.DUMMYFUNCTION("D1123*GOOGLEFINANCE(""RUBKZT"")*1000/F1123"),5530512.71566944)</f>
        <v>5530512.7156694401</v>
      </c>
      <c r="V1123" s="27">
        <f t="shared" ca="1" si="1057"/>
        <v>0.1486086437704433</v>
      </c>
    </row>
    <row r="1124" spans="1:22" ht="12.75" customHeight="1" x14ac:dyDescent="0.2">
      <c r="A1124" s="6" t="s">
        <v>540</v>
      </c>
      <c r="B1124" s="6" t="s">
        <v>353</v>
      </c>
      <c r="C1124" s="7">
        <v>213908</v>
      </c>
      <c r="D1124" s="8">
        <v>9950.4</v>
      </c>
      <c r="E1124" s="9" t="s">
        <v>7</v>
      </c>
      <c r="F1124" s="23">
        <v>15</v>
      </c>
      <c r="G1124" s="25"/>
      <c r="H1124" s="14">
        <f t="shared" si="1051"/>
        <v>0.55000000000000004</v>
      </c>
      <c r="I1124" s="25">
        <f ca="1">IFERROR(__xludf.DUMMYFUNCTION("ROUND(D1124*GOOGLEFINANCE(""RUBKZT"")*H1124)"),42706)</f>
        <v>42706</v>
      </c>
      <c r="J1124" s="26">
        <f ca="1">IFERROR(__xludf.DUMMYFUNCTION("ROUND(I1124*GOOGLEFINANCE(""KZTEUR""))"),89)</f>
        <v>89</v>
      </c>
      <c r="K1124" s="26">
        <f t="shared" ca="1" si="1052"/>
        <v>5933</v>
      </c>
      <c r="L1124" s="26">
        <f t="shared" ca="1" si="1053"/>
        <v>1127.27</v>
      </c>
      <c r="M1124" s="26">
        <f t="shared" ref="M1124:N1124" si="1158">M$3</f>
        <v>500</v>
      </c>
      <c r="N1124" s="26">
        <f t="shared" si="1158"/>
        <v>500</v>
      </c>
      <c r="O1124" s="26">
        <f ca="1">IFERROR(__xludf.DUMMYFUNCTION("ROUND(GOOGLEFINANCE(""Currency:EURKZT"")*K1124)"),2833421)</f>
        <v>2833421</v>
      </c>
      <c r="P1124" s="26">
        <f ca="1">IFERROR(__xludf.DUMMYFUNCTION("ROUND(GOOGLEFINANCE(""Currency:EURKZT"")*M1124)"),238785)</f>
        <v>238785</v>
      </c>
      <c r="Q1124" s="26">
        <f ca="1">IFERROR(__xludf.DUMMYFUNCTION("ROUND(GOOGLEFINANCE(""Currency:EURKZT"")*N1124)"),238785)</f>
        <v>238785</v>
      </c>
      <c r="R1124" s="26">
        <f t="shared" ca="1" si="1055"/>
        <v>340011</v>
      </c>
      <c r="S1124" s="26">
        <f t="shared" ca="1" si="1056"/>
        <v>3651002</v>
      </c>
      <c r="T1124" s="26">
        <f ca="1">IFERROR(__xludf.DUMMYFUNCTION("ROUND(GOOGLEFINANCE(""Currency:EURKZT"")*L1124+S1124)"),4189352)</f>
        <v>4189352</v>
      </c>
      <c r="U1124" s="26">
        <f ca="1">IFERROR(__xludf.DUMMYFUNCTION("D1124*GOOGLEFINANCE(""RUBKZT"")*1000/F1124"),5176544.91910272)</f>
        <v>5176544.91910272</v>
      </c>
      <c r="V1124" s="27">
        <f t="shared" ca="1" si="1057"/>
        <v>0.23564334510509502</v>
      </c>
    </row>
    <row r="1125" spans="1:22" ht="12.75" customHeight="1" x14ac:dyDescent="0.2">
      <c r="A1125" s="6" t="s">
        <v>537</v>
      </c>
      <c r="B1125" s="6" t="s">
        <v>353</v>
      </c>
      <c r="C1125" s="7">
        <v>213913</v>
      </c>
      <c r="D1125" s="8">
        <v>9236.4</v>
      </c>
      <c r="E1125" s="9" t="s">
        <v>7</v>
      </c>
      <c r="F1125" s="23">
        <v>15</v>
      </c>
      <c r="G1125" s="25"/>
      <c r="H1125" s="14">
        <f t="shared" si="1051"/>
        <v>0.55000000000000004</v>
      </c>
      <c r="I1125" s="25">
        <f ca="1">IFERROR(__xludf.DUMMYFUNCTION("ROUND(D1125*GOOGLEFINANCE(""RUBKZT"")*H1125)"),39642)</f>
        <v>39642</v>
      </c>
      <c r="J1125" s="26">
        <f ca="1">IFERROR(__xludf.DUMMYFUNCTION("ROUND(I1125*GOOGLEFINANCE(""KZTEUR""))"),83)</f>
        <v>83</v>
      </c>
      <c r="K1125" s="26">
        <f t="shared" ca="1" si="1052"/>
        <v>5533</v>
      </c>
      <c r="L1125" s="26">
        <f t="shared" ca="1" si="1053"/>
        <v>1051.27</v>
      </c>
      <c r="M1125" s="26">
        <f t="shared" ref="M1125:N1125" si="1159">M$3</f>
        <v>500</v>
      </c>
      <c r="N1125" s="26">
        <f t="shared" si="1159"/>
        <v>500</v>
      </c>
      <c r="O1125" s="26">
        <f ca="1">IFERROR(__xludf.DUMMYFUNCTION("ROUND(GOOGLEFINANCE(""Currency:EURKZT"")*K1125)"),2642393)</f>
        <v>2642393</v>
      </c>
      <c r="P1125" s="26">
        <f ca="1">IFERROR(__xludf.DUMMYFUNCTION("ROUND(GOOGLEFINANCE(""Currency:EURKZT"")*M1125)"),238785)</f>
        <v>238785</v>
      </c>
      <c r="Q1125" s="26">
        <f ca="1">IFERROR(__xludf.DUMMYFUNCTION("ROUND(GOOGLEFINANCE(""Currency:EURKZT"")*N1125)"),238785)</f>
        <v>238785</v>
      </c>
      <c r="R1125" s="26">
        <f t="shared" ca="1" si="1055"/>
        <v>317087</v>
      </c>
      <c r="S1125" s="26">
        <f t="shared" ca="1" si="1056"/>
        <v>3437050</v>
      </c>
      <c r="T1125" s="26">
        <f ca="1">IFERROR(__xludf.DUMMYFUNCTION("ROUND(GOOGLEFINANCE(""Currency:EURKZT"")*L1125+S1125)"),3939105)</f>
        <v>3939105</v>
      </c>
      <c r="U1125" s="26">
        <f ca="1">IFERROR(__xludf.DUMMYFUNCTION("D1125*GOOGLEFINANCE(""RUBKZT"")*1000/F1125"),4805097.23134752)</f>
        <v>4805097.2313475199</v>
      </c>
      <c r="V1125" s="27">
        <f t="shared" ca="1" si="1057"/>
        <v>0.21984492196768554</v>
      </c>
    </row>
    <row r="1126" spans="1:22" ht="12.75" customHeight="1" x14ac:dyDescent="0.2">
      <c r="A1126" s="6" t="s">
        <v>541</v>
      </c>
      <c r="B1126" s="6" t="s">
        <v>353</v>
      </c>
      <c r="C1126" s="7">
        <v>213915</v>
      </c>
      <c r="D1126" s="8">
        <v>9405.6</v>
      </c>
      <c r="E1126" s="9" t="s">
        <v>7</v>
      </c>
      <c r="F1126" s="23">
        <v>15</v>
      </c>
      <c r="G1126" s="25"/>
      <c r="H1126" s="14">
        <f t="shared" si="1051"/>
        <v>0.55000000000000004</v>
      </c>
      <c r="I1126" s="25">
        <f ca="1">IFERROR(__xludf.DUMMYFUNCTION("ROUND(D1126*GOOGLEFINANCE(""RUBKZT"")*H1126)"),40368)</f>
        <v>40368</v>
      </c>
      <c r="J1126" s="26">
        <f ca="1">IFERROR(__xludf.DUMMYFUNCTION("ROUND(I1126*GOOGLEFINANCE(""KZTEUR""))"),85)</f>
        <v>85</v>
      </c>
      <c r="K1126" s="26">
        <f t="shared" ca="1" si="1052"/>
        <v>5667</v>
      </c>
      <c r="L1126" s="26">
        <f t="shared" ca="1" si="1053"/>
        <v>1076.73</v>
      </c>
      <c r="M1126" s="26">
        <f t="shared" ref="M1126:N1126" si="1160">M$3</f>
        <v>500</v>
      </c>
      <c r="N1126" s="26">
        <f t="shared" si="1160"/>
        <v>500</v>
      </c>
      <c r="O1126" s="26">
        <f ca="1">IFERROR(__xludf.DUMMYFUNCTION("ROUND(GOOGLEFINANCE(""Currency:EURKZT"")*K1126)"),2706387)</f>
        <v>2706387</v>
      </c>
      <c r="P1126" s="26">
        <f ca="1">IFERROR(__xludf.DUMMYFUNCTION("ROUND(GOOGLEFINANCE(""Currency:EURKZT"")*M1126)"),238785)</f>
        <v>238785</v>
      </c>
      <c r="Q1126" s="26">
        <f ca="1">IFERROR(__xludf.DUMMYFUNCTION("ROUND(GOOGLEFINANCE(""Currency:EURKZT"")*N1126)"),238785)</f>
        <v>238785</v>
      </c>
      <c r="R1126" s="26">
        <f t="shared" ca="1" si="1055"/>
        <v>324766</v>
      </c>
      <c r="S1126" s="26">
        <f t="shared" ca="1" si="1056"/>
        <v>3508723</v>
      </c>
      <c r="T1126" s="26">
        <f ca="1">IFERROR(__xludf.DUMMYFUNCTION("ROUND(GOOGLEFINANCE(""Currency:EURKZT"")*L1126+S1126)"),4022937)</f>
        <v>4022937</v>
      </c>
      <c r="U1126" s="26">
        <f ca="1">IFERROR(__xludf.DUMMYFUNCTION("D1126*GOOGLEFINANCE(""RUBKZT"")*1000/F1126"),4893120.96911808)</f>
        <v>4893120.9691180801</v>
      </c>
      <c r="V1126" s="27">
        <f t="shared" ca="1" si="1057"/>
        <v>0.21630564165386634</v>
      </c>
    </row>
    <row r="1127" spans="1:22" ht="12.75" customHeight="1" x14ac:dyDescent="0.2">
      <c r="A1127" s="6" t="s">
        <v>542</v>
      </c>
      <c r="B1127" s="6" t="s">
        <v>353</v>
      </c>
      <c r="C1127" s="7">
        <v>213917</v>
      </c>
      <c r="D1127" s="8">
        <v>9680.4</v>
      </c>
      <c r="E1127" s="9" t="s">
        <v>7</v>
      </c>
      <c r="F1127" s="23">
        <v>15</v>
      </c>
      <c r="G1127" s="25"/>
      <c r="H1127" s="14">
        <f t="shared" si="1051"/>
        <v>0.55000000000000004</v>
      </c>
      <c r="I1127" s="25">
        <f ca="1">IFERROR(__xludf.DUMMYFUNCTION("ROUND(D1127*GOOGLEFINANCE(""RUBKZT"")*H1127)"),41548)</f>
        <v>41548</v>
      </c>
      <c r="J1127" s="26">
        <f ca="1">IFERROR(__xludf.DUMMYFUNCTION("ROUND(I1127*GOOGLEFINANCE(""KZTEUR""))"),87)</f>
        <v>87</v>
      </c>
      <c r="K1127" s="26">
        <f t="shared" ca="1" si="1052"/>
        <v>5800</v>
      </c>
      <c r="L1127" s="26">
        <f t="shared" ca="1" si="1053"/>
        <v>1102</v>
      </c>
      <c r="M1127" s="26">
        <f t="shared" ref="M1127:N1127" si="1161">M$3</f>
        <v>500</v>
      </c>
      <c r="N1127" s="26">
        <f t="shared" si="1161"/>
        <v>500</v>
      </c>
      <c r="O1127" s="26">
        <f ca="1">IFERROR(__xludf.DUMMYFUNCTION("ROUND(GOOGLEFINANCE(""Currency:EURKZT"")*K1127)"),2769904)</f>
        <v>2769904</v>
      </c>
      <c r="P1127" s="26">
        <f ca="1">IFERROR(__xludf.DUMMYFUNCTION("ROUND(GOOGLEFINANCE(""Currency:EURKZT"")*M1127)"),238785)</f>
        <v>238785</v>
      </c>
      <c r="Q1127" s="26">
        <f ca="1">IFERROR(__xludf.DUMMYFUNCTION("ROUND(GOOGLEFINANCE(""Currency:EURKZT"")*N1127)"),238785)</f>
        <v>238785</v>
      </c>
      <c r="R1127" s="26">
        <f t="shared" ca="1" si="1055"/>
        <v>332388</v>
      </c>
      <c r="S1127" s="26">
        <f t="shared" ca="1" si="1056"/>
        <v>3579862</v>
      </c>
      <c r="T1127" s="26">
        <f ca="1">IFERROR(__xludf.DUMMYFUNCTION("ROUND(GOOGLEFINANCE(""Currency:EURKZT"")*L1127+S1127)"),4106144)</f>
        <v>4106144</v>
      </c>
      <c r="U1127" s="26">
        <f ca="1">IFERROR(__xludf.DUMMYFUNCTION("D1127*GOOGLEFINANCE(""RUBKZT"")*1000/F1127"),5036081.50776672)</f>
        <v>5036081.5077667199</v>
      </c>
      <c r="V1127" s="27">
        <f t="shared" ca="1" si="1057"/>
        <v>0.22647464574226328</v>
      </c>
    </row>
    <row r="1128" spans="1:22" ht="12.75" customHeight="1" x14ac:dyDescent="0.2">
      <c r="A1128" s="6" t="s">
        <v>539</v>
      </c>
      <c r="B1128" s="6" t="s">
        <v>353</v>
      </c>
      <c r="C1128" s="7">
        <v>213920</v>
      </c>
      <c r="D1128" s="8">
        <v>10590</v>
      </c>
      <c r="E1128" s="9" t="s">
        <v>7</v>
      </c>
      <c r="F1128" s="23">
        <v>15</v>
      </c>
      <c r="G1128" s="25"/>
      <c r="H1128" s="14">
        <f t="shared" si="1051"/>
        <v>0.55000000000000004</v>
      </c>
      <c r="I1128" s="25">
        <f ca="1">IFERROR(__xludf.DUMMYFUNCTION("ROUND(D1128*GOOGLEFINANCE(""RUBKZT"")*H1128)"),45452)</f>
        <v>45452</v>
      </c>
      <c r="J1128" s="26">
        <f ca="1">IFERROR(__xludf.DUMMYFUNCTION("ROUND(I1128*GOOGLEFINANCE(""KZTEUR""))"),95)</f>
        <v>95</v>
      </c>
      <c r="K1128" s="26">
        <f t="shared" ca="1" si="1052"/>
        <v>6333</v>
      </c>
      <c r="L1128" s="26">
        <f t="shared" ca="1" si="1053"/>
        <v>1203.27</v>
      </c>
      <c r="M1128" s="26">
        <f t="shared" ref="M1128:N1128" si="1162">M$3</f>
        <v>500</v>
      </c>
      <c r="N1128" s="26">
        <f t="shared" si="1162"/>
        <v>500</v>
      </c>
      <c r="O1128" s="26">
        <f ca="1">IFERROR(__xludf.DUMMYFUNCTION("ROUND(GOOGLEFINANCE(""Currency:EURKZT"")*K1128)"),3024448)</f>
        <v>3024448</v>
      </c>
      <c r="P1128" s="26">
        <f ca="1">IFERROR(__xludf.DUMMYFUNCTION("ROUND(GOOGLEFINANCE(""Currency:EURKZT"")*M1128)"),238785)</f>
        <v>238785</v>
      </c>
      <c r="Q1128" s="26">
        <f ca="1">IFERROR(__xludf.DUMMYFUNCTION("ROUND(GOOGLEFINANCE(""Currency:EURKZT"")*N1128)"),238785)</f>
        <v>238785</v>
      </c>
      <c r="R1128" s="26">
        <f t="shared" ca="1" si="1055"/>
        <v>362934</v>
      </c>
      <c r="S1128" s="26">
        <f t="shared" ca="1" si="1056"/>
        <v>3864952</v>
      </c>
      <c r="T1128" s="26">
        <f ca="1">IFERROR(__xludf.DUMMYFUNCTION("ROUND(GOOGLEFINANCE(""Currency:EURKZT"")*L1128+S1128)"),4439597)</f>
        <v>4439597</v>
      </c>
      <c r="U1128" s="26">
        <f ca="1">IFERROR(__xludf.DUMMYFUNCTION("D1128*GOOGLEFINANCE(""RUBKZT"")*1000/F1128"),5509287.133512)</f>
        <v>5509287.1335119996</v>
      </c>
      <c r="V1128" s="27">
        <f t="shared" ca="1" si="1057"/>
        <v>0.24094307062375248</v>
      </c>
    </row>
    <row r="1129" spans="1:22" ht="12.75" customHeight="1" x14ac:dyDescent="0.2">
      <c r="A1129" s="6" t="s">
        <v>543</v>
      </c>
      <c r="B1129" s="6" t="s">
        <v>353</v>
      </c>
      <c r="C1129" s="7">
        <v>213922</v>
      </c>
      <c r="D1129" s="8">
        <v>9715.1999999999989</v>
      </c>
      <c r="E1129" s="9" t="s">
        <v>7</v>
      </c>
      <c r="F1129" s="23">
        <v>15</v>
      </c>
      <c r="G1129" s="25"/>
      <c r="H1129" s="14">
        <f t="shared" si="1051"/>
        <v>0.55000000000000004</v>
      </c>
      <c r="I1129" s="25">
        <f ca="1">IFERROR(__xludf.DUMMYFUNCTION("ROUND(D1129*GOOGLEFINANCE(""RUBKZT"")*H1129)"),41697)</f>
        <v>41697</v>
      </c>
      <c r="J1129" s="26">
        <f ca="1">IFERROR(__xludf.DUMMYFUNCTION("ROUND(I1129*GOOGLEFINANCE(""KZTEUR""))"),87)</f>
        <v>87</v>
      </c>
      <c r="K1129" s="26">
        <f t="shared" ca="1" si="1052"/>
        <v>5800</v>
      </c>
      <c r="L1129" s="26">
        <f t="shared" ca="1" si="1053"/>
        <v>1102</v>
      </c>
      <c r="M1129" s="26">
        <f t="shared" ref="M1129:N1129" si="1163">M$3</f>
        <v>500</v>
      </c>
      <c r="N1129" s="26">
        <f t="shared" si="1163"/>
        <v>500</v>
      </c>
      <c r="O1129" s="26">
        <f ca="1">IFERROR(__xludf.DUMMYFUNCTION("ROUND(GOOGLEFINANCE(""Currency:EURKZT"")*K1129)"),2769904)</f>
        <v>2769904</v>
      </c>
      <c r="P1129" s="26">
        <f ca="1">IFERROR(__xludf.DUMMYFUNCTION("ROUND(GOOGLEFINANCE(""Currency:EURKZT"")*M1129)"),238785)</f>
        <v>238785</v>
      </c>
      <c r="Q1129" s="26">
        <f ca="1">IFERROR(__xludf.DUMMYFUNCTION("ROUND(GOOGLEFINANCE(""Currency:EURKZT"")*N1129)"),238785)</f>
        <v>238785</v>
      </c>
      <c r="R1129" s="26">
        <f t="shared" ca="1" si="1055"/>
        <v>332388</v>
      </c>
      <c r="S1129" s="26">
        <f t="shared" ca="1" si="1056"/>
        <v>3579862</v>
      </c>
      <c r="T1129" s="26">
        <f ca="1">IFERROR(__xludf.DUMMYFUNCTION("ROUND(GOOGLEFINANCE(""Currency:EURKZT"")*L1129+S1129)"),4106144)</f>
        <v>4106144</v>
      </c>
      <c r="U1129" s="26">
        <f ca="1">IFERROR(__xludf.DUMMYFUNCTION("D1129*GOOGLEFINANCE(""RUBKZT"")*1000/F1129"),5054185.68078335)</f>
        <v>5054185.68078335</v>
      </c>
      <c r="V1129" s="27">
        <f t="shared" ca="1" si="1057"/>
        <v>0.23088369058253924</v>
      </c>
    </row>
    <row r="1130" spans="1:22" ht="12.75" customHeight="1" x14ac:dyDescent="0.2">
      <c r="A1130" s="6" t="s">
        <v>544</v>
      </c>
      <c r="B1130" s="6" t="s">
        <v>353</v>
      </c>
      <c r="C1130" s="7">
        <v>213932</v>
      </c>
      <c r="D1130" s="8">
        <v>10227.6</v>
      </c>
      <c r="E1130" s="9" t="s">
        <v>7</v>
      </c>
      <c r="F1130" s="23">
        <v>15</v>
      </c>
      <c r="G1130" s="25"/>
      <c r="H1130" s="14">
        <f t="shared" si="1051"/>
        <v>0.55000000000000004</v>
      </c>
      <c r="I1130" s="25">
        <f ca="1">IFERROR(__xludf.DUMMYFUNCTION("ROUND(D1130*GOOGLEFINANCE(""RUBKZT"")*H1130)"),43896)</f>
        <v>43896</v>
      </c>
      <c r="J1130" s="26">
        <f ca="1">IFERROR(__xludf.DUMMYFUNCTION("ROUND(I1130*GOOGLEFINANCE(""KZTEUR""))"),92)</f>
        <v>92</v>
      </c>
      <c r="K1130" s="26">
        <f t="shared" ca="1" si="1052"/>
        <v>6133</v>
      </c>
      <c r="L1130" s="26">
        <f t="shared" ca="1" si="1053"/>
        <v>1165.27</v>
      </c>
      <c r="M1130" s="26">
        <f t="shared" ref="M1130:N1130" si="1164">M$3</f>
        <v>500</v>
      </c>
      <c r="N1130" s="26">
        <f t="shared" si="1164"/>
        <v>500</v>
      </c>
      <c r="O1130" s="26">
        <f ca="1">IFERROR(__xludf.DUMMYFUNCTION("ROUND(GOOGLEFINANCE(""Currency:EURKZT"")*K1130)"),2928934)</f>
        <v>2928934</v>
      </c>
      <c r="P1130" s="26">
        <f ca="1">IFERROR(__xludf.DUMMYFUNCTION("ROUND(GOOGLEFINANCE(""Currency:EURKZT"")*M1130)"),238785)</f>
        <v>238785</v>
      </c>
      <c r="Q1130" s="26">
        <f ca="1">IFERROR(__xludf.DUMMYFUNCTION("ROUND(GOOGLEFINANCE(""Currency:EURKZT"")*N1130)"),238785)</f>
        <v>238785</v>
      </c>
      <c r="R1130" s="26">
        <f t="shared" ca="1" si="1055"/>
        <v>351472</v>
      </c>
      <c r="S1130" s="26">
        <f t="shared" ca="1" si="1056"/>
        <v>3757976</v>
      </c>
      <c r="T1130" s="26">
        <f ca="1">IFERROR(__xludf.DUMMYFUNCTION("ROUND(GOOGLEFINANCE(""Currency:EURKZT"")*L1130+S1130)"),4314474)</f>
        <v>4314474</v>
      </c>
      <c r="U1130" s="26">
        <f ca="1">IFERROR(__xludf.DUMMYFUNCTION("D1130*GOOGLEFINANCE(""RUBKZT"")*1000/F1130"),5320754.02140768)</f>
        <v>5320754.0214076797</v>
      </c>
      <c r="V1130" s="27">
        <f t="shared" ca="1" si="1057"/>
        <v>0.23323353470380853</v>
      </c>
    </row>
    <row r="1131" spans="1:22" ht="12.75" customHeight="1" x14ac:dyDescent="0.2">
      <c r="A1131" s="6" t="s">
        <v>545</v>
      </c>
      <c r="B1131" s="6" t="s">
        <v>353</v>
      </c>
      <c r="C1131" s="7">
        <v>213935</v>
      </c>
      <c r="D1131" s="8">
        <v>9313.1999999999989</v>
      </c>
      <c r="E1131" s="9" t="s">
        <v>7</v>
      </c>
      <c r="F1131" s="23">
        <v>15</v>
      </c>
      <c r="G1131" s="25"/>
      <c r="H1131" s="14">
        <f t="shared" si="1051"/>
        <v>0.55000000000000004</v>
      </c>
      <c r="I1131" s="25">
        <f ca="1">IFERROR(__xludf.DUMMYFUNCTION("ROUND(D1131*GOOGLEFINANCE(""RUBKZT"")*H1131)"),39972)</f>
        <v>39972</v>
      </c>
      <c r="J1131" s="26">
        <f ca="1">IFERROR(__xludf.DUMMYFUNCTION("ROUND(I1131*GOOGLEFINANCE(""KZTEUR""))"),84)</f>
        <v>84</v>
      </c>
      <c r="K1131" s="26">
        <f t="shared" ca="1" si="1052"/>
        <v>5600</v>
      </c>
      <c r="L1131" s="26">
        <f t="shared" ca="1" si="1053"/>
        <v>1064</v>
      </c>
      <c r="M1131" s="26">
        <f t="shared" ref="M1131:N1131" si="1165">M$3</f>
        <v>500</v>
      </c>
      <c r="N1131" s="26">
        <f t="shared" si="1165"/>
        <v>500</v>
      </c>
      <c r="O1131" s="26">
        <f ca="1">IFERROR(__xludf.DUMMYFUNCTION("ROUND(GOOGLEFINANCE(""Currency:EURKZT"")*K1131)"),2674390)</f>
        <v>2674390</v>
      </c>
      <c r="P1131" s="26">
        <f ca="1">IFERROR(__xludf.DUMMYFUNCTION("ROUND(GOOGLEFINANCE(""Currency:EURKZT"")*M1131)"),238785)</f>
        <v>238785</v>
      </c>
      <c r="Q1131" s="26">
        <f ca="1">IFERROR(__xludf.DUMMYFUNCTION("ROUND(GOOGLEFINANCE(""Currency:EURKZT"")*N1131)"),238785)</f>
        <v>238785</v>
      </c>
      <c r="R1131" s="26">
        <f t="shared" ca="1" si="1055"/>
        <v>320927</v>
      </c>
      <c r="S1131" s="26">
        <f t="shared" ca="1" si="1056"/>
        <v>3472887</v>
      </c>
      <c r="T1131" s="26">
        <f ca="1">IFERROR(__xludf.DUMMYFUNCTION("ROUND(GOOGLEFINANCE(""Currency:EURKZT"")*L1131+S1131)"),3981021)</f>
        <v>3981021</v>
      </c>
      <c r="U1131" s="26">
        <f ca="1">IFERROR(__xludf.DUMMYFUNCTION("D1131*GOOGLEFINANCE(""RUBKZT"")*1000/F1131"),4845051.26834976)</f>
        <v>4845051.2683497602</v>
      </c>
      <c r="V1131" s="27">
        <f t="shared" ca="1" si="1057"/>
        <v>0.21703735507794614</v>
      </c>
    </row>
    <row r="1132" spans="1:22" ht="12.75" customHeight="1" x14ac:dyDescent="0.2">
      <c r="A1132" s="6" t="s">
        <v>519</v>
      </c>
      <c r="B1132" s="6" t="s">
        <v>353</v>
      </c>
      <c r="C1132" s="7">
        <v>213979</v>
      </c>
      <c r="D1132" s="8">
        <v>10614</v>
      </c>
      <c r="E1132" s="9" t="s">
        <v>16</v>
      </c>
      <c r="F1132" s="23">
        <v>15</v>
      </c>
      <c r="G1132" s="25"/>
      <c r="H1132" s="14">
        <f t="shared" si="1051"/>
        <v>0.55000000000000004</v>
      </c>
      <c r="I1132" s="25">
        <f ca="1">IFERROR(__xludf.DUMMYFUNCTION("ROUND(D1132*GOOGLEFINANCE(""RUBKZT"")*H1132)"),45555)</f>
        <v>45555</v>
      </c>
      <c r="J1132" s="26">
        <f ca="1">IFERROR(__xludf.DUMMYFUNCTION("ROUND(I1132*GOOGLEFINANCE(""KZTEUR""))"),95)</f>
        <v>95</v>
      </c>
      <c r="K1132" s="26">
        <f t="shared" ca="1" si="1052"/>
        <v>6333</v>
      </c>
      <c r="L1132" s="26">
        <f t="shared" ca="1" si="1053"/>
        <v>1203.27</v>
      </c>
      <c r="M1132" s="26">
        <f t="shared" ref="M1132:N1132" si="1166">M$3</f>
        <v>500</v>
      </c>
      <c r="N1132" s="26">
        <f t="shared" si="1166"/>
        <v>500</v>
      </c>
      <c r="O1132" s="26">
        <f ca="1">IFERROR(__xludf.DUMMYFUNCTION("ROUND(GOOGLEFINANCE(""Currency:EURKZT"")*K1132)"),3024448)</f>
        <v>3024448</v>
      </c>
      <c r="P1132" s="26">
        <f ca="1">IFERROR(__xludf.DUMMYFUNCTION("ROUND(GOOGLEFINANCE(""Currency:EURKZT"")*M1132)"),238785)</f>
        <v>238785</v>
      </c>
      <c r="Q1132" s="26">
        <f ca="1">IFERROR(__xludf.DUMMYFUNCTION("ROUND(GOOGLEFINANCE(""Currency:EURKZT"")*N1132)"),238785)</f>
        <v>238785</v>
      </c>
      <c r="R1132" s="26">
        <f t="shared" ca="1" si="1055"/>
        <v>362934</v>
      </c>
      <c r="S1132" s="26">
        <f t="shared" ca="1" si="1056"/>
        <v>3864952</v>
      </c>
      <c r="T1132" s="26">
        <f ca="1">IFERROR(__xludf.DUMMYFUNCTION("ROUND(GOOGLEFINANCE(""Currency:EURKZT"")*L1132+S1132)"),4439597)</f>
        <v>4439597</v>
      </c>
      <c r="U1132" s="26">
        <f ca="1">IFERROR(__xludf.DUMMYFUNCTION("D1132*GOOGLEFINANCE(""RUBKZT"")*1000/F1132"),5521772.7700752)</f>
        <v>5521772.7700752001</v>
      </c>
      <c r="V1132" s="27">
        <f t="shared" ca="1" si="1057"/>
        <v>0.24375540619457128</v>
      </c>
    </row>
    <row r="1133" spans="1:22" ht="12.75" customHeight="1" x14ac:dyDescent="0.2">
      <c r="A1133" s="6" t="s">
        <v>572</v>
      </c>
      <c r="B1133" s="6" t="s">
        <v>353</v>
      </c>
      <c r="C1133" s="7">
        <v>213981</v>
      </c>
      <c r="D1133" s="8">
        <v>12380.4</v>
      </c>
      <c r="E1133" s="9" t="s">
        <v>16</v>
      </c>
      <c r="F1133" s="23">
        <v>15</v>
      </c>
      <c r="G1133" s="25"/>
      <c r="H1133" s="14">
        <f t="shared" si="1051"/>
        <v>0.55000000000000004</v>
      </c>
      <c r="I1133" s="25">
        <f ca="1">IFERROR(__xludf.DUMMYFUNCTION("ROUND(D1133*GOOGLEFINANCE(""RUBKZT"")*H1133)"),53136)</f>
        <v>53136</v>
      </c>
      <c r="J1133" s="26">
        <f ca="1">IFERROR(__xludf.DUMMYFUNCTION("ROUND(I1133*GOOGLEFINANCE(""KZTEUR""))"),111)</f>
        <v>111</v>
      </c>
      <c r="K1133" s="26">
        <f t="shared" ca="1" si="1052"/>
        <v>7400</v>
      </c>
      <c r="L1133" s="26">
        <f t="shared" ca="1" si="1053"/>
        <v>1406</v>
      </c>
      <c r="M1133" s="26">
        <f t="shared" ref="M1133:N1133" si="1167">M$3</f>
        <v>500</v>
      </c>
      <c r="N1133" s="26">
        <f t="shared" si="1167"/>
        <v>500</v>
      </c>
      <c r="O1133" s="26">
        <f ca="1">IFERROR(__xludf.DUMMYFUNCTION("ROUND(GOOGLEFINANCE(""Currency:EURKZT"")*K1133)"),3534015)</f>
        <v>3534015</v>
      </c>
      <c r="P1133" s="26">
        <f ca="1">IFERROR(__xludf.DUMMYFUNCTION("ROUND(GOOGLEFINANCE(""Currency:EURKZT"")*M1133)"),238785)</f>
        <v>238785</v>
      </c>
      <c r="Q1133" s="26">
        <f ca="1">IFERROR(__xludf.DUMMYFUNCTION("ROUND(GOOGLEFINANCE(""Currency:EURKZT"")*N1133)"),238785)</f>
        <v>238785</v>
      </c>
      <c r="R1133" s="26">
        <f t="shared" ca="1" si="1055"/>
        <v>424082</v>
      </c>
      <c r="S1133" s="26">
        <f t="shared" ca="1" si="1056"/>
        <v>4435667</v>
      </c>
      <c r="T1133" s="26">
        <f ca="1">IFERROR(__xludf.DUMMYFUNCTION("ROUND(GOOGLEFINANCE(""Currency:EURKZT"")*L1133+S1133)"),5107130)</f>
        <v>5107130</v>
      </c>
      <c r="U1133" s="26">
        <f ca="1">IFERROR(__xludf.DUMMYFUNCTION("D1133*GOOGLEFINANCE(""RUBKZT"")*1000/F1133"),6440715.62112672)</f>
        <v>6440715.6211267198</v>
      </c>
      <c r="V1133" s="27">
        <f t="shared" ca="1" si="1057"/>
        <v>0.2611223174516254</v>
      </c>
    </row>
    <row r="1134" spans="1:22" ht="12.75" customHeight="1" x14ac:dyDescent="0.2">
      <c r="A1134" s="6" t="s">
        <v>575</v>
      </c>
      <c r="B1134" s="6" t="s">
        <v>353</v>
      </c>
      <c r="C1134" s="7">
        <v>213989</v>
      </c>
      <c r="D1134" s="8">
        <v>11360.4</v>
      </c>
      <c r="E1134" s="9" t="s">
        <v>16</v>
      </c>
      <c r="F1134" s="23">
        <v>15</v>
      </c>
      <c r="G1134" s="25"/>
      <c r="H1134" s="14">
        <f t="shared" si="1051"/>
        <v>0.55000000000000004</v>
      </c>
      <c r="I1134" s="25">
        <f ca="1">IFERROR(__xludf.DUMMYFUNCTION("ROUND(D1134*GOOGLEFINANCE(""RUBKZT"")*H1134)"),48758)</f>
        <v>48758</v>
      </c>
      <c r="J1134" s="26">
        <f ca="1">IFERROR(__xludf.DUMMYFUNCTION("ROUND(I1134*GOOGLEFINANCE(""KZTEUR""))"),102)</f>
        <v>102</v>
      </c>
      <c r="K1134" s="26">
        <f t="shared" ca="1" si="1052"/>
        <v>6800</v>
      </c>
      <c r="L1134" s="26">
        <f t="shared" ca="1" si="1053"/>
        <v>1292</v>
      </c>
      <c r="M1134" s="26">
        <f t="shared" ref="M1134:N1134" si="1168">M$3</f>
        <v>500</v>
      </c>
      <c r="N1134" s="26">
        <f t="shared" si="1168"/>
        <v>500</v>
      </c>
      <c r="O1134" s="26">
        <f ca="1">IFERROR(__xludf.DUMMYFUNCTION("ROUND(GOOGLEFINANCE(""Currency:EURKZT"")*K1134)"),3247473)</f>
        <v>3247473</v>
      </c>
      <c r="P1134" s="26">
        <f ca="1">IFERROR(__xludf.DUMMYFUNCTION("ROUND(GOOGLEFINANCE(""Currency:EURKZT"")*M1134)"),238785)</f>
        <v>238785</v>
      </c>
      <c r="Q1134" s="26">
        <f ca="1">IFERROR(__xludf.DUMMYFUNCTION("ROUND(GOOGLEFINANCE(""Currency:EURKZT"")*N1134)"),238785)</f>
        <v>238785</v>
      </c>
      <c r="R1134" s="26">
        <f t="shared" ca="1" si="1055"/>
        <v>389697</v>
      </c>
      <c r="S1134" s="26">
        <f t="shared" ca="1" si="1056"/>
        <v>4114740</v>
      </c>
      <c r="T1134" s="26">
        <f ca="1">IFERROR(__xludf.DUMMYFUNCTION("ROUND(GOOGLEFINANCE(""Currency:EURKZT"")*L1134+S1134)"),4731760)</f>
        <v>4731760</v>
      </c>
      <c r="U1134" s="26">
        <f ca="1">IFERROR(__xludf.DUMMYFUNCTION("D1134*GOOGLEFINANCE(""RUBKZT"")*1000/F1134"),5910076.06719072)</f>
        <v>5910076.0671907198</v>
      </c>
      <c r="V1134" s="27">
        <f t="shared" ca="1" si="1057"/>
        <v>0.24902278796699742</v>
      </c>
    </row>
    <row r="1135" spans="1:22" ht="12.75" customHeight="1" x14ac:dyDescent="0.2">
      <c r="A1135" s="6" t="s">
        <v>577</v>
      </c>
      <c r="B1135" s="6" t="s">
        <v>353</v>
      </c>
      <c r="C1135" s="7">
        <v>213992</v>
      </c>
      <c r="D1135" s="8">
        <v>11826</v>
      </c>
      <c r="E1135" s="9" t="s">
        <v>7</v>
      </c>
      <c r="F1135" s="23">
        <v>15</v>
      </c>
      <c r="G1135" s="25"/>
      <c r="H1135" s="14">
        <f t="shared" si="1051"/>
        <v>0.55000000000000004</v>
      </c>
      <c r="I1135" s="25">
        <f ca="1">IFERROR(__xludf.DUMMYFUNCTION("ROUND(D1135*GOOGLEFINANCE(""RUBKZT"")*H1135)"),50756)</f>
        <v>50756</v>
      </c>
      <c r="J1135" s="26">
        <f ca="1">IFERROR(__xludf.DUMMYFUNCTION("ROUND(I1135*GOOGLEFINANCE(""KZTEUR""))"),106)</f>
        <v>106</v>
      </c>
      <c r="K1135" s="26">
        <f t="shared" ca="1" si="1052"/>
        <v>7067</v>
      </c>
      <c r="L1135" s="26">
        <f t="shared" ca="1" si="1053"/>
        <v>1342.73</v>
      </c>
      <c r="M1135" s="26">
        <f t="shared" ref="M1135:N1135" si="1169">M$3</f>
        <v>500</v>
      </c>
      <c r="N1135" s="26">
        <f t="shared" si="1169"/>
        <v>500</v>
      </c>
      <c r="O1135" s="26">
        <f ca="1">IFERROR(__xludf.DUMMYFUNCTION("ROUND(GOOGLEFINANCE(""Currency:EURKZT"")*K1135)"),3374984)</f>
        <v>3374984</v>
      </c>
      <c r="P1135" s="26">
        <f ca="1">IFERROR(__xludf.DUMMYFUNCTION("ROUND(GOOGLEFINANCE(""Currency:EURKZT"")*M1135)"),238785)</f>
        <v>238785</v>
      </c>
      <c r="Q1135" s="26">
        <f ca="1">IFERROR(__xludf.DUMMYFUNCTION("ROUND(GOOGLEFINANCE(""Currency:EURKZT"")*N1135)"),238785)</f>
        <v>238785</v>
      </c>
      <c r="R1135" s="26">
        <f t="shared" ca="1" si="1055"/>
        <v>404998</v>
      </c>
      <c r="S1135" s="26">
        <f t="shared" ca="1" si="1056"/>
        <v>4257552</v>
      </c>
      <c r="T1135" s="26">
        <f ca="1">IFERROR(__xludf.DUMMYFUNCTION("ROUND(GOOGLEFINANCE(""Currency:EURKZT"")*L1135+S1135)"),4898799)</f>
        <v>4898799</v>
      </c>
      <c r="U1135" s="26">
        <f ca="1">IFERROR(__xludf.DUMMYFUNCTION("D1135*GOOGLEFINANCE(""RUBKZT"")*1000/F1135"),6152297.41651679)</f>
        <v>6152297.4165167902</v>
      </c>
      <c r="V1135" s="27">
        <f t="shared" ca="1" si="1057"/>
        <v>0.2558787197671899</v>
      </c>
    </row>
    <row r="1136" spans="1:22" ht="12.75" customHeight="1" x14ac:dyDescent="0.2">
      <c r="A1136" s="6" t="s">
        <v>571</v>
      </c>
      <c r="B1136" s="6" t="s">
        <v>353</v>
      </c>
      <c r="C1136" s="7">
        <v>213995</v>
      </c>
      <c r="D1136" s="8">
        <v>9811.1999999999989</v>
      </c>
      <c r="E1136" s="9" t="s">
        <v>7</v>
      </c>
      <c r="F1136" s="23">
        <v>15</v>
      </c>
      <c r="G1136" s="25"/>
      <c r="H1136" s="14">
        <f t="shared" si="1051"/>
        <v>0.55000000000000004</v>
      </c>
      <c r="I1136" s="25">
        <f ca="1">IFERROR(__xludf.DUMMYFUNCTION("ROUND(D1136*GOOGLEFINANCE(""RUBKZT"")*H1136)"),42109)</f>
        <v>42109</v>
      </c>
      <c r="J1136" s="26">
        <f ca="1">IFERROR(__xludf.DUMMYFUNCTION("ROUND(I1136*GOOGLEFINANCE(""KZTEUR""))"),88)</f>
        <v>88</v>
      </c>
      <c r="K1136" s="26">
        <f t="shared" ca="1" si="1052"/>
        <v>5867</v>
      </c>
      <c r="L1136" s="26">
        <f t="shared" ca="1" si="1053"/>
        <v>1114.73</v>
      </c>
      <c r="M1136" s="26">
        <f t="shared" ref="M1136:N1136" si="1170">M$3</f>
        <v>500</v>
      </c>
      <c r="N1136" s="26">
        <f t="shared" si="1170"/>
        <v>500</v>
      </c>
      <c r="O1136" s="26">
        <f ca="1">IFERROR(__xludf.DUMMYFUNCTION("ROUND(GOOGLEFINANCE(""Currency:EURKZT"")*K1136)"),2801901)</f>
        <v>2801901</v>
      </c>
      <c r="P1136" s="26">
        <f ca="1">IFERROR(__xludf.DUMMYFUNCTION("ROUND(GOOGLEFINANCE(""Currency:EURKZT"")*M1136)"),238785)</f>
        <v>238785</v>
      </c>
      <c r="Q1136" s="26">
        <f ca="1">IFERROR(__xludf.DUMMYFUNCTION("ROUND(GOOGLEFINANCE(""Currency:EURKZT"")*N1136)"),238785)</f>
        <v>238785</v>
      </c>
      <c r="R1136" s="26">
        <f t="shared" ca="1" si="1055"/>
        <v>336228</v>
      </c>
      <c r="S1136" s="26">
        <f t="shared" ca="1" si="1056"/>
        <v>3615699</v>
      </c>
      <c r="T1136" s="26">
        <f ca="1">IFERROR(__xludf.DUMMYFUNCTION("ROUND(GOOGLEFINANCE(""Currency:EURKZT"")*L1136+S1136)"),4148060)</f>
        <v>4148060</v>
      </c>
      <c r="U1136" s="26">
        <f ca="1">IFERROR(__xludf.DUMMYFUNCTION("D1136*GOOGLEFINANCE(""RUBKZT"")*1000/F1136"),5104128.22703616)</f>
        <v>5104128.2270361604</v>
      </c>
      <c r="V1136" s="27">
        <f t="shared" ca="1" si="1057"/>
        <v>0.23048563112302148</v>
      </c>
    </row>
    <row r="1137" spans="1:22" ht="12.75" customHeight="1" x14ac:dyDescent="0.2">
      <c r="A1137" s="6" t="s">
        <v>586</v>
      </c>
      <c r="B1137" s="6" t="s">
        <v>353</v>
      </c>
      <c r="C1137" s="7">
        <v>214025</v>
      </c>
      <c r="D1137" s="8">
        <v>38776.799999999996</v>
      </c>
      <c r="E1137" s="9" t="s">
        <v>7</v>
      </c>
      <c r="F1137" s="23">
        <v>15</v>
      </c>
      <c r="G1137" s="25"/>
      <c r="H1137" s="14">
        <f t="shared" si="1051"/>
        <v>0.55000000000000004</v>
      </c>
      <c r="I1137" s="25">
        <f ca="1">IFERROR(__xludf.DUMMYFUNCTION("ROUND(D1137*GOOGLEFINANCE(""RUBKZT"")*H1137)"),166428)</f>
        <v>166428</v>
      </c>
      <c r="J1137" s="26">
        <f ca="1">IFERROR(__xludf.DUMMYFUNCTION("ROUND(I1137*GOOGLEFINANCE(""KZTEUR""))"),349)</f>
        <v>349</v>
      </c>
      <c r="K1137" s="26">
        <f t="shared" ca="1" si="1052"/>
        <v>23267</v>
      </c>
      <c r="L1137" s="26">
        <f t="shared" ca="1" si="1053"/>
        <v>4420.7300000000005</v>
      </c>
      <c r="M1137" s="26">
        <f t="shared" ref="M1137:N1137" si="1171">M$3</f>
        <v>500</v>
      </c>
      <c r="N1137" s="26">
        <f t="shared" si="1171"/>
        <v>500</v>
      </c>
      <c r="O1137" s="26">
        <f ca="1">IFERROR(__xludf.DUMMYFUNCTION("ROUND(GOOGLEFINANCE(""Currency:EURKZT"")*K1137)"),11111612)</f>
        <v>11111612</v>
      </c>
      <c r="P1137" s="26">
        <f ca="1">IFERROR(__xludf.DUMMYFUNCTION("ROUND(GOOGLEFINANCE(""Currency:EURKZT"")*M1137)"),238785)</f>
        <v>238785</v>
      </c>
      <c r="Q1137" s="26">
        <f ca="1">IFERROR(__xludf.DUMMYFUNCTION("ROUND(GOOGLEFINANCE(""Currency:EURKZT"")*N1137)"),238785)</f>
        <v>238785</v>
      </c>
      <c r="R1137" s="26">
        <f t="shared" ca="1" si="1055"/>
        <v>1333393</v>
      </c>
      <c r="S1137" s="26">
        <f t="shared" ca="1" si="1056"/>
        <v>12922575</v>
      </c>
      <c r="T1137" s="26">
        <f ca="1">IFERROR(__xludf.DUMMYFUNCTION("ROUND(GOOGLEFINANCE(""Currency:EURKZT"")*L1137+S1137)"),15033781)</f>
        <v>15033781</v>
      </c>
      <c r="U1137" s="26">
        <f ca="1">IFERROR(__xludf.DUMMYFUNCTION("D1137*GOOGLEFINANCE(""RUBKZT"")*1000/F1137"),20173042.9951622)</f>
        <v>20173042.9951622</v>
      </c>
      <c r="V1137" s="27">
        <f t="shared" ca="1" si="1057"/>
        <v>0.34184760275290693</v>
      </c>
    </row>
    <row r="1138" spans="1:22" ht="12.75" customHeight="1" x14ac:dyDescent="0.2">
      <c r="A1138" s="6" t="s">
        <v>591</v>
      </c>
      <c r="B1138" s="6" t="s">
        <v>353</v>
      </c>
      <c r="C1138" s="7">
        <v>214039</v>
      </c>
      <c r="D1138" s="8">
        <v>34954.799999999996</v>
      </c>
      <c r="E1138" s="9" t="s">
        <v>7</v>
      </c>
      <c r="F1138" s="23">
        <v>15</v>
      </c>
      <c r="G1138" s="25"/>
      <c r="H1138" s="14">
        <f t="shared" si="1051"/>
        <v>0.55000000000000004</v>
      </c>
      <c r="I1138" s="25">
        <f ca="1">IFERROR(__xludf.DUMMYFUNCTION("ROUND(D1138*GOOGLEFINANCE(""RUBKZT"")*H1138)"),150024)</f>
        <v>150024</v>
      </c>
      <c r="J1138" s="26">
        <f ca="1">IFERROR(__xludf.DUMMYFUNCTION("ROUND(I1138*GOOGLEFINANCE(""KZTEUR""))"),314)</f>
        <v>314</v>
      </c>
      <c r="K1138" s="26">
        <f t="shared" ca="1" si="1052"/>
        <v>20933</v>
      </c>
      <c r="L1138" s="26">
        <f t="shared" ca="1" si="1053"/>
        <v>3977.27</v>
      </c>
      <c r="M1138" s="26">
        <f t="shared" ref="M1138:N1138" si="1172">M$3</f>
        <v>500</v>
      </c>
      <c r="N1138" s="26">
        <f t="shared" si="1172"/>
        <v>500</v>
      </c>
      <c r="O1138" s="26">
        <f ca="1">IFERROR(__xludf.DUMMYFUNCTION("ROUND(GOOGLEFINANCE(""Currency:EURKZT"")*K1138)"),9996965)</f>
        <v>9996965</v>
      </c>
      <c r="P1138" s="26">
        <f ca="1">IFERROR(__xludf.DUMMYFUNCTION("ROUND(GOOGLEFINANCE(""Currency:EURKZT"")*M1138)"),238785)</f>
        <v>238785</v>
      </c>
      <c r="Q1138" s="26">
        <f ca="1">IFERROR(__xludf.DUMMYFUNCTION("ROUND(GOOGLEFINANCE(""Currency:EURKZT"")*N1138)"),238785)</f>
        <v>238785</v>
      </c>
      <c r="R1138" s="26">
        <f t="shared" ca="1" si="1055"/>
        <v>1199636</v>
      </c>
      <c r="S1138" s="26">
        <f t="shared" ca="1" si="1056"/>
        <v>11674171</v>
      </c>
      <c r="T1138" s="26">
        <f ca="1">IFERROR(__xludf.DUMMYFUNCTION("ROUND(GOOGLEFINANCE(""Currency:EURKZT"")*L1138+S1138)"),13573594)</f>
        <v>13573594</v>
      </c>
      <c r="U1138" s="26">
        <f ca="1">IFERROR(__xludf.DUMMYFUNCTION("D1138*GOOGLEFINANCE(""RUBKZT"")*1000/F1138"),18184705.3724726)</f>
        <v>18184705.372472599</v>
      </c>
      <c r="V1138" s="27">
        <f t="shared" ca="1" si="1057"/>
        <v>0.33971189741439145</v>
      </c>
    </row>
    <row r="1139" spans="1:22" ht="12.75" customHeight="1" x14ac:dyDescent="0.2">
      <c r="A1139" s="6" t="s">
        <v>598</v>
      </c>
      <c r="B1139" s="6" t="s">
        <v>353</v>
      </c>
      <c r="C1139" s="7">
        <v>214087</v>
      </c>
      <c r="D1139" s="8">
        <v>7461.5999999999995</v>
      </c>
      <c r="E1139" s="9" t="s">
        <v>16</v>
      </c>
      <c r="F1139" s="23">
        <v>15</v>
      </c>
      <c r="G1139" s="25"/>
      <c r="H1139" s="14">
        <f t="shared" si="1051"/>
        <v>0.55000000000000004</v>
      </c>
      <c r="I1139" s="25">
        <f ca="1">IFERROR(__xludf.DUMMYFUNCTION("ROUND(D1139*GOOGLEFINANCE(""RUBKZT"")*H1139)"),32025)</f>
        <v>32025</v>
      </c>
      <c r="J1139" s="26">
        <f ca="1">IFERROR(__xludf.DUMMYFUNCTION("ROUND(I1139*GOOGLEFINANCE(""KZTEUR""))"),67)</f>
        <v>67</v>
      </c>
      <c r="K1139" s="26">
        <f t="shared" ca="1" si="1052"/>
        <v>4467</v>
      </c>
      <c r="L1139" s="26">
        <f t="shared" ca="1" si="1053"/>
        <v>848.73</v>
      </c>
      <c r="M1139" s="26">
        <f t="shared" ref="M1139:N1139" si="1173">M$3</f>
        <v>500</v>
      </c>
      <c r="N1139" s="26">
        <f t="shared" si="1173"/>
        <v>500</v>
      </c>
      <c r="O1139" s="26">
        <f ca="1">IFERROR(__xludf.DUMMYFUNCTION("ROUND(GOOGLEFINANCE(""Currency:EURKZT"")*K1139)"),2133303)</f>
        <v>2133303</v>
      </c>
      <c r="P1139" s="26">
        <f ca="1">IFERROR(__xludf.DUMMYFUNCTION("ROUND(GOOGLEFINANCE(""Currency:EURKZT"")*M1139)"),238785)</f>
        <v>238785</v>
      </c>
      <c r="Q1139" s="26">
        <f ca="1">IFERROR(__xludf.DUMMYFUNCTION("ROUND(GOOGLEFINANCE(""Currency:EURKZT"")*N1139)"),238785)</f>
        <v>238785</v>
      </c>
      <c r="R1139" s="26">
        <f t="shared" ca="1" si="1055"/>
        <v>255996</v>
      </c>
      <c r="S1139" s="26">
        <f t="shared" ca="1" si="1056"/>
        <v>2866869</v>
      </c>
      <c r="T1139" s="26">
        <f ca="1">IFERROR(__xludf.DUMMYFUNCTION("ROUND(GOOGLEFINANCE(""Currency:EURKZT"")*L1139+S1139)"),3272197)</f>
        <v>3272197</v>
      </c>
      <c r="U1139" s="26">
        <f ca="1">IFERROR(__xludf.DUMMYFUNCTION("D1139*GOOGLEFINANCE(""RUBKZT"")*1000/F1139"),3881784.40749888)</f>
        <v>3881784.4074988798</v>
      </c>
      <c r="V1139" s="27">
        <f t="shared" ca="1" si="1057"/>
        <v>0.18629300359937981</v>
      </c>
    </row>
    <row r="1140" spans="1:22" ht="12.75" customHeight="1" x14ac:dyDescent="0.2">
      <c r="A1140" s="6" t="s">
        <v>599</v>
      </c>
      <c r="B1140" s="6" t="s">
        <v>353</v>
      </c>
      <c r="C1140" s="7">
        <v>214092</v>
      </c>
      <c r="D1140" s="8">
        <v>8175.5999999999995</v>
      </c>
      <c r="E1140" s="9" t="s">
        <v>16</v>
      </c>
      <c r="F1140" s="23">
        <v>15</v>
      </c>
      <c r="G1140" s="25"/>
      <c r="H1140" s="14">
        <f t="shared" si="1051"/>
        <v>0.55000000000000004</v>
      </c>
      <c r="I1140" s="25">
        <f ca="1">IFERROR(__xludf.DUMMYFUNCTION("ROUND(D1140*GOOGLEFINANCE(""RUBKZT"")*H1140)"),35089)</f>
        <v>35089</v>
      </c>
      <c r="J1140" s="26">
        <f ca="1">IFERROR(__xludf.DUMMYFUNCTION("ROUND(I1140*GOOGLEFINANCE(""KZTEUR""))"),73)</f>
        <v>73</v>
      </c>
      <c r="K1140" s="26">
        <f t="shared" ca="1" si="1052"/>
        <v>4867</v>
      </c>
      <c r="L1140" s="26">
        <f t="shared" ca="1" si="1053"/>
        <v>924.73</v>
      </c>
      <c r="M1140" s="26">
        <f t="shared" ref="M1140:N1140" si="1174">M$3</f>
        <v>500</v>
      </c>
      <c r="N1140" s="26">
        <f t="shared" si="1174"/>
        <v>500</v>
      </c>
      <c r="O1140" s="26">
        <f ca="1">IFERROR(__xludf.DUMMYFUNCTION("ROUND(GOOGLEFINANCE(""Currency:EURKZT"")*K1140)"),2324331)</f>
        <v>2324331</v>
      </c>
      <c r="P1140" s="26">
        <f ca="1">IFERROR(__xludf.DUMMYFUNCTION("ROUND(GOOGLEFINANCE(""Currency:EURKZT"")*M1140)"),238785)</f>
        <v>238785</v>
      </c>
      <c r="Q1140" s="26">
        <f ca="1">IFERROR(__xludf.DUMMYFUNCTION("ROUND(GOOGLEFINANCE(""Currency:EURKZT"")*N1140)"),238785)</f>
        <v>238785</v>
      </c>
      <c r="R1140" s="26">
        <f t="shared" ca="1" si="1055"/>
        <v>278920</v>
      </c>
      <c r="S1140" s="26">
        <f t="shared" ca="1" si="1056"/>
        <v>3080821</v>
      </c>
      <c r="T1140" s="26">
        <f ca="1">IFERROR(__xludf.DUMMYFUNCTION("ROUND(GOOGLEFINANCE(""Currency:EURKZT"")*L1140+S1140)"),3522444)</f>
        <v>3522444</v>
      </c>
      <c r="U1140" s="26">
        <f ca="1">IFERROR(__xludf.DUMMYFUNCTION("D1140*GOOGLEFINANCE(""RUBKZT"")*1000/F1140"),4253232.09525407)</f>
        <v>4253232.0952540701</v>
      </c>
      <c r="V1140" s="27">
        <f t="shared" ca="1" si="1057"/>
        <v>0.20746620677406657</v>
      </c>
    </row>
    <row r="1141" spans="1:22" ht="12.75" customHeight="1" x14ac:dyDescent="0.2">
      <c r="A1141" s="6" t="s">
        <v>601</v>
      </c>
      <c r="B1141" s="6" t="s">
        <v>353</v>
      </c>
      <c r="C1141" s="7">
        <v>214104</v>
      </c>
      <c r="D1141" s="8">
        <v>9772.7999999999993</v>
      </c>
      <c r="E1141" s="9" t="s">
        <v>16</v>
      </c>
      <c r="F1141" s="23">
        <v>15</v>
      </c>
      <c r="G1141" s="25"/>
      <c r="H1141" s="14">
        <f t="shared" si="1051"/>
        <v>0.55000000000000004</v>
      </c>
      <c r="I1141" s="25">
        <f ca="1">IFERROR(__xludf.DUMMYFUNCTION("ROUND(D1141*GOOGLEFINANCE(""RUBKZT"")*H1141)"),41944)</f>
        <v>41944</v>
      </c>
      <c r="J1141" s="26">
        <f ca="1">IFERROR(__xludf.DUMMYFUNCTION("ROUND(I1141*GOOGLEFINANCE(""KZTEUR""))"),88)</f>
        <v>88</v>
      </c>
      <c r="K1141" s="26">
        <f t="shared" ca="1" si="1052"/>
        <v>5867</v>
      </c>
      <c r="L1141" s="26">
        <f t="shared" ca="1" si="1053"/>
        <v>1114.73</v>
      </c>
      <c r="M1141" s="26">
        <f t="shared" ref="M1141:N1141" si="1175">M$3</f>
        <v>500</v>
      </c>
      <c r="N1141" s="26">
        <f t="shared" si="1175"/>
        <v>500</v>
      </c>
      <c r="O1141" s="26">
        <f ca="1">IFERROR(__xludf.DUMMYFUNCTION("ROUND(GOOGLEFINANCE(""Currency:EURKZT"")*K1141)"),2801901)</f>
        <v>2801901</v>
      </c>
      <c r="P1141" s="26">
        <f ca="1">IFERROR(__xludf.DUMMYFUNCTION("ROUND(GOOGLEFINANCE(""Currency:EURKZT"")*M1141)"),238785)</f>
        <v>238785</v>
      </c>
      <c r="Q1141" s="26">
        <f ca="1">IFERROR(__xludf.DUMMYFUNCTION("ROUND(GOOGLEFINANCE(""Currency:EURKZT"")*N1141)"),238785)</f>
        <v>238785</v>
      </c>
      <c r="R1141" s="26">
        <f t="shared" ca="1" si="1055"/>
        <v>336228</v>
      </c>
      <c r="S1141" s="26">
        <f t="shared" ca="1" si="1056"/>
        <v>3615699</v>
      </c>
      <c r="T1141" s="26">
        <f ca="1">IFERROR(__xludf.DUMMYFUNCTION("ROUND(GOOGLEFINANCE(""Currency:EURKZT"")*L1141+S1141)"),4148060)</f>
        <v>4148060</v>
      </c>
      <c r="U1141" s="26">
        <f ca="1">IFERROR(__xludf.DUMMYFUNCTION("D1141*GOOGLEFINANCE(""RUBKZT"")*1000/F1141"),5084151.20853504)</f>
        <v>5084151.2085350398</v>
      </c>
      <c r="V1141" s="27">
        <f t="shared" ca="1" si="1057"/>
        <v>0.22566964039455548</v>
      </c>
    </row>
    <row r="1142" spans="1:22" ht="12.75" customHeight="1" x14ac:dyDescent="0.2">
      <c r="A1142" s="6" t="s">
        <v>603</v>
      </c>
      <c r="B1142" s="6" t="s">
        <v>353</v>
      </c>
      <c r="C1142" s="7">
        <v>214108</v>
      </c>
      <c r="D1142" s="8">
        <v>6484.8</v>
      </c>
      <c r="E1142" s="9" t="s">
        <v>16</v>
      </c>
      <c r="F1142" s="23">
        <v>15</v>
      </c>
      <c r="G1142" s="25"/>
      <c r="H1142" s="14">
        <f t="shared" si="1051"/>
        <v>0.55000000000000004</v>
      </c>
      <c r="I1142" s="25">
        <f ca="1">IFERROR(__xludf.DUMMYFUNCTION("ROUND(D1142*GOOGLEFINANCE(""RUBKZT"")*H1142)"),27832)</f>
        <v>27832</v>
      </c>
      <c r="J1142" s="26">
        <f ca="1">IFERROR(__xludf.DUMMYFUNCTION("ROUND(I1142*GOOGLEFINANCE(""KZTEUR""))"),58)</f>
        <v>58</v>
      </c>
      <c r="K1142" s="26">
        <f t="shared" ca="1" si="1052"/>
        <v>3867</v>
      </c>
      <c r="L1142" s="26">
        <f t="shared" ca="1" si="1053"/>
        <v>734.73</v>
      </c>
      <c r="M1142" s="26">
        <f t="shared" ref="M1142:N1142" si="1176">M$3</f>
        <v>500</v>
      </c>
      <c r="N1142" s="26">
        <f t="shared" si="1176"/>
        <v>500</v>
      </c>
      <c r="O1142" s="26">
        <f ca="1">IFERROR(__xludf.DUMMYFUNCTION("ROUND(GOOGLEFINANCE(""Currency:EURKZT"")*K1142)"),1846762)</f>
        <v>1846762</v>
      </c>
      <c r="P1142" s="26">
        <f ca="1">IFERROR(__xludf.DUMMYFUNCTION("ROUND(GOOGLEFINANCE(""Currency:EURKZT"")*M1142)"),238785)</f>
        <v>238785</v>
      </c>
      <c r="Q1142" s="26">
        <f ca="1">IFERROR(__xludf.DUMMYFUNCTION("ROUND(GOOGLEFINANCE(""Currency:EURKZT"")*N1142)"),238785)</f>
        <v>238785</v>
      </c>
      <c r="R1142" s="26">
        <f t="shared" ca="1" si="1055"/>
        <v>221611</v>
      </c>
      <c r="S1142" s="26">
        <f t="shared" ca="1" si="1056"/>
        <v>2545943</v>
      </c>
      <c r="T1142" s="26">
        <f ca="1">IFERROR(__xludf.DUMMYFUNCTION("ROUND(GOOGLEFINANCE(""Currency:EURKZT"")*L1142+S1142)"),2896828)</f>
        <v>2896828</v>
      </c>
      <c r="U1142" s="26">
        <f ca="1">IFERROR(__xludf.DUMMYFUNCTION("D1142*GOOGLEFINANCE(""RUBKZT"")*1000/F1142"),3373618.99937664)</f>
        <v>3373618.9993766402</v>
      </c>
      <c r="V1142" s="27">
        <f t="shared" ca="1" si="1057"/>
        <v>0.16459071763205829</v>
      </c>
    </row>
    <row r="1143" spans="1:22" ht="12.75" customHeight="1" x14ac:dyDescent="0.2">
      <c r="A1143" s="6" t="s">
        <v>602</v>
      </c>
      <c r="B1143" s="6" t="s">
        <v>353</v>
      </c>
      <c r="C1143" s="7">
        <v>214109</v>
      </c>
      <c r="D1143" s="8">
        <v>6214.8</v>
      </c>
      <c r="E1143" s="9" t="s">
        <v>16</v>
      </c>
      <c r="F1143" s="23">
        <v>15</v>
      </c>
      <c r="G1143" s="25"/>
      <c r="H1143" s="14">
        <f t="shared" si="1051"/>
        <v>0.55000000000000004</v>
      </c>
      <c r="I1143" s="25">
        <f ca="1">IFERROR(__xludf.DUMMYFUNCTION("ROUND(D1143*GOOGLEFINANCE(""RUBKZT"")*H1143)"),26674)</f>
        <v>26674</v>
      </c>
      <c r="J1143" s="26">
        <f ca="1">IFERROR(__xludf.DUMMYFUNCTION("ROUND(I1143*GOOGLEFINANCE(""KZTEUR""))"),56)</f>
        <v>56</v>
      </c>
      <c r="K1143" s="26">
        <f t="shared" ca="1" si="1052"/>
        <v>3733</v>
      </c>
      <c r="L1143" s="26">
        <f t="shared" ca="1" si="1053"/>
        <v>709.27</v>
      </c>
      <c r="M1143" s="26">
        <f t="shared" ref="M1143:N1143" si="1177">M$3</f>
        <v>500</v>
      </c>
      <c r="N1143" s="26">
        <f t="shared" si="1177"/>
        <v>500</v>
      </c>
      <c r="O1143" s="26">
        <f ca="1">IFERROR(__xludf.DUMMYFUNCTION("ROUND(GOOGLEFINANCE(""Currency:EURKZT"")*K1143)"),1782767)</f>
        <v>1782767</v>
      </c>
      <c r="P1143" s="26">
        <f ca="1">IFERROR(__xludf.DUMMYFUNCTION("ROUND(GOOGLEFINANCE(""Currency:EURKZT"")*M1143)"),238785)</f>
        <v>238785</v>
      </c>
      <c r="Q1143" s="26">
        <f ca="1">IFERROR(__xludf.DUMMYFUNCTION("ROUND(GOOGLEFINANCE(""Currency:EURKZT"")*N1143)"),238785)</f>
        <v>238785</v>
      </c>
      <c r="R1143" s="26">
        <f t="shared" ca="1" si="1055"/>
        <v>213932</v>
      </c>
      <c r="S1143" s="26">
        <f t="shared" ca="1" si="1056"/>
        <v>2474269</v>
      </c>
      <c r="T1143" s="26">
        <f ca="1">IFERROR(__xludf.DUMMYFUNCTION("ROUND(GOOGLEFINANCE(""Currency:EURKZT"")*L1143+S1143)"),2812995)</f>
        <v>2812995</v>
      </c>
      <c r="U1143" s="26">
        <f ca="1">IFERROR(__xludf.DUMMYFUNCTION("D1143*GOOGLEFINANCE(""RUBKZT"")*1000/F1143"),3233155.58804064)</f>
        <v>3233155.5880406401</v>
      </c>
      <c r="V1143" s="27">
        <f t="shared" ca="1" si="1057"/>
        <v>0.14936414321413302</v>
      </c>
    </row>
    <row r="1144" spans="1:22" ht="12.75" customHeight="1" x14ac:dyDescent="0.2">
      <c r="A1144" s="6" t="s">
        <v>604</v>
      </c>
      <c r="B1144" s="6" t="s">
        <v>353</v>
      </c>
      <c r="C1144" s="7">
        <v>214114</v>
      </c>
      <c r="D1144" s="8">
        <v>5710.8</v>
      </c>
      <c r="E1144" s="9" t="s">
        <v>16</v>
      </c>
      <c r="F1144" s="23">
        <v>15</v>
      </c>
      <c r="G1144" s="25"/>
      <c r="H1144" s="14">
        <f t="shared" si="1051"/>
        <v>0.55000000000000004</v>
      </c>
      <c r="I1144" s="25">
        <f ca="1">IFERROR(__xludf.DUMMYFUNCTION("ROUND(D1144*GOOGLEFINANCE(""RUBKZT"")*H1144)"),24510)</f>
        <v>24510</v>
      </c>
      <c r="J1144" s="26">
        <f ca="1">IFERROR(__xludf.DUMMYFUNCTION("ROUND(I1144*GOOGLEFINANCE(""KZTEUR""))"),51)</f>
        <v>51</v>
      </c>
      <c r="K1144" s="26">
        <f t="shared" ca="1" si="1052"/>
        <v>3400</v>
      </c>
      <c r="L1144" s="26">
        <f t="shared" ca="1" si="1053"/>
        <v>646</v>
      </c>
      <c r="M1144" s="26">
        <f t="shared" ref="M1144:N1144" si="1178">M$3</f>
        <v>500</v>
      </c>
      <c r="N1144" s="26">
        <f t="shared" si="1178"/>
        <v>500</v>
      </c>
      <c r="O1144" s="26">
        <f ca="1">IFERROR(__xludf.DUMMYFUNCTION("ROUND(GOOGLEFINANCE(""Currency:EURKZT"")*K1144)"),1623737)</f>
        <v>1623737</v>
      </c>
      <c r="P1144" s="26">
        <f ca="1">IFERROR(__xludf.DUMMYFUNCTION("ROUND(GOOGLEFINANCE(""Currency:EURKZT"")*M1144)"),238785)</f>
        <v>238785</v>
      </c>
      <c r="Q1144" s="26">
        <f ca="1">IFERROR(__xludf.DUMMYFUNCTION("ROUND(GOOGLEFINANCE(""Currency:EURKZT"")*N1144)"),238785)</f>
        <v>238785</v>
      </c>
      <c r="R1144" s="26">
        <f t="shared" ca="1" si="1055"/>
        <v>194848</v>
      </c>
      <c r="S1144" s="26">
        <f t="shared" ca="1" si="1056"/>
        <v>2296155</v>
      </c>
      <c r="T1144" s="26">
        <f ca="1">IFERROR(__xludf.DUMMYFUNCTION("ROUND(GOOGLEFINANCE(""Currency:EURKZT"")*L1144+S1144)"),2604665)</f>
        <v>2604665</v>
      </c>
      <c r="U1144" s="26">
        <f ca="1">IFERROR(__xludf.DUMMYFUNCTION("D1144*GOOGLEFINANCE(""RUBKZT"")*1000/F1144"),2970957.22021344)</f>
        <v>2970957.2202134398</v>
      </c>
      <c r="V1144" s="27">
        <f t="shared" ca="1" si="1057"/>
        <v>0.14062930173878013</v>
      </c>
    </row>
    <row r="1145" spans="1:22" ht="12.75" customHeight="1" x14ac:dyDescent="0.2">
      <c r="A1145" s="6" t="s">
        <v>606</v>
      </c>
      <c r="B1145" s="6" t="s">
        <v>353</v>
      </c>
      <c r="C1145" s="7">
        <v>214121</v>
      </c>
      <c r="D1145" s="8">
        <v>8252.4</v>
      </c>
      <c r="E1145" s="9" t="s">
        <v>7</v>
      </c>
      <c r="F1145" s="23">
        <v>15</v>
      </c>
      <c r="G1145" s="25"/>
      <c r="H1145" s="14">
        <f t="shared" si="1051"/>
        <v>0.55000000000000004</v>
      </c>
      <c r="I1145" s="25">
        <f ca="1">IFERROR(__xludf.DUMMYFUNCTION("ROUND(D1145*GOOGLEFINANCE(""RUBKZT"")*H1145)"),35419)</f>
        <v>35419</v>
      </c>
      <c r="J1145" s="26">
        <f ca="1">IFERROR(__xludf.DUMMYFUNCTION("ROUND(I1145*GOOGLEFINANCE(""KZTEUR""))"),74)</f>
        <v>74</v>
      </c>
      <c r="K1145" s="26">
        <f t="shared" ca="1" si="1052"/>
        <v>4933</v>
      </c>
      <c r="L1145" s="26">
        <f t="shared" ca="1" si="1053"/>
        <v>937.27</v>
      </c>
      <c r="M1145" s="26">
        <f t="shared" ref="M1145:N1145" si="1179">M$3</f>
        <v>500</v>
      </c>
      <c r="N1145" s="26">
        <f t="shared" si="1179"/>
        <v>500</v>
      </c>
      <c r="O1145" s="26">
        <f ca="1">IFERROR(__xludf.DUMMYFUNCTION("ROUND(GOOGLEFINANCE(""Currency:EURKZT"")*K1145)"),2355851)</f>
        <v>2355851</v>
      </c>
      <c r="P1145" s="26">
        <f ca="1">IFERROR(__xludf.DUMMYFUNCTION("ROUND(GOOGLEFINANCE(""Currency:EURKZT"")*M1145)"),238785)</f>
        <v>238785</v>
      </c>
      <c r="Q1145" s="26">
        <f ca="1">IFERROR(__xludf.DUMMYFUNCTION("ROUND(GOOGLEFINANCE(""Currency:EURKZT"")*N1145)"),238785)</f>
        <v>238785</v>
      </c>
      <c r="R1145" s="26">
        <f t="shared" ca="1" si="1055"/>
        <v>282702</v>
      </c>
      <c r="S1145" s="26">
        <f t="shared" ca="1" si="1056"/>
        <v>3116123</v>
      </c>
      <c r="T1145" s="26">
        <f ca="1">IFERROR(__xludf.DUMMYFUNCTION("ROUND(GOOGLEFINANCE(""Currency:EURKZT"")*L1145+S1145)"),3563735)</f>
        <v>3563735</v>
      </c>
      <c r="U1145" s="26">
        <f ca="1">IFERROR(__xludf.DUMMYFUNCTION("D1145*GOOGLEFINANCE(""RUBKZT"")*1000/F1145"),4293186.13225632)</f>
        <v>4293186.1322563197</v>
      </c>
      <c r="V1145" s="27">
        <f t="shared" ca="1" si="1057"/>
        <v>0.20468725431501494</v>
      </c>
    </row>
    <row r="1146" spans="1:22" ht="12.75" customHeight="1" x14ac:dyDescent="0.2">
      <c r="A1146" s="6" t="s">
        <v>605</v>
      </c>
      <c r="B1146" s="6" t="s">
        <v>353</v>
      </c>
      <c r="C1146" s="7">
        <v>214124</v>
      </c>
      <c r="D1146" s="8">
        <v>6816</v>
      </c>
      <c r="E1146" s="9" t="s">
        <v>7</v>
      </c>
      <c r="F1146" s="23">
        <v>15</v>
      </c>
      <c r="G1146" s="25"/>
      <c r="H1146" s="14">
        <f t="shared" si="1051"/>
        <v>0.55000000000000004</v>
      </c>
      <c r="I1146" s="25">
        <f ca="1">IFERROR(__xludf.DUMMYFUNCTION("ROUND(D1146*GOOGLEFINANCE(""RUBKZT"")*H1146)"),29254)</f>
        <v>29254</v>
      </c>
      <c r="J1146" s="26">
        <f ca="1">IFERROR(__xludf.DUMMYFUNCTION("ROUND(I1146*GOOGLEFINANCE(""KZTEUR""))"),61)</f>
        <v>61</v>
      </c>
      <c r="K1146" s="26">
        <f t="shared" ca="1" si="1052"/>
        <v>4067</v>
      </c>
      <c r="L1146" s="26">
        <f t="shared" ca="1" si="1053"/>
        <v>772.73</v>
      </c>
      <c r="M1146" s="26">
        <f t="shared" ref="M1146:N1146" si="1180">M$3</f>
        <v>500</v>
      </c>
      <c r="N1146" s="26">
        <f t="shared" si="1180"/>
        <v>500</v>
      </c>
      <c r="O1146" s="26">
        <f ca="1">IFERROR(__xludf.DUMMYFUNCTION("ROUND(GOOGLEFINANCE(""Currency:EURKZT"")*K1146)"),1942276)</f>
        <v>1942276</v>
      </c>
      <c r="P1146" s="26">
        <f ca="1">IFERROR(__xludf.DUMMYFUNCTION("ROUND(GOOGLEFINANCE(""Currency:EURKZT"")*M1146)"),238785)</f>
        <v>238785</v>
      </c>
      <c r="Q1146" s="26">
        <f ca="1">IFERROR(__xludf.DUMMYFUNCTION("ROUND(GOOGLEFINANCE(""Currency:EURKZT"")*N1146)"),238785)</f>
        <v>238785</v>
      </c>
      <c r="R1146" s="26">
        <f t="shared" ca="1" si="1055"/>
        <v>233073</v>
      </c>
      <c r="S1146" s="26">
        <f t="shared" ca="1" si="1056"/>
        <v>2652919</v>
      </c>
      <c r="T1146" s="26">
        <f ca="1">IFERROR(__xludf.DUMMYFUNCTION("ROUND(GOOGLEFINANCE(""Currency:EURKZT"")*L1146+S1146)"),3021951)</f>
        <v>3021951</v>
      </c>
      <c r="U1146" s="26">
        <f ca="1">IFERROR(__xludf.DUMMYFUNCTION("D1146*GOOGLEFINANCE(""RUBKZT"")*1000/F1146"),3545920.7839488)</f>
        <v>3545920.7839488001</v>
      </c>
      <c r="V1146" s="27">
        <f t="shared" ca="1" si="1057"/>
        <v>0.1733879152735435</v>
      </c>
    </row>
    <row r="1147" spans="1:22" ht="12.75" customHeight="1" x14ac:dyDescent="0.2">
      <c r="A1147" s="6" t="s">
        <v>618</v>
      </c>
      <c r="B1147" s="6" t="s">
        <v>353</v>
      </c>
      <c r="C1147" s="7">
        <v>214225</v>
      </c>
      <c r="D1147" s="8">
        <v>11586</v>
      </c>
      <c r="E1147" s="9" t="s">
        <v>16</v>
      </c>
      <c r="F1147" s="23">
        <v>15</v>
      </c>
      <c r="G1147" s="25"/>
      <c r="H1147" s="14">
        <f t="shared" si="1051"/>
        <v>0.55000000000000004</v>
      </c>
      <c r="I1147" s="25">
        <f ca="1">IFERROR(__xludf.DUMMYFUNCTION("ROUND(D1147*GOOGLEFINANCE(""RUBKZT"")*H1147)"),49726)</f>
        <v>49726</v>
      </c>
      <c r="J1147" s="26">
        <f ca="1">IFERROR(__xludf.DUMMYFUNCTION("ROUND(I1147*GOOGLEFINANCE(""KZTEUR""))"),104)</f>
        <v>104</v>
      </c>
      <c r="K1147" s="26">
        <f t="shared" ca="1" si="1052"/>
        <v>6933</v>
      </c>
      <c r="L1147" s="26">
        <f t="shared" ca="1" si="1053"/>
        <v>1317.27</v>
      </c>
      <c r="M1147" s="26">
        <f t="shared" ref="M1147:N1147" si="1181">M$3</f>
        <v>500</v>
      </c>
      <c r="N1147" s="26">
        <f t="shared" si="1181"/>
        <v>500</v>
      </c>
      <c r="O1147" s="26">
        <f ca="1">IFERROR(__xludf.DUMMYFUNCTION("ROUND(GOOGLEFINANCE(""Currency:EURKZT"")*K1147)"),3310990)</f>
        <v>3310990</v>
      </c>
      <c r="P1147" s="26">
        <f ca="1">IFERROR(__xludf.DUMMYFUNCTION("ROUND(GOOGLEFINANCE(""Currency:EURKZT"")*M1147)"),238785)</f>
        <v>238785</v>
      </c>
      <c r="Q1147" s="26">
        <f ca="1">IFERROR(__xludf.DUMMYFUNCTION("ROUND(GOOGLEFINANCE(""Currency:EURKZT"")*N1147)"),238785)</f>
        <v>238785</v>
      </c>
      <c r="R1147" s="26">
        <f t="shared" ca="1" si="1055"/>
        <v>397319</v>
      </c>
      <c r="S1147" s="26">
        <f t="shared" ca="1" si="1056"/>
        <v>4185879</v>
      </c>
      <c r="T1147" s="26">
        <f ca="1">IFERROR(__xludf.DUMMYFUNCTION("ROUND(GOOGLEFINANCE(""Currency:EURKZT"")*L1147+S1147)"),4814967)</f>
        <v>4814967</v>
      </c>
      <c r="U1147" s="26">
        <f ca="1">IFERROR(__xludf.DUMMYFUNCTION("D1147*GOOGLEFINANCE(""RUBKZT"")*1000/F1147"),6027441.0508848)</f>
        <v>6027441.0508848</v>
      </c>
      <c r="V1147" s="27">
        <f t="shared" ca="1" si="1057"/>
        <v>0.25181357439932611</v>
      </c>
    </row>
    <row r="1148" spans="1:22" ht="12.75" customHeight="1" x14ac:dyDescent="0.2">
      <c r="A1148" s="6" t="s">
        <v>620</v>
      </c>
      <c r="B1148" s="6" t="s">
        <v>353</v>
      </c>
      <c r="C1148" s="7">
        <v>214229</v>
      </c>
      <c r="D1148" s="8">
        <v>12704.4</v>
      </c>
      <c r="E1148" s="9" t="s">
        <v>7</v>
      </c>
      <c r="F1148" s="23">
        <v>15</v>
      </c>
      <c r="G1148" s="25"/>
      <c r="H1148" s="14">
        <f t="shared" si="1051"/>
        <v>0.55000000000000004</v>
      </c>
      <c r="I1148" s="25">
        <f ca="1">IFERROR(__xludf.DUMMYFUNCTION("ROUND(D1148*GOOGLEFINANCE(""RUBKZT"")*H1148)"),54526)</f>
        <v>54526</v>
      </c>
      <c r="J1148" s="26">
        <f ca="1">IFERROR(__xludf.DUMMYFUNCTION("ROUND(I1148*GOOGLEFINANCE(""KZTEUR""))"),114)</f>
        <v>114</v>
      </c>
      <c r="K1148" s="26">
        <f t="shared" ca="1" si="1052"/>
        <v>7600</v>
      </c>
      <c r="L1148" s="26">
        <f t="shared" ca="1" si="1053"/>
        <v>1444</v>
      </c>
      <c r="M1148" s="26">
        <f t="shared" ref="M1148:N1148" si="1182">M$3</f>
        <v>500</v>
      </c>
      <c r="N1148" s="26">
        <f t="shared" si="1182"/>
        <v>500</v>
      </c>
      <c r="O1148" s="26">
        <f ca="1">IFERROR(__xludf.DUMMYFUNCTION("ROUND(GOOGLEFINANCE(""Currency:EURKZT"")*K1148)"),3629529)</f>
        <v>3629529</v>
      </c>
      <c r="P1148" s="26">
        <f ca="1">IFERROR(__xludf.DUMMYFUNCTION("ROUND(GOOGLEFINANCE(""Currency:EURKZT"")*M1148)"),238785)</f>
        <v>238785</v>
      </c>
      <c r="Q1148" s="26">
        <f ca="1">IFERROR(__xludf.DUMMYFUNCTION("ROUND(GOOGLEFINANCE(""Currency:EURKZT"")*N1148)"),238785)</f>
        <v>238785</v>
      </c>
      <c r="R1148" s="26">
        <f t="shared" ca="1" si="1055"/>
        <v>435543</v>
      </c>
      <c r="S1148" s="26">
        <f t="shared" ca="1" si="1056"/>
        <v>4542642</v>
      </c>
      <c r="T1148" s="26">
        <f ca="1">IFERROR(__xludf.DUMMYFUNCTION("ROUND(GOOGLEFINANCE(""Currency:EURKZT"")*L1148+S1148)"),5232253)</f>
        <v>5232253</v>
      </c>
      <c r="U1148" s="26">
        <f ca="1">IFERROR(__xludf.DUMMYFUNCTION("D1148*GOOGLEFINANCE(""RUBKZT"")*1000/F1148"),6609271.71472992)</f>
        <v>6609271.71472992</v>
      </c>
      <c r="V1148" s="27">
        <f t="shared" ca="1" si="1057"/>
        <v>0.26317892401799381</v>
      </c>
    </row>
    <row r="1149" spans="1:22" ht="12.75" customHeight="1" x14ac:dyDescent="0.2">
      <c r="A1149" s="6" t="s">
        <v>621</v>
      </c>
      <c r="B1149" s="6" t="s">
        <v>353</v>
      </c>
      <c r="C1149" s="7">
        <v>214243</v>
      </c>
      <c r="D1149" s="8">
        <v>8725.1999999999989</v>
      </c>
      <c r="E1149" s="9" t="s">
        <v>16</v>
      </c>
      <c r="F1149" s="23">
        <v>15</v>
      </c>
      <c r="G1149" s="25"/>
      <c r="H1149" s="14">
        <f t="shared" si="1051"/>
        <v>0.55000000000000004</v>
      </c>
      <c r="I1149" s="25">
        <f ca="1">IFERROR(__xludf.DUMMYFUNCTION("ROUND(D1149*GOOGLEFINANCE(""RUBKZT"")*H1149)"),37448)</f>
        <v>37448</v>
      </c>
      <c r="J1149" s="26">
        <f ca="1">IFERROR(__xludf.DUMMYFUNCTION("ROUND(I1149*GOOGLEFINANCE(""KZTEUR""))"),78)</f>
        <v>78</v>
      </c>
      <c r="K1149" s="26">
        <f t="shared" ca="1" si="1052"/>
        <v>5200</v>
      </c>
      <c r="L1149" s="26">
        <f t="shared" ca="1" si="1053"/>
        <v>988</v>
      </c>
      <c r="M1149" s="26">
        <f t="shared" ref="M1149:N1149" si="1183">M$3</f>
        <v>500</v>
      </c>
      <c r="N1149" s="26">
        <f t="shared" si="1183"/>
        <v>500</v>
      </c>
      <c r="O1149" s="26">
        <f ca="1">IFERROR(__xludf.DUMMYFUNCTION("ROUND(GOOGLEFINANCE(""Currency:EURKZT"")*K1149)"),2483362)</f>
        <v>2483362</v>
      </c>
      <c r="P1149" s="26">
        <f ca="1">IFERROR(__xludf.DUMMYFUNCTION("ROUND(GOOGLEFINANCE(""Currency:EURKZT"")*M1149)"),238785)</f>
        <v>238785</v>
      </c>
      <c r="Q1149" s="26">
        <f ca="1">IFERROR(__xludf.DUMMYFUNCTION("ROUND(GOOGLEFINANCE(""Currency:EURKZT"")*N1149)"),238785)</f>
        <v>238785</v>
      </c>
      <c r="R1149" s="26">
        <f t="shared" ca="1" si="1055"/>
        <v>298003</v>
      </c>
      <c r="S1149" s="26">
        <f t="shared" ca="1" si="1056"/>
        <v>3258935</v>
      </c>
      <c r="T1149" s="26">
        <f ca="1">IFERROR(__xludf.DUMMYFUNCTION("ROUND(GOOGLEFINANCE(""Currency:EURKZT"")*L1149+S1149)"),3730774)</f>
        <v>3730774</v>
      </c>
      <c r="U1149" s="26">
        <f ca="1">IFERROR(__xludf.DUMMYFUNCTION("D1149*GOOGLEFINANCE(""RUBKZT"")*1000/F1149"),4539153.17255136)</f>
        <v>4539153.17255136</v>
      </c>
      <c r="V1149" s="27">
        <f t="shared" ca="1" si="1057"/>
        <v>0.21667867647607708</v>
      </c>
    </row>
    <row r="1150" spans="1:22" ht="12.75" customHeight="1" x14ac:dyDescent="0.2">
      <c r="A1150" s="6" t="s">
        <v>623</v>
      </c>
      <c r="B1150" s="6" t="s">
        <v>353</v>
      </c>
      <c r="C1150" s="7">
        <v>214247</v>
      </c>
      <c r="D1150" s="8">
        <v>9612</v>
      </c>
      <c r="E1150" s="9" t="s">
        <v>16</v>
      </c>
      <c r="F1150" s="23">
        <v>15</v>
      </c>
      <c r="G1150" s="25"/>
      <c r="H1150" s="14">
        <f t="shared" si="1051"/>
        <v>0.55000000000000004</v>
      </c>
      <c r="I1150" s="25">
        <f ca="1">IFERROR(__xludf.DUMMYFUNCTION("ROUND(D1150*GOOGLEFINANCE(""RUBKZT"")*H1150)"),41254)</f>
        <v>41254</v>
      </c>
      <c r="J1150" s="26">
        <f ca="1">IFERROR(__xludf.DUMMYFUNCTION("ROUND(I1150*GOOGLEFINANCE(""KZTEUR""))"),86)</f>
        <v>86</v>
      </c>
      <c r="K1150" s="26">
        <f t="shared" ca="1" si="1052"/>
        <v>5733</v>
      </c>
      <c r="L1150" s="26">
        <f t="shared" ca="1" si="1053"/>
        <v>1089.27</v>
      </c>
      <c r="M1150" s="26">
        <f t="shared" ref="M1150:N1150" si="1184">M$3</f>
        <v>500</v>
      </c>
      <c r="N1150" s="26">
        <f t="shared" si="1184"/>
        <v>500</v>
      </c>
      <c r="O1150" s="26">
        <f ca="1">IFERROR(__xludf.DUMMYFUNCTION("ROUND(GOOGLEFINANCE(""Currency:EURKZT"")*K1150)"),2737907)</f>
        <v>2737907</v>
      </c>
      <c r="P1150" s="26">
        <f ca="1">IFERROR(__xludf.DUMMYFUNCTION("ROUND(GOOGLEFINANCE(""Currency:EURKZT"")*M1150)"),238785)</f>
        <v>238785</v>
      </c>
      <c r="Q1150" s="26">
        <f ca="1">IFERROR(__xludf.DUMMYFUNCTION("ROUND(GOOGLEFINANCE(""Currency:EURKZT"")*N1150)"),238785)</f>
        <v>238785</v>
      </c>
      <c r="R1150" s="26">
        <f t="shared" ca="1" si="1055"/>
        <v>328549</v>
      </c>
      <c r="S1150" s="26">
        <f t="shared" ca="1" si="1056"/>
        <v>3544026</v>
      </c>
      <c r="T1150" s="26">
        <f ca="1">IFERROR(__xludf.DUMMYFUNCTION("ROUND(GOOGLEFINANCE(""Currency:EURKZT"")*L1150+S1150)"),4064228)</f>
        <v>4064228</v>
      </c>
      <c r="U1150" s="26">
        <f ca="1">IFERROR(__xludf.DUMMYFUNCTION("D1150*GOOGLEFINANCE(""RUBKZT"")*1000/F1150"),5000497.4435616)</f>
        <v>5000497.4435615996</v>
      </c>
      <c r="V1150" s="27">
        <f t="shared" ca="1" si="1057"/>
        <v>0.2303683365110421</v>
      </c>
    </row>
    <row r="1151" spans="1:22" ht="12.75" customHeight="1" x14ac:dyDescent="0.2">
      <c r="A1151" s="6" t="s">
        <v>624</v>
      </c>
      <c r="B1151" s="6" t="s">
        <v>353</v>
      </c>
      <c r="C1151" s="7">
        <v>214263</v>
      </c>
      <c r="D1151" s="8">
        <v>10605.6</v>
      </c>
      <c r="E1151" s="9" t="s">
        <v>16</v>
      </c>
      <c r="F1151" s="23">
        <v>15</v>
      </c>
      <c r="G1151" s="25"/>
      <c r="H1151" s="14">
        <f t="shared" si="1051"/>
        <v>0.55000000000000004</v>
      </c>
      <c r="I1151" s="25">
        <f ca="1">IFERROR(__xludf.DUMMYFUNCTION("ROUND(D1151*GOOGLEFINANCE(""RUBKZT"")*H1151)"),45519)</f>
        <v>45519</v>
      </c>
      <c r="J1151" s="26">
        <f ca="1">IFERROR(__xludf.DUMMYFUNCTION("ROUND(I1151*GOOGLEFINANCE(""KZTEUR""))"),95)</f>
        <v>95</v>
      </c>
      <c r="K1151" s="26">
        <f t="shared" ca="1" si="1052"/>
        <v>6333</v>
      </c>
      <c r="L1151" s="26">
        <f t="shared" ca="1" si="1053"/>
        <v>1203.27</v>
      </c>
      <c r="M1151" s="26">
        <f t="shared" ref="M1151:N1151" si="1185">M$3</f>
        <v>500</v>
      </c>
      <c r="N1151" s="26">
        <f t="shared" si="1185"/>
        <v>500</v>
      </c>
      <c r="O1151" s="26">
        <f ca="1">IFERROR(__xludf.DUMMYFUNCTION("ROUND(GOOGLEFINANCE(""Currency:EURKZT"")*K1151)"),3024448)</f>
        <v>3024448</v>
      </c>
      <c r="P1151" s="26">
        <f ca="1">IFERROR(__xludf.DUMMYFUNCTION("ROUND(GOOGLEFINANCE(""Currency:EURKZT"")*M1151)"),238785)</f>
        <v>238785</v>
      </c>
      <c r="Q1151" s="26">
        <f ca="1">IFERROR(__xludf.DUMMYFUNCTION("ROUND(GOOGLEFINANCE(""Currency:EURKZT"")*N1151)"),238785)</f>
        <v>238785</v>
      </c>
      <c r="R1151" s="26">
        <f t="shared" ca="1" si="1055"/>
        <v>362934</v>
      </c>
      <c r="S1151" s="26">
        <f t="shared" ca="1" si="1056"/>
        <v>3864952</v>
      </c>
      <c r="T1151" s="26">
        <f ca="1">IFERROR(__xludf.DUMMYFUNCTION("ROUND(GOOGLEFINANCE(""Currency:EURKZT"")*L1151+S1151)"),4439597)</f>
        <v>4439597</v>
      </c>
      <c r="U1151" s="26">
        <f ca="1">IFERROR(__xludf.DUMMYFUNCTION("D1151*GOOGLEFINANCE(""RUBKZT"")*1000/F1151"),5517402.79727808)</f>
        <v>5517402.7972780801</v>
      </c>
      <c r="V1151" s="27">
        <f t="shared" ca="1" si="1057"/>
        <v>0.24277108874478476</v>
      </c>
    </row>
    <row r="1152" spans="1:22" ht="12.75" customHeight="1" x14ac:dyDescent="0.2">
      <c r="A1152" s="6" t="s">
        <v>625</v>
      </c>
      <c r="B1152" s="6" t="s">
        <v>353</v>
      </c>
      <c r="C1152" s="7">
        <v>214264</v>
      </c>
      <c r="D1152" s="8">
        <v>9394.7999999999993</v>
      </c>
      <c r="E1152" s="9" t="s">
        <v>16</v>
      </c>
      <c r="F1152" s="23">
        <v>15</v>
      </c>
      <c r="G1152" s="25"/>
      <c r="H1152" s="14">
        <f t="shared" si="1051"/>
        <v>0.55000000000000004</v>
      </c>
      <c r="I1152" s="25">
        <f ca="1">IFERROR(__xludf.DUMMYFUNCTION("ROUND(D1152*GOOGLEFINANCE(""RUBKZT"")*H1152)"),40322)</f>
        <v>40322</v>
      </c>
      <c r="J1152" s="26">
        <f ca="1">IFERROR(__xludf.DUMMYFUNCTION("ROUND(I1152*GOOGLEFINANCE(""KZTEUR""))"),84)</f>
        <v>84</v>
      </c>
      <c r="K1152" s="26">
        <f t="shared" ca="1" si="1052"/>
        <v>5600</v>
      </c>
      <c r="L1152" s="26">
        <f t="shared" ca="1" si="1053"/>
        <v>1064</v>
      </c>
      <c r="M1152" s="26">
        <f t="shared" ref="M1152:N1152" si="1186">M$3</f>
        <v>500</v>
      </c>
      <c r="N1152" s="26">
        <f t="shared" si="1186"/>
        <v>500</v>
      </c>
      <c r="O1152" s="26">
        <f ca="1">IFERROR(__xludf.DUMMYFUNCTION("ROUND(GOOGLEFINANCE(""Currency:EURKZT"")*K1152)"),2674390)</f>
        <v>2674390</v>
      </c>
      <c r="P1152" s="26">
        <f ca="1">IFERROR(__xludf.DUMMYFUNCTION("ROUND(GOOGLEFINANCE(""Currency:EURKZT"")*M1152)"),238785)</f>
        <v>238785</v>
      </c>
      <c r="Q1152" s="26">
        <f ca="1">IFERROR(__xludf.DUMMYFUNCTION("ROUND(GOOGLEFINANCE(""Currency:EURKZT"")*N1152)"),238785)</f>
        <v>238785</v>
      </c>
      <c r="R1152" s="26">
        <f t="shared" ca="1" si="1055"/>
        <v>320927</v>
      </c>
      <c r="S1152" s="26">
        <f t="shared" ca="1" si="1056"/>
        <v>3472887</v>
      </c>
      <c r="T1152" s="26">
        <f ca="1">IFERROR(__xludf.DUMMYFUNCTION("ROUND(GOOGLEFINANCE(""Currency:EURKZT"")*L1152+S1152)"),3981021)</f>
        <v>3981021</v>
      </c>
      <c r="U1152" s="26">
        <f ca="1">IFERROR(__xludf.DUMMYFUNCTION("D1152*GOOGLEFINANCE(""RUBKZT"")*1000/F1152"),4887502.43266463)</f>
        <v>4887502.43266463</v>
      </c>
      <c r="V1152" s="27">
        <f t="shared" ca="1" si="1057"/>
        <v>0.22770074125824255</v>
      </c>
    </row>
    <row r="1153" spans="1:22" ht="12.75" customHeight="1" x14ac:dyDescent="0.2">
      <c r="A1153" s="6" t="s">
        <v>500</v>
      </c>
      <c r="B1153" s="6" t="s">
        <v>353</v>
      </c>
      <c r="C1153" s="7">
        <v>214297</v>
      </c>
      <c r="D1153" s="8">
        <v>10078.799999999999</v>
      </c>
      <c r="E1153" s="9" t="s">
        <v>16</v>
      </c>
      <c r="F1153" s="23">
        <v>15</v>
      </c>
      <c r="G1153" s="25"/>
      <c r="H1153" s="14">
        <f t="shared" si="1051"/>
        <v>0.55000000000000004</v>
      </c>
      <c r="I1153" s="25">
        <f ca="1">IFERROR(__xludf.DUMMYFUNCTION("ROUND(D1153*GOOGLEFINANCE(""RUBKZT"")*H1153)"),43258)</f>
        <v>43258</v>
      </c>
      <c r="J1153" s="26">
        <f ca="1">IFERROR(__xludf.DUMMYFUNCTION("ROUND(I1153*GOOGLEFINANCE(""KZTEUR""))"),91)</f>
        <v>91</v>
      </c>
      <c r="K1153" s="26">
        <f t="shared" ca="1" si="1052"/>
        <v>6067</v>
      </c>
      <c r="L1153" s="26">
        <f t="shared" ca="1" si="1053"/>
        <v>1152.73</v>
      </c>
      <c r="M1153" s="26">
        <f t="shared" ref="M1153:N1153" si="1187">M$3</f>
        <v>500</v>
      </c>
      <c r="N1153" s="26">
        <f t="shared" si="1187"/>
        <v>500</v>
      </c>
      <c r="O1153" s="26">
        <f ca="1">IFERROR(__xludf.DUMMYFUNCTION("ROUND(GOOGLEFINANCE(""Currency:EURKZT"")*K1153)"),2897415)</f>
        <v>2897415</v>
      </c>
      <c r="P1153" s="26">
        <f ca="1">IFERROR(__xludf.DUMMYFUNCTION("ROUND(GOOGLEFINANCE(""Currency:EURKZT"")*M1153)"),238785)</f>
        <v>238785</v>
      </c>
      <c r="Q1153" s="26">
        <f ca="1">IFERROR(__xludf.DUMMYFUNCTION("ROUND(GOOGLEFINANCE(""Currency:EURKZT"")*N1153)"),238785)</f>
        <v>238785</v>
      </c>
      <c r="R1153" s="26">
        <f t="shared" ca="1" si="1055"/>
        <v>347690</v>
      </c>
      <c r="S1153" s="26">
        <f t="shared" ca="1" si="1056"/>
        <v>3722675</v>
      </c>
      <c r="T1153" s="26">
        <f ca="1">IFERROR(__xludf.DUMMYFUNCTION("ROUND(GOOGLEFINANCE(""Currency:EURKZT"")*L1153+S1153)"),4273184)</f>
        <v>4273184</v>
      </c>
      <c r="U1153" s="26">
        <f ca="1">IFERROR(__xludf.DUMMYFUNCTION("D1153*GOOGLEFINANCE(""RUBKZT"")*1000/F1153"),5243343.07471584)</f>
        <v>5243343.0747158397</v>
      </c>
      <c r="V1153" s="27">
        <f t="shared" ca="1" si="1057"/>
        <v>0.22703423833746444</v>
      </c>
    </row>
    <row r="1154" spans="1:22" ht="12.75" customHeight="1" x14ac:dyDescent="0.2">
      <c r="A1154" s="6" t="s">
        <v>626</v>
      </c>
      <c r="B1154" s="6" t="s">
        <v>353</v>
      </c>
      <c r="C1154" s="7">
        <v>214334</v>
      </c>
      <c r="D1154" s="8">
        <v>7184.4</v>
      </c>
      <c r="E1154" s="9" t="s">
        <v>16</v>
      </c>
      <c r="F1154" s="23">
        <v>15</v>
      </c>
      <c r="G1154" s="25"/>
      <c r="H1154" s="14">
        <f t="shared" si="1051"/>
        <v>0.55000000000000004</v>
      </c>
      <c r="I1154" s="25">
        <f ca="1">IFERROR(__xludf.DUMMYFUNCTION("ROUND(D1154*GOOGLEFINANCE(""RUBKZT"")*H1154)"),30835)</f>
        <v>30835</v>
      </c>
      <c r="J1154" s="26">
        <f ca="1">IFERROR(__xludf.DUMMYFUNCTION("ROUND(I1154*GOOGLEFINANCE(""KZTEUR""))"),65)</f>
        <v>65</v>
      </c>
      <c r="K1154" s="26">
        <f t="shared" ca="1" si="1052"/>
        <v>4333</v>
      </c>
      <c r="L1154" s="26">
        <f t="shared" ca="1" si="1053"/>
        <v>823.27</v>
      </c>
      <c r="M1154" s="26">
        <f t="shared" ref="M1154:N1154" si="1188">M$3</f>
        <v>500</v>
      </c>
      <c r="N1154" s="26">
        <f t="shared" si="1188"/>
        <v>500</v>
      </c>
      <c r="O1154" s="26">
        <f ca="1">IFERROR(__xludf.DUMMYFUNCTION("ROUND(GOOGLEFINANCE(""Currency:EURKZT"")*K1154)"),2069309)</f>
        <v>2069309</v>
      </c>
      <c r="P1154" s="26">
        <f ca="1">IFERROR(__xludf.DUMMYFUNCTION("ROUND(GOOGLEFINANCE(""Currency:EURKZT"")*M1154)"),238785)</f>
        <v>238785</v>
      </c>
      <c r="Q1154" s="26">
        <f ca="1">IFERROR(__xludf.DUMMYFUNCTION("ROUND(GOOGLEFINANCE(""Currency:EURKZT"")*N1154)"),238785)</f>
        <v>238785</v>
      </c>
      <c r="R1154" s="26">
        <f t="shared" ca="1" si="1055"/>
        <v>248317</v>
      </c>
      <c r="S1154" s="26">
        <f t="shared" ca="1" si="1056"/>
        <v>2795196</v>
      </c>
      <c r="T1154" s="26">
        <f ca="1">IFERROR(__xludf.DUMMYFUNCTION("ROUND(GOOGLEFINANCE(""Currency:EURKZT"")*L1154+S1154)"),3188365)</f>
        <v>3188365</v>
      </c>
      <c r="U1154" s="26">
        <f ca="1">IFERROR(__xludf.DUMMYFUNCTION("D1154*GOOGLEFINANCE(""RUBKZT"")*1000/F1154"),3737575.30519392)</f>
        <v>3737575.3051939202</v>
      </c>
      <c r="V1154" s="27">
        <f t="shared" ca="1" si="1057"/>
        <v>0.17225452706760994</v>
      </c>
    </row>
    <row r="1155" spans="1:22" ht="12.75" customHeight="1" x14ac:dyDescent="0.2">
      <c r="A1155" s="6" t="s">
        <v>630</v>
      </c>
      <c r="B1155" s="6" t="s">
        <v>353</v>
      </c>
      <c r="C1155" s="7">
        <v>215835</v>
      </c>
      <c r="D1155" s="8">
        <v>7311.5999999999995</v>
      </c>
      <c r="E1155" s="9" t="s">
        <v>7</v>
      </c>
      <c r="F1155" s="23">
        <v>15</v>
      </c>
      <c r="G1155" s="25"/>
      <c r="H1155" s="14">
        <f t="shared" si="1051"/>
        <v>0.55000000000000004</v>
      </c>
      <c r="I1155" s="25">
        <f ca="1">IFERROR(__xludf.DUMMYFUNCTION("ROUND(D1155*GOOGLEFINANCE(""RUBKZT"")*H1155)"),31381)</f>
        <v>31381</v>
      </c>
      <c r="J1155" s="26">
        <f ca="1">IFERROR(__xludf.DUMMYFUNCTION("ROUND(I1155*GOOGLEFINANCE(""KZTEUR""))"),66)</f>
        <v>66</v>
      </c>
      <c r="K1155" s="26">
        <f t="shared" ca="1" si="1052"/>
        <v>4400</v>
      </c>
      <c r="L1155" s="26">
        <f t="shared" ca="1" si="1053"/>
        <v>836</v>
      </c>
      <c r="M1155" s="26">
        <f t="shared" ref="M1155:N1155" si="1189">M$3</f>
        <v>500</v>
      </c>
      <c r="N1155" s="26">
        <f t="shared" si="1189"/>
        <v>500</v>
      </c>
      <c r="O1155" s="26">
        <f ca="1">IFERROR(__xludf.DUMMYFUNCTION("ROUND(GOOGLEFINANCE(""Currency:EURKZT"")*K1155)"),2101306)</f>
        <v>2101306</v>
      </c>
      <c r="P1155" s="26">
        <f ca="1">IFERROR(__xludf.DUMMYFUNCTION("ROUND(GOOGLEFINANCE(""Currency:EURKZT"")*M1155)"),238785)</f>
        <v>238785</v>
      </c>
      <c r="Q1155" s="26">
        <f ca="1">IFERROR(__xludf.DUMMYFUNCTION("ROUND(GOOGLEFINANCE(""Currency:EURKZT"")*N1155)"),238785)</f>
        <v>238785</v>
      </c>
      <c r="R1155" s="26">
        <f t="shared" ca="1" si="1055"/>
        <v>252157</v>
      </c>
      <c r="S1155" s="26">
        <f t="shared" ca="1" si="1056"/>
        <v>2831033</v>
      </c>
      <c r="T1155" s="26">
        <f ca="1">IFERROR(__xludf.DUMMYFUNCTION("ROUND(GOOGLEFINANCE(""Currency:EURKZT"")*L1155+S1155)"),3230281)</f>
        <v>3230281</v>
      </c>
      <c r="U1155" s="26">
        <f ca="1">IFERROR(__xludf.DUMMYFUNCTION("D1155*GOOGLEFINANCE(""RUBKZT"")*1000/F1155"),3803749.17897888)</f>
        <v>3803749.1789788799</v>
      </c>
      <c r="V1155" s="27">
        <f t="shared" ca="1" si="1057"/>
        <v>0.17752888339400813</v>
      </c>
    </row>
    <row r="1156" spans="1:22" ht="12.75" customHeight="1" x14ac:dyDescent="0.2">
      <c r="A1156" s="6" t="s">
        <v>637</v>
      </c>
      <c r="B1156" s="6" t="s">
        <v>353</v>
      </c>
      <c r="C1156" s="7">
        <v>216187</v>
      </c>
      <c r="D1156" s="8">
        <v>10479.6</v>
      </c>
      <c r="E1156" s="9" t="s">
        <v>16</v>
      </c>
      <c r="F1156" s="23">
        <v>15</v>
      </c>
      <c r="G1156" s="25"/>
      <c r="H1156" s="14">
        <f t="shared" si="1051"/>
        <v>0.55000000000000004</v>
      </c>
      <c r="I1156" s="25">
        <f ca="1">IFERROR(__xludf.DUMMYFUNCTION("ROUND(D1156*GOOGLEFINANCE(""RUBKZT"")*H1156)"),44978)</f>
        <v>44978</v>
      </c>
      <c r="J1156" s="26">
        <f ca="1">IFERROR(__xludf.DUMMYFUNCTION("ROUND(I1156*GOOGLEFINANCE(""KZTEUR""))"),94)</f>
        <v>94</v>
      </c>
      <c r="K1156" s="26">
        <f t="shared" ca="1" si="1052"/>
        <v>6267</v>
      </c>
      <c r="L1156" s="26">
        <f t="shared" ca="1" si="1053"/>
        <v>1190.73</v>
      </c>
      <c r="M1156" s="26">
        <f t="shared" ref="M1156:N1156" si="1190">M$3</f>
        <v>500</v>
      </c>
      <c r="N1156" s="26">
        <f t="shared" si="1190"/>
        <v>500</v>
      </c>
      <c r="O1156" s="26">
        <f ca="1">IFERROR(__xludf.DUMMYFUNCTION("ROUND(GOOGLEFINANCE(""Currency:EURKZT"")*K1156)"),2992929)</f>
        <v>2992929</v>
      </c>
      <c r="P1156" s="26">
        <f ca="1">IFERROR(__xludf.DUMMYFUNCTION("ROUND(GOOGLEFINANCE(""Currency:EURKZT"")*M1156)"),238785)</f>
        <v>238785</v>
      </c>
      <c r="Q1156" s="26">
        <f ca="1">IFERROR(__xludf.DUMMYFUNCTION("ROUND(GOOGLEFINANCE(""Currency:EURKZT"")*N1156)"),238785)</f>
        <v>238785</v>
      </c>
      <c r="R1156" s="26">
        <f t="shared" ca="1" si="1055"/>
        <v>359151</v>
      </c>
      <c r="S1156" s="26">
        <f t="shared" ca="1" si="1056"/>
        <v>3829650</v>
      </c>
      <c r="T1156" s="26">
        <f ca="1">IFERROR(__xludf.DUMMYFUNCTION("ROUND(GOOGLEFINANCE(""Currency:EURKZT"")*L1156+S1156)"),4398306)</f>
        <v>4398306</v>
      </c>
      <c r="U1156" s="26">
        <f ca="1">IFERROR(__xludf.DUMMYFUNCTION("D1156*GOOGLEFINANCE(""RUBKZT"")*1000/F1156"),5451853.20532128)</f>
        <v>5451853.2053212803</v>
      </c>
      <c r="V1156" s="27">
        <f t="shared" ca="1" si="1057"/>
        <v>0.23953476754943387</v>
      </c>
    </row>
    <row r="1157" spans="1:22" ht="12.75" customHeight="1" x14ac:dyDescent="0.2">
      <c r="A1157" s="6" t="s">
        <v>619</v>
      </c>
      <c r="B1157" s="6" t="s">
        <v>353</v>
      </c>
      <c r="C1157" s="7">
        <v>216189</v>
      </c>
      <c r="D1157" s="8">
        <v>13294.8</v>
      </c>
      <c r="E1157" s="9" t="s">
        <v>16</v>
      </c>
      <c r="F1157" s="23">
        <v>15</v>
      </c>
      <c r="G1157" s="25"/>
      <c r="H1157" s="14">
        <f t="shared" si="1051"/>
        <v>0.55000000000000004</v>
      </c>
      <c r="I1157" s="25">
        <f ca="1">IFERROR(__xludf.DUMMYFUNCTION("ROUND(D1157*GOOGLEFINANCE(""RUBKZT"")*H1157)"),57060)</f>
        <v>57060</v>
      </c>
      <c r="J1157" s="26">
        <f ca="1">IFERROR(__xludf.DUMMYFUNCTION("ROUND(I1157*GOOGLEFINANCE(""KZTEUR""))"),120)</f>
        <v>120</v>
      </c>
      <c r="K1157" s="26">
        <f t="shared" ca="1" si="1052"/>
        <v>8000</v>
      </c>
      <c r="L1157" s="26">
        <f t="shared" ca="1" si="1053"/>
        <v>1520</v>
      </c>
      <c r="M1157" s="26">
        <f t="shared" ref="M1157:N1157" si="1191">M$3</f>
        <v>500</v>
      </c>
      <c r="N1157" s="26">
        <f t="shared" si="1191"/>
        <v>500</v>
      </c>
      <c r="O1157" s="26">
        <f ca="1">IFERROR(__xludf.DUMMYFUNCTION("ROUND(GOOGLEFINANCE(""Currency:EURKZT"")*K1157)"),3820557)</f>
        <v>3820557</v>
      </c>
      <c r="P1157" s="26">
        <f ca="1">IFERROR(__xludf.DUMMYFUNCTION("ROUND(GOOGLEFINANCE(""Currency:EURKZT"")*M1157)"),238785)</f>
        <v>238785</v>
      </c>
      <c r="Q1157" s="26">
        <f ca="1">IFERROR(__xludf.DUMMYFUNCTION("ROUND(GOOGLEFINANCE(""Currency:EURKZT"")*N1157)"),238785)</f>
        <v>238785</v>
      </c>
      <c r="R1157" s="26">
        <f t="shared" ca="1" si="1055"/>
        <v>458467</v>
      </c>
      <c r="S1157" s="26">
        <f t="shared" ca="1" si="1056"/>
        <v>4756594</v>
      </c>
      <c r="T1157" s="26">
        <f ca="1">IFERROR(__xludf.DUMMYFUNCTION("ROUND(GOOGLEFINANCE(""Currency:EURKZT"")*L1157+S1157)"),5482500)</f>
        <v>5482500</v>
      </c>
      <c r="U1157" s="26">
        <f ca="1">IFERROR(__xludf.DUMMYFUNCTION("D1157*GOOGLEFINANCE(""RUBKZT"")*1000/F1157"),6916418.37418464)</f>
        <v>6916418.3741846401</v>
      </c>
      <c r="V1157" s="27">
        <f t="shared" ca="1" si="1057"/>
        <v>0.26154461909432558</v>
      </c>
    </row>
    <row r="1158" spans="1:22" ht="12.75" customHeight="1" x14ac:dyDescent="0.2">
      <c r="A1158" s="6" t="s">
        <v>638</v>
      </c>
      <c r="B1158" s="6" t="s">
        <v>353</v>
      </c>
      <c r="C1158" s="7">
        <v>216242</v>
      </c>
      <c r="D1158" s="8">
        <v>6800.4</v>
      </c>
      <c r="E1158" s="9" t="s">
        <v>16</v>
      </c>
      <c r="F1158" s="23">
        <v>15</v>
      </c>
      <c r="G1158" s="25"/>
      <c r="H1158" s="14">
        <f t="shared" si="1051"/>
        <v>0.55000000000000004</v>
      </c>
      <c r="I1158" s="25">
        <f ca="1">IFERROR(__xludf.DUMMYFUNCTION("ROUND(D1158*GOOGLEFINANCE(""RUBKZT"")*H1158)"),29187)</f>
        <v>29187</v>
      </c>
      <c r="J1158" s="26">
        <f ca="1">IFERROR(__xludf.DUMMYFUNCTION("ROUND(I1158*GOOGLEFINANCE(""KZTEUR""))"),61)</f>
        <v>61</v>
      </c>
      <c r="K1158" s="26">
        <f t="shared" ca="1" si="1052"/>
        <v>4067</v>
      </c>
      <c r="L1158" s="26">
        <f t="shared" ca="1" si="1053"/>
        <v>772.73</v>
      </c>
      <c r="M1158" s="26">
        <f t="shared" ref="M1158:N1158" si="1192">M$3</f>
        <v>500</v>
      </c>
      <c r="N1158" s="26">
        <f t="shared" si="1192"/>
        <v>500</v>
      </c>
      <c r="O1158" s="26">
        <f ca="1">IFERROR(__xludf.DUMMYFUNCTION("ROUND(GOOGLEFINANCE(""Currency:EURKZT"")*K1158)"),1942276)</f>
        <v>1942276</v>
      </c>
      <c r="P1158" s="26">
        <f ca="1">IFERROR(__xludf.DUMMYFUNCTION("ROUND(GOOGLEFINANCE(""Currency:EURKZT"")*M1158)"),238785)</f>
        <v>238785</v>
      </c>
      <c r="Q1158" s="26">
        <f ca="1">IFERROR(__xludf.DUMMYFUNCTION("ROUND(GOOGLEFINANCE(""Currency:EURKZT"")*N1158)"),238785)</f>
        <v>238785</v>
      </c>
      <c r="R1158" s="26">
        <f t="shared" ca="1" si="1055"/>
        <v>233073</v>
      </c>
      <c r="S1158" s="26">
        <f t="shared" ca="1" si="1056"/>
        <v>2652919</v>
      </c>
      <c r="T1158" s="26">
        <f ca="1">IFERROR(__xludf.DUMMYFUNCTION("ROUND(GOOGLEFINANCE(""Currency:EURKZT"")*L1158+S1158)"),3021951)</f>
        <v>3021951</v>
      </c>
      <c r="U1158" s="26">
        <f ca="1">IFERROR(__xludf.DUMMYFUNCTION("D1158*GOOGLEFINANCE(""RUBKZT"")*1000/F1158"),3537805.12018272)</f>
        <v>3537805.12018272</v>
      </c>
      <c r="V1158" s="27">
        <f t="shared" ca="1" si="1057"/>
        <v>0.17070234434069911</v>
      </c>
    </row>
    <row r="1159" spans="1:22" ht="12.75" customHeight="1" x14ac:dyDescent="0.2">
      <c r="A1159" s="6" t="s">
        <v>614</v>
      </c>
      <c r="B1159" s="6" t="s">
        <v>353</v>
      </c>
      <c r="C1159" s="7">
        <v>216251</v>
      </c>
      <c r="D1159" s="8">
        <v>9926.4</v>
      </c>
      <c r="E1159" s="9" t="s">
        <v>16</v>
      </c>
      <c r="F1159" s="23">
        <v>15</v>
      </c>
      <c r="G1159" s="25"/>
      <c r="H1159" s="14">
        <f t="shared" si="1051"/>
        <v>0.55000000000000004</v>
      </c>
      <c r="I1159" s="25">
        <f ca="1">IFERROR(__xludf.DUMMYFUNCTION("ROUND(D1159*GOOGLEFINANCE(""RUBKZT"")*H1159)"),42603)</f>
        <v>42603</v>
      </c>
      <c r="J1159" s="26">
        <f ca="1">IFERROR(__xludf.DUMMYFUNCTION("ROUND(I1159*GOOGLEFINANCE(""KZTEUR""))"),89)</f>
        <v>89</v>
      </c>
      <c r="K1159" s="26">
        <f t="shared" ca="1" si="1052"/>
        <v>5933</v>
      </c>
      <c r="L1159" s="26">
        <f t="shared" ca="1" si="1053"/>
        <v>1127.27</v>
      </c>
      <c r="M1159" s="26">
        <f t="shared" ref="M1159:N1159" si="1193">M$3</f>
        <v>500</v>
      </c>
      <c r="N1159" s="26">
        <f t="shared" si="1193"/>
        <v>500</v>
      </c>
      <c r="O1159" s="26">
        <f ca="1">IFERROR(__xludf.DUMMYFUNCTION("ROUND(GOOGLEFINANCE(""Currency:EURKZT"")*K1159)"),2833421)</f>
        <v>2833421</v>
      </c>
      <c r="P1159" s="26">
        <f ca="1">IFERROR(__xludf.DUMMYFUNCTION("ROUND(GOOGLEFINANCE(""Currency:EURKZT"")*M1159)"),238785)</f>
        <v>238785</v>
      </c>
      <c r="Q1159" s="26">
        <f ca="1">IFERROR(__xludf.DUMMYFUNCTION("ROUND(GOOGLEFINANCE(""Currency:EURKZT"")*N1159)"),238785)</f>
        <v>238785</v>
      </c>
      <c r="R1159" s="26">
        <f t="shared" ca="1" si="1055"/>
        <v>340011</v>
      </c>
      <c r="S1159" s="26">
        <f t="shared" ca="1" si="1056"/>
        <v>3651002</v>
      </c>
      <c r="T1159" s="26">
        <f ca="1">IFERROR(__xludf.DUMMYFUNCTION("ROUND(GOOGLEFINANCE(""Currency:EURKZT"")*L1159+S1159)"),4189352)</f>
        <v>4189352</v>
      </c>
      <c r="U1159" s="26">
        <f ca="1">IFERROR(__xludf.DUMMYFUNCTION("D1159*GOOGLEFINANCE(""RUBKZT"")*1000/F1159"),5164059.28253951)</f>
        <v>5164059.2825395102</v>
      </c>
      <c r="V1159" s="27">
        <f t="shared" ca="1" si="1057"/>
        <v>0.23266301865766117</v>
      </c>
    </row>
    <row r="1160" spans="1:22" ht="12.75" customHeight="1" x14ac:dyDescent="0.2">
      <c r="A1160" s="6" t="s">
        <v>642</v>
      </c>
      <c r="B1160" s="6" t="s">
        <v>353</v>
      </c>
      <c r="C1160" s="7">
        <v>223530</v>
      </c>
      <c r="D1160" s="8">
        <v>11145.6</v>
      </c>
      <c r="E1160" s="9" t="s">
        <v>7</v>
      </c>
      <c r="F1160" s="23">
        <v>15</v>
      </c>
      <c r="G1160" s="25"/>
      <c r="H1160" s="14">
        <f t="shared" si="1051"/>
        <v>0.55000000000000004</v>
      </c>
      <c r="I1160" s="25">
        <f ca="1">IFERROR(__xludf.DUMMYFUNCTION("ROUND(D1160*GOOGLEFINANCE(""RUBKZT"")*H1160)"),47836)</f>
        <v>47836</v>
      </c>
      <c r="J1160" s="26">
        <f ca="1">IFERROR(__xludf.DUMMYFUNCTION("ROUND(I1160*GOOGLEFINANCE(""KZTEUR""))"),100)</f>
        <v>100</v>
      </c>
      <c r="K1160" s="26">
        <f t="shared" ca="1" si="1052"/>
        <v>6667</v>
      </c>
      <c r="L1160" s="26">
        <f t="shared" ca="1" si="1053"/>
        <v>1266.73</v>
      </c>
      <c r="M1160" s="26">
        <f t="shared" ref="M1160:N1160" si="1194">M$3</f>
        <v>500</v>
      </c>
      <c r="N1160" s="26">
        <f t="shared" si="1194"/>
        <v>500</v>
      </c>
      <c r="O1160" s="26">
        <f ca="1">IFERROR(__xludf.DUMMYFUNCTION("ROUND(GOOGLEFINANCE(""Currency:EURKZT"")*K1160)"),3183957)</f>
        <v>3183957</v>
      </c>
      <c r="P1160" s="26">
        <f ca="1">IFERROR(__xludf.DUMMYFUNCTION("ROUND(GOOGLEFINANCE(""Currency:EURKZT"")*M1160)"),238785)</f>
        <v>238785</v>
      </c>
      <c r="Q1160" s="26">
        <f ca="1">IFERROR(__xludf.DUMMYFUNCTION("ROUND(GOOGLEFINANCE(""Currency:EURKZT"")*N1160)"),238785)</f>
        <v>238785</v>
      </c>
      <c r="R1160" s="26">
        <f t="shared" ca="1" si="1055"/>
        <v>382075</v>
      </c>
      <c r="S1160" s="26">
        <f t="shared" ca="1" si="1056"/>
        <v>4043602</v>
      </c>
      <c r="T1160" s="26">
        <f ca="1">IFERROR(__xludf.DUMMYFUNCTION("ROUND(GOOGLEFINANCE(""Currency:EURKZT"")*L1160+S1160)"),4648554)</f>
        <v>4648554</v>
      </c>
      <c r="U1160" s="26">
        <f ca="1">IFERROR(__xludf.DUMMYFUNCTION("D1160*GOOGLEFINANCE(""RUBKZT"")*1000/F1160"),5798329.61995008)</f>
        <v>5798329.6199500803</v>
      </c>
      <c r="V1160" s="27">
        <f t="shared" ca="1" si="1057"/>
        <v>0.24734048909619644</v>
      </c>
    </row>
    <row r="1161" spans="1:22" ht="12.75" customHeight="1" x14ac:dyDescent="0.2">
      <c r="A1161" s="6" t="s">
        <v>642</v>
      </c>
      <c r="B1161" s="6" t="s">
        <v>353</v>
      </c>
      <c r="C1161" s="7">
        <v>223627</v>
      </c>
      <c r="D1161" s="8">
        <v>11389.199999999999</v>
      </c>
      <c r="E1161" s="9" t="s">
        <v>7</v>
      </c>
      <c r="F1161" s="23">
        <v>15</v>
      </c>
      <c r="G1161" s="25"/>
      <c r="H1161" s="14">
        <f t="shared" si="1051"/>
        <v>0.55000000000000004</v>
      </c>
      <c r="I1161" s="25">
        <f ca="1">IFERROR(__xludf.DUMMYFUNCTION("ROUND(D1161*GOOGLEFINANCE(""RUBKZT"")*H1161)"),48882)</f>
        <v>48882</v>
      </c>
      <c r="J1161" s="26">
        <f ca="1">IFERROR(__xludf.DUMMYFUNCTION("ROUND(I1161*GOOGLEFINANCE(""KZTEUR""))"),102)</f>
        <v>102</v>
      </c>
      <c r="K1161" s="26">
        <f t="shared" ca="1" si="1052"/>
        <v>6800</v>
      </c>
      <c r="L1161" s="26">
        <f t="shared" ca="1" si="1053"/>
        <v>1292</v>
      </c>
      <c r="M1161" s="26">
        <f t="shared" ref="M1161:N1161" si="1195">M$3</f>
        <v>500</v>
      </c>
      <c r="N1161" s="26">
        <f t="shared" si="1195"/>
        <v>500</v>
      </c>
      <c r="O1161" s="26">
        <f ca="1">IFERROR(__xludf.DUMMYFUNCTION("ROUND(GOOGLEFINANCE(""Currency:EURKZT"")*K1161)"),3247473)</f>
        <v>3247473</v>
      </c>
      <c r="P1161" s="26">
        <f ca="1">IFERROR(__xludf.DUMMYFUNCTION("ROUND(GOOGLEFINANCE(""Currency:EURKZT"")*M1161)"),238785)</f>
        <v>238785</v>
      </c>
      <c r="Q1161" s="26">
        <f ca="1">IFERROR(__xludf.DUMMYFUNCTION("ROUND(GOOGLEFINANCE(""Currency:EURKZT"")*N1161)"),238785)</f>
        <v>238785</v>
      </c>
      <c r="R1161" s="26">
        <f t="shared" ca="1" si="1055"/>
        <v>389697</v>
      </c>
      <c r="S1161" s="26">
        <f t="shared" ca="1" si="1056"/>
        <v>4114740</v>
      </c>
      <c r="T1161" s="26">
        <f ca="1">IFERROR(__xludf.DUMMYFUNCTION("ROUND(GOOGLEFINANCE(""Currency:EURKZT"")*L1161+S1161)"),4731760)</f>
        <v>4731760</v>
      </c>
      <c r="U1161" s="26">
        <f ca="1">IFERROR(__xludf.DUMMYFUNCTION("D1161*GOOGLEFINANCE(""RUBKZT"")*1000/F1161"),5925058.83106656)</f>
        <v>5925058.83106656</v>
      </c>
      <c r="V1161" s="27">
        <f t="shared" ca="1" si="1057"/>
        <v>0.25218921311870424</v>
      </c>
    </row>
    <row r="1162" spans="1:22" ht="12.75" customHeight="1" x14ac:dyDescent="0.2">
      <c r="A1162" s="6" t="s">
        <v>449</v>
      </c>
      <c r="B1162" s="6" t="s">
        <v>353</v>
      </c>
      <c r="C1162" s="7">
        <v>223651</v>
      </c>
      <c r="D1162" s="8">
        <v>9830.4</v>
      </c>
      <c r="E1162" s="9" t="s">
        <v>16</v>
      </c>
      <c r="F1162" s="23">
        <v>15</v>
      </c>
      <c r="G1162" s="25"/>
      <c r="H1162" s="14">
        <f t="shared" si="1051"/>
        <v>0.55000000000000004</v>
      </c>
      <c r="I1162" s="25">
        <f ca="1">IFERROR(__xludf.DUMMYFUNCTION("ROUND(D1162*GOOGLEFINANCE(""RUBKZT"")*H1162)"),42191)</f>
        <v>42191</v>
      </c>
      <c r="J1162" s="26">
        <f ca="1">IFERROR(__xludf.DUMMYFUNCTION("ROUND(I1162*GOOGLEFINANCE(""KZTEUR""))"),88)</f>
        <v>88</v>
      </c>
      <c r="K1162" s="26">
        <f t="shared" ca="1" si="1052"/>
        <v>5867</v>
      </c>
      <c r="L1162" s="26">
        <f t="shared" ca="1" si="1053"/>
        <v>1114.73</v>
      </c>
      <c r="M1162" s="26">
        <f t="shared" ref="M1162:N1162" si="1196">M$3</f>
        <v>500</v>
      </c>
      <c r="N1162" s="26">
        <f t="shared" si="1196"/>
        <v>500</v>
      </c>
      <c r="O1162" s="26">
        <f ca="1">IFERROR(__xludf.DUMMYFUNCTION("ROUND(GOOGLEFINANCE(""Currency:EURKZT"")*K1162)"),2801901)</f>
        <v>2801901</v>
      </c>
      <c r="P1162" s="26">
        <f ca="1">IFERROR(__xludf.DUMMYFUNCTION("ROUND(GOOGLEFINANCE(""Currency:EURKZT"")*M1162)"),238785)</f>
        <v>238785</v>
      </c>
      <c r="Q1162" s="26">
        <f ca="1">IFERROR(__xludf.DUMMYFUNCTION("ROUND(GOOGLEFINANCE(""Currency:EURKZT"")*N1162)"),238785)</f>
        <v>238785</v>
      </c>
      <c r="R1162" s="26">
        <f t="shared" ca="1" si="1055"/>
        <v>336228</v>
      </c>
      <c r="S1162" s="26">
        <f t="shared" ca="1" si="1056"/>
        <v>3615699</v>
      </c>
      <c r="T1162" s="26">
        <f ca="1">IFERROR(__xludf.DUMMYFUNCTION("ROUND(GOOGLEFINANCE(""Currency:EURKZT"")*L1162+S1162)"),4148060)</f>
        <v>4148060</v>
      </c>
      <c r="U1162" s="26">
        <f ca="1">IFERROR(__xludf.DUMMYFUNCTION("D1162*GOOGLEFINANCE(""RUBKZT"")*1000/F1162"),5114116.73628672)</f>
        <v>5114116.7362867203</v>
      </c>
      <c r="V1162" s="27">
        <f t="shared" ca="1" si="1057"/>
        <v>0.23289362648725434</v>
      </c>
    </row>
    <row r="1163" spans="1:22" ht="12.75" customHeight="1" x14ac:dyDescent="0.2">
      <c r="A1163" s="6" t="s">
        <v>464</v>
      </c>
      <c r="B1163" s="6" t="s">
        <v>353</v>
      </c>
      <c r="C1163" s="7">
        <v>216607</v>
      </c>
      <c r="D1163" s="8">
        <v>7315.2</v>
      </c>
      <c r="E1163" s="9" t="s">
        <v>16</v>
      </c>
      <c r="F1163" s="23">
        <v>15</v>
      </c>
      <c r="G1163" s="25"/>
      <c r="H1163" s="14">
        <f t="shared" si="1051"/>
        <v>0.55000000000000004</v>
      </c>
      <c r="I1163" s="25">
        <f ca="1">IFERROR(__xludf.DUMMYFUNCTION("ROUND(D1163*GOOGLEFINANCE(""RUBKZT"")*H1163)"),31396)</f>
        <v>31396</v>
      </c>
      <c r="J1163" s="26">
        <f ca="1">IFERROR(__xludf.DUMMYFUNCTION("ROUND(I1163*GOOGLEFINANCE(""KZTEUR""))"),66)</f>
        <v>66</v>
      </c>
      <c r="K1163" s="26">
        <f t="shared" ca="1" si="1052"/>
        <v>4400</v>
      </c>
      <c r="L1163" s="26">
        <f t="shared" ca="1" si="1053"/>
        <v>836</v>
      </c>
      <c r="M1163" s="26">
        <f t="shared" ref="M1163:N1163" si="1197">M$3</f>
        <v>500</v>
      </c>
      <c r="N1163" s="26">
        <f t="shared" si="1197"/>
        <v>500</v>
      </c>
      <c r="O1163" s="26">
        <f ca="1">IFERROR(__xludf.DUMMYFUNCTION("ROUND(GOOGLEFINANCE(""Currency:EURKZT"")*K1163)"),2101306)</f>
        <v>2101306</v>
      </c>
      <c r="P1163" s="26">
        <f ca="1">IFERROR(__xludf.DUMMYFUNCTION("ROUND(GOOGLEFINANCE(""Currency:EURKZT"")*M1163)"),238785)</f>
        <v>238785</v>
      </c>
      <c r="Q1163" s="26">
        <f ca="1">IFERROR(__xludf.DUMMYFUNCTION("ROUND(GOOGLEFINANCE(""Currency:EURKZT"")*N1163)"),238785)</f>
        <v>238785</v>
      </c>
      <c r="R1163" s="26">
        <f t="shared" ca="1" si="1055"/>
        <v>252157</v>
      </c>
      <c r="S1163" s="26">
        <f t="shared" ca="1" si="1056"/>
        <v>2831033</v>
      </c>
      <c r="T1163" s="26">
        <f ca="1">IFERROR(__xludf.DUMMYFUNCTION("ROUND(GOOGLEFINANCE(""Currency:EURKZT"")*L1163+S1163)"),3230281)</f>
        <v>3230281</v>
      </c>
      <c r="U1163" s="26">
        <f ca="1">IFERROR(__xludf.DUMMYFUNCTION("D1163*GOOGLEFINANCE(""RUBKZT"")*1000/F1163"),3805622.02446336)</f>
        <v>3805622.0244633602</v>
      </c>
      <c r="V1163" s="27">
        <f t="shared" ca="1" si="1057"/>
        <v>0.17810866127849564</v>
      </c>
    </row>
    <row r="1164" spans="1:22" ht="12.75" customHeight="1" x14ac:dyDescent="0.2">
      <c r="A1164" s="6" t="s">
        <v>462</v>
      </c>
      <c r="B1164" s="6" t="s">
        <v>353</v>
      </c>
      <c r="C1164" s="7">
        <v>216606</v>
      </c>
      <c r="D1164" s="8">
        <v>6957.5999999999995</v>
      </c>
      <c r="E1164" s="9" t="s">
        <v>16</v>
      </c>
      <c r="F1164" s="23">
        <v>15</v>
      </c>
      <c r="G1164" s="25"/>
      <c r="H1164" s="14">
        <f t="shared" si="1051"/>
        <v>0.55000000000000004</v>
      </c>
      <c r="I1164" s="25">
        <f ca="1">IFERROR(__xludf.DUMMYFUNCTION("ROUND(D1164*GOOGLEFINANCE(""RUBKZT"")*H1164)"),29862)</f>
        <v>29862</v>
      </c>
      <c r="J1164" s="26">
        <f ca="1">IFERROR(__xludf.DUMMYFUNCTION("ROUND(I1164*GOOGLEFINANCE(""KZTEUR""))"),63)</f>
        <v>63</v>
      </c>
      <c r="K1164" s="26">
        <f t="shared" ca="1" si="1052"/>
        <v>4200</v>
      </c>
      <c r="L1164" s="26">
        <f t="shared" ca="1" si="1053"/>
        <v>798</v>
      </c>
      <c r="M1164" s="26">
        <f t="shared" ref="M1164:N1164" si="1198">M$3</f>
        <v>500</v>
      </c>
      <c r="N1164" s="26">
        <f t="shared" si="1198"/>
        <v>500</v>
      </c>
      <c r="O1164" s="26">
        <f ca="1">IFERROR(__xludf.DUMMYFUNCTION("ROUND(GOOGLEFINANCE(""Currency:EURKZT"")*K1164)"),2005792)</f>
        <v>2005792</v>
      </c>
      <c r="P1164" s="26">
        <f ca="1">IFERROR(__xludf.DUMMYFUNCTION("ROUND(GOOGLEFINANCE(""Currency:EURKZT"")*M1164)"),238785)</f>
        <v>238785</v>
      </c>
      <c r="Q1164" s="26">
        <f ca="1">IFERROR(__xludf.DUMMYFUNCTION("ROUND(GOOGLEFINANCE(""Currency:EURKZT"")*N1164)"),238785)</f>
        <v>238785</v>
      </c>
      <c r="R1164" s="26">
        <f t="shared" ca="1" si="1055"/>
        <v>240695</v>
      </c>
      <c r="S1164" s="26">
        <f t="shared" ca="1" si="1056"/>
        <v>2724057</v>
      </c>
      <c r="T1164" s="26">
        <f ca="1">IFERROR(__xludf.DUMMYFUNCTION("ROUND(GOOGLEFINANCE(""Currency:EURKZT"")*L1164+S1164)"),3105158)</f>
        <v>3105158</v>
      </c>
      <c r="U1164" s="26">
        <f ca="1">IFERROR(__xludf.DUMMYFUNCTION("D1164*GOOGLEFINANCE(""RUBKZT"")*1000/F1164"),3619586.03967168)</f>
        <v>3619586.03967168</v>
      </c>
      <c r="V1164" s="27">
        <f t="shared" ca="1" si="1057"/>
        <v>0.1656688772911652</v>
      </c>
    </row>
    <row r="1165" spans="1:22" ht="12.75" customHeight="1" x14ac:dyDescent="0.2">
      <c r="A1165" s="6" t="s">
        <v>463</v>
      </c>
      <c r="B1165" s="6" t="s">
        <v>353</v>
      </c>
      <c r="C1165" s="7">
        <v>216605</v>
      </c>
      <c r="D1165" s="8">
        <v>9601.1999999999989</v>
      </c>
      <c r="E1165" s="9" t="s">
        <v>16</v>
      </c>
      <c r="F1165" s="23">
        <v>15</v>
      </c>
      <c r="G1165" s="25"/>
      <c r="H1165" s="14">
        <f t="shared" si="1051"/>
        <v>0.55000000000000004</v>
      </c>
      <c r="I1165" s="25">
        <f ca="1">IFERROR(__xludf.DUMMYFUNCTION("ROUND(D1165*GOOGLEFINANCE(""RUBKZT"")*H1165)"),41208)</f>
        <v>41208</v>
      </c>
      <c r="J1165" s="26">
        <f ca="1">IFERROR(__xludf.DUMMYFUNCTION("ROUND(I1165*GOOGLEFINANCE(""KZTEUR""))"),86)</f>
        <v>86</v>
      </c>
      <c r="K1165" s="26">
        <f t="shared" ca="1" si="1052"/>
        <v>5733</v>
      </c>
      <c r="L1165" s="26">
        <f t="shared" ca="1" si="1053"/>
        <v>1089.27</v>
      </c>
      <c r="M1165" s="26">
        <f t="shared" ref="M1165:N1165" si="1199">M$3</f>
        <v>500</v>
      </c>
      <c r="N1165" s="26">
        <f t="shared" si="1199"/>
        <v>500</v>
      </c>
      <c r="O1165" s="26">
        <f ca="1">IFERROR(__xludf.DUMMYFUNCTION("ROUND(GOOGLEFINANCE(""Currency:EURKZT"")*K1165)"),2737907)</f>
        <v>2737907</v>
      </c>
      <c r="P1165" s="26">
        <f ca="1">IFERROR(__xludf.DUMMYFUNCTION("ROUND(GOOGLEFINANCE(""Currency:EURKZT"")*M1165)"),238785)</f>
        <v>238785</v>
      </c>
      <c r="Q1165" s="26">
        <f ca="1">IFERROR(__xludf.DUMMYFUNCTION("ROUND(GOOGLEFINANCE(""Currency:EURKZT"")*N1165)"),238785)</f>
        <v>238785</v>
      </c>
      <c r="R1165" s="26">
        <f t="shared" ca="1" si="1055"/>
        <v>328549</v>
      </c>
      <c r="S1165" s="26">
        <f t="shared" ca="1" si="1056"/>
        <v>3544026</v>
      </c>
      <c r="T1165" s="26">
        <f ca="1">IFERROR(__xludf.DUMMYFUNCTION("ROUND(GOOGLEFINANCE(""Currency:EURKZT"")*L1165+S1165)"),4064228)</f>
        <v>4064228</v>
      </c>
      <c r="U1165" s="26">
        <f ca="1">IFERROR(__xludf.DUMMYFUNCTION("D1165*GOOGLEFINANCE(""RUBKZT"")*1000/F1165"),4994878.90710816)</f>
        <v>4994878.9071081597</v>
      </c>
      <c r="V1165" s="27">
        <f t="shared" ca="1" si="1057"/>
        <v>0.22898590017788364</v>
      </c>
    </row>
    <row r="1166" spans="1:22" ht="12.75" customHeight="1" x14ac:dyDescent="0.2">
      <c r="A1166" s="6" t="s">
        <v>469</v>
      </c>
      <c r="B1166" s="6" t="s">
        <v>353</v>
      </c>
      <c r="C1166" s="7">
        <v>216634</v>
      </c>
      <c r="D1166" s="8">
        <v>9980.4</v>
      </c>
      <c r="E1166" s="9" t="s">
        <v>16</v>
      </c>
      <c r="F1166" s="23">
        <v>15</v>
      </c>
      <c r="G1166" s="25"/>
      <c r="H1166" s="14">
        <f t="shared" si="1051"/>
        <v>0.55000000000000004</v>
      </c>
      <c r="I1166" s="25">
        <f ca="1">IFERROR(__xludf.DUMMYFUNCTION("ROUND(D1166*GOOGLEFINANCE(""RUBKZT"")*H1166)"),42835)</f>
        <v>42835</v>
      </c>
      <c r="J1166" s="26">
        <f ca="1">IFERROR(__xludf.DUMMYFUNCTION("ROUND(I1166*GOOGLEFINANCE(""KZTEUR""))"),90)</f>
        <v>90</v>
      </c>
      <c r="K1166" s="26">
        <f t="shared" ca="1" si="1052"/>
        <v>6000</v>
      </c>
      <c r="L1166" s="26">
        <f t="shared" ca="1" si="1053"/>
        <v>1140</v>
      </c>
      <c r="M1166" s="26">
        <f t="shared" ref="M1166:N1166" si="1200">M$3</f>
        <v>500</v>
      </c>
      <c r="N1166" s="26">
        <f t="shared" si="1200"/>
        <v>500</v>
      </c>
      <c r="O1166" s="26">
        <f ca="1">IFERROR(__xludf.DUMMYFUNCTION("ROUND(GOOGLEFINANCE(""Currency:EURKZT"")*K1166)"),2865418)</f>
        <v>2865418</v>
      </c>
      <c r="P1166" s="26">
        <f ca="1">IFERROR(__xludf.DUMMYFUNCTION("ROUND(GOOGLEFINANCE(""Currency:EURKZT"")*M1166)"),238785)</f>
        <v>238785</v>
      </c>
      <c r="Q1166" s="26">
        <f ca="1">IFERROR(__xludf.DUMMYFUNCTION("ROUND(GOOGLEFINANCE(""Currency:EURKZT"")*N1166)"),238785)</f>
        <v>238785</v>
      </c>
      <c r="R1166" s="26">
        <f t="shared" ca="1" si="1055"/>
        <v>343850</v>
      </c>
      <c r="S1166" s="26">
        <f t="shared" ca="1" si="1056"/>
        <v>3686838</v>
      </c>
      <c r="T1166" s="26">
        <f ca="1">IFERROR(__xludf.DUMMYFUNCTION("ROUND(GOOGLEFINANCE(""Currency:EURKZT"")*L1166+S1166)"),4231267)</f>
        <v>4231267</v>
      </c>
      <c r="U1166" s="26">
        <f ca="1">IFERROR(__xludf.DUMMYFUNCTION("D1166*GOOGLEFINANCE(""RUBKZT"")*1000/F1166"),5192151.96480672)</f>
        <v>5192151.9648067197</v>
      </c>
      <c r="V1166" s="27">
        <f t="shared" ca="1" si="1057"/>
        <v>0.22709154605623319</v>
      </c>
    </row>
    <row r="1167" spans="1:22" ht="12.75" customHeight="1" x14ac:dyDescent="0.2">
      <c r="A1167" s="6" t="s">
        <v>475</v>
      </c>
      <c r="B1167" s="6" t="s">
        <v>353</v>
      </c>
      <c r="C1167" s="7">
        <v>216609</v>
      </c>
      <c r="D1167" s="8">
        <v>9428.4</v>
      </c>
      <c r="E1167" s="9" t="s">
        <v>16</v>
      </c>
      <c r="F1167" s="23">
        <v>15</v>
      </c>
      <c r="G1167" s="24">
        <v>0.04</v>
      </c>
      <c r="H1167" s="14">
        <f t="shared" si="1051"/>
        <v>0.59000000000000008</v>
      </c>
      <c r="I1167" s="25">
        <f ca="1">IFERROR(__xludf.DUMMYFUNCTION("ROUND(D1167*GOOGLEFINANCE(""RUBKZT"")*H1167)"),43409)</f>
        <v>43409</v>
      </c>
      <c r="J1167" s="26">
        <f ca="1">IFERROR(__xludf.DUMMYFUNCTION("ROUND(I1167*GOOGLEFINANCE(""KZTEUR""))"),91)</f>
        <v>91</v>
      </c>
      <c r="K1167" s="26">
        <f t="shared" ca="1" si="1052"/>
        <v>6067</v>
      </c>
      <c r="L1167" s="26">
        <f t="shared" ca="1" si="1053"/>
        <v>1152.73</v>
      </c>
      <c r="M1167" s="26">
        <f t="shared" ref="M1167:N1167" si="1201">M$3</f>
        <v>500</v>
      </c>
      <c r="N1167" s="26">
        <f t="shared" si="1201"/>
        <v>500</v>
      </c>
      <c r="O1167" s="26">
        <f ca="1">IFERROR(__xludf.DUMMYFUNCTION("ROUND(GOOGLEFINANCE(""Currency:EURKZT"")*K1167)"),2897415)</f>
        <v>2897415</v>
      </c>
      <c r="P1167" s="26">
        <f ca="1">IFERROR(__xludf.DUMMYFUNCTION("ROUND(GOOGLEFINANCE(""Currency:EURKZT"")*M1167)"),238785)</f>
        <v>238785</v>
      </c>
      <c r="Q1167" s="26">
        <f ca="1">IFERROR(__xludf.DUMMYFUNCTION("ROUND(GOOGLEFINANCE(""Currency:EURKZT"")*N1167)"),238785)</f>
        <v>238785</v>
      </c>
      <c r="R1167" s="26">
        <f t="shared" ca="1" si="1055"/>
        <v>347690</v>
      </c>
      <c r="S1167" s="26">
        <f t="shared" ca="1" si="1056"/>
        <v>3722675</v>
      </c>
      <c r="T1167" s="26">
        <f ca="1">IFERROR(__xludf.DUMMYFUNCTION("ROUND(GOOGLEFINANCE(""Currency:EURKZT"")*L1167+S1167)"),4273184)</f>
        <v>4273184</v>
      </c>
      <c r="U1167" s="26">
        <f ca="1">IFERROR(__xludf.DUMMYFUNCTION("D1167*GOOGLEFINANCE(""RUBKZT"")*1000/F1167"),4904982.32385312)</f>
        <v>4904982.3238531202</v>
      </c>
      <c r="V1167" s="27">
        <f t="shared" ca="1" si="1057"/>
        <v>0.1478518883935539</v>
      </c>
    </row>
    <row r="1168" spans="1:22" ht="12.75" customHeight="1" x14ac:dyDescent="0.2">
      <c r="A1168" s="6" t="s">
        <v>494</v>
      </c>
      <c r="B1168" s="6" t="s">
        <v>353</v>
      </c>
      <c r="C1168" s="7">
        <v>216626</v>
      </c>
      <c r="D1168" s="8">
        <v>9687.6</v>
      </c>
      <c r="E1168" s="9" t="s">
        <v>16</v>
      </c>
      <c r="F1168" s="23">
        <v>15</v>
      </c>
      <c r="G1168" s="25"/>
      <c r="H1168" s="14">
        <f t="shared" si="1051"/>
        <v>0.55000000000000004</v>
      </c>
      <c r="I1168" s="25">
        <f ca="1">IFERROR(__xludf.DUMMYFUNCTION("ROUND(D1168*GOOGLEFINANCE(""RUBKZT"")*H1168)"),41579)</f>
        <v>41579</v>
      </c>
      <c r="J1168" s="26">
        <f ca="1">IFERROR(__xludf.DUMMYFUNCTION("ROUND(I1168*GOOGLEFINANCE(""KZTEUR""))"),87)</f>
        <v>87</v>
      </c>
      <c r="K1168" s="26">
        <f t="shared" ca="1" si="1052"/>
        <v>5800</v>
      </c>
      <c r="L1168" s="26">
        <f t="shared" ca="1" si="1053"/>
        <v>1102</v>
      </c>
      <c r="M1168" s="26">
        <f t="shared" ref="M1168:N1168" si="1202">M$3</f>
        <v>500</v>
      </c>
      <c r="N1168" s="26">
        <f t="shared" si="1202"/>
        <v>500</v>
      </c>
      <c r="O1168" s="26">
        <f ca="1">IFERROR(__xludf.DUMMYFUNCTION("ROUND(GOOGLEFINANCE(""Currency:EURKZT"")*K1168)"),2769904)</f>
        <v>2769904</v>
      </c>
      <c r="P1168" s="26">
        <f ca="1">IFERROR(__xludf.DUMMYFUNCTION("ROUND(GOOGLEFINANCE(""Currency:EURKZT"")*M1168)"),238785)</f>
        <v>238785</v>
      </c>
      <c r="Q1168" s="26">
        <f ca="1">IFERROR(__xludf.DUMMYFUNCTION("ROUND(GOOGLEFINANCE(""Currency:EURKZT"")*N1168)"),238785)</f>
        <v>238785</v>
      </c>
      <c r="R1168" s="26">
        <f t="shared" ca="1" si="1055"/>
        <v>332388</v>
      </c>
      <c r="S1168" s="26">
        <f t="shared" ca="1" si="1056"/>
        <v>3579862</v>
      </c>
      <c r="T1168" s="26">
        <f ca="1">IFERROR(__xludf.DUMMYFUNCTION("ROUND(GOOGLEFINANCE(""Currency:EURKZT"")*L1168+S1168)"),4106144)</f>
        <v>4106144</v>
      </c>
      <c r="U1168" s="26">
        <f ca="1">IFERROR(__xludf.DUMMYFUNCTION("D1168*GOOGLEFINANCE(""RUBKZT"")*1000/F1168"),5039827.19873568)</f>
        <v>5039827.1987356804</v>
      </c>
      <c r="V1168" s="27">
        <f t="shared" ca="1" si="1057"/>
        <v>0.2273868619161141</v>
      </c>
    </row>
    <row r="1169" spans="1:22" ht="12.75" customHeight="1" x14ac:dyDescent="0.2">
      <c r="A1169" s="6" t="s">
        <v>533</v>
      </c>
      <c r="B1169" s="6" t="s">
        <v>353</v>
      </c>
      <c r="C1169" s="7">
        <v>216821</v>
      </c>
      <c r="D1169" s="8">
        <v>6568.8</v>
      </c>
      <c r="E1169" s="9" t="s">
        <v>7</v>
      </c>
      <c r="F1169" s="23">
        <v>15</v>
      </c>
      <c r="G1169" s="25"/>
      <c r="H1169" s="14">
        <f t="shared" si="1051"/>
        <v>0.55000000000000004</v>
      </c>
      <c r="I1169" s="25">
        <f ca="1">IFERROR(__xludf.DUMMYFUNCTION("ROUND(D1169*GOOGLEFINANCE(""RUBKZT"")*H1169)"),28193)</f>
        <v>28193</v>
      </c>
      <c r="J1169" s="26">
        <f ca="1">IFERROR(__xludf.DUMMYFUNCTION("ROUND(I1169*GOOGLEFINANCE(""KZTEUR""))"),59)</f>
        <v>59</v>
      </c>
      <c r="K1169" s="26">
        <f t="shared" ca="1" si="1052"/>
        <v>3933</v>
      </c>
      <c r="L1169" s="26">
        <f t="shared" ca="1" si="1053"/>
        <v>747.27</v>
      </c>
      <c r="M1169" s="26">
        <f t="shared" ref="M1169:N1169" si="1203">M$3</f>
        <v>500</v>
      </c>
      <c r="N1169" s="26">
        <f t="shared" si="1203"/>
        <v>500</v>
      </c>
      <c r="O1169" s="26">
        <f ca="1">IFERROR(__xludf.DUMMYFUNCTION("ROUND(GOOGLEFINANCE(""Currency:EURKZT"")*K1169)"),1878281)</f>
        <v>1878281</v>
      </c>
      <c r="P1169" s="26">
        <f ca="1">IFERROR(__xludf.DUMMYFUNCTION("ROUND(GOOGLEFINANCE(""Currency:EURKZT"")*M1169)"),238785)</f>
        <v>238785</v>
      </c>
      <c r="Q1169" s="26">
        <f ca="1">IFERROR(__xludf.DUMMYFUNCTION("ROUND(GOOGLEFINANCE(""Currency:EURKZT"")*N1169)"),238785)</f>
        <v>238785</v>
      </c>
      <c r="R1169" s="26">
        <f t="shared" ca="1" si="1055"/>
        <v>225394</v>
      </c>
      <c r="S1169" s="26">
        <f t="shared" ca="1" si="1056"/>
        <v>2581245</v>
      </c>
      <c r="T1169" s="26">
        <f ca="1">IFERROR(__xludf.DUMMYFUNCTION("ROUND(GOOGLEFINANCE(""Currency:EURKZT"")*L1169+S1169)"),2938118)</f>
        <v>2938118</v>
      </c>
      <c r="U1169" s="26">
        <f ca="1">IFERROR(__xludf.DUMMYFUNCTION("D1169*GOOGLEFINANCE(""RUBKZT"")*1000/F1169"),3417318.72734784)</f>
        <v>3417318.7273478401</v>
      </c>
      <c r="V1169" s="27">
        <f t="shared" ca="1" si="1057"/>
        <v>0.16309784948999329</v>
      </c>
    </row>
    <row r="1170" spans="1:22" ht="12.75" customHeight="1" x14ac:dyDescent="0.2">
      <c r="A1170" s="6" t="s">
        <v>536</v>
      </c>
      <c r="B1170" s="6" t="s">
        <v>353</v>
      </c>
      <c r="C1170" s="7">
        <v>217558</v>
      </c>
      <c r="D1170" s="8">
        <v>10630.8</v>
      </c>
      <c r="E1170" s="9" t="s">
        <v>7</v>
      </c>
      <c r="F1170" s="23">
        <v>15</v>
      </c>
      <c r="G1170" s="24">
        <v>0.05</v>
      </c>
      <c r="H1170" s="14">
        <f t="shared" si="1051"/>
        <v>0.60000000000000009</v>
      </c>
      <c r="I1170" s="25">
        <f ca="1">IFERROR(__xludf.DUMMYFUNCTION("ROUND(D1170*GOOGLEFINANCE(""RUBKZT"")*H1170)"),49775)</f>
        <v>49775</v>
      </c>
      <c r="J1170" s="26">
        <f ca="1">IFERROR(__xludf.DUMMYFUNCTION("ROUND(I1170*GOOGLEFINANCE(""KZTEUR""))"),104)</f>
        <v>104</v>
      </c>
      <c r="K1170" s="26">
        <f t="shared" ca="1" si="1052"/>
        <v>6933</v>
      </c>
      <c r="L1170" s="26">
        <f t="shared" ca="1" si="1053"/>
        <v>1317.27</v>
      </c>
      <c r="M1170" s="26">
        <f t="shared" ref="M1170:N1170" si="1204">M$3</f>
        <v>500</v>
      </c>
      <c r="N1170" s="26">
        <f t="shared" si="1204"/>
        <v>500</v>
      </c>
      <c r="O1170" s="26">
        <f ca="1">IFERROR(__xludf.DUMMYFUNCTION("ROUND(GOOGLEFINANCE(""Currency:EURKZT"")*K1170)"),3310990)</f>
        <v>3310990</v>
      </c>
      <c r="P1170" s="26">
        <f ca="1">IFERROR(__xludf.DUMMYFUNCTION("ROUND(GOOGLEFINANCE(""Currency:EURKZT"")*M1170)"),238785)</f>
        <v>238785</v>
      </c>
      <c r="Q1170" s="26">
        <f ca="1">IFERROR(__xludf.DUMMYFUNCTION("ROUND(GOOGLEFINANCE(""Currency:EURKZT"")*N1170)"),238785)</f>
        <v>238785</v>
      </c>
      <c r="R1170" s="26">
        <f t="shared" ca="1" si="1055"/>
        <v>397319</v>
      </c>
      <c r="S1170" s="26">
        <f t="shared" ca="1" si="1056"/>
        <v>4185879</v>
      </c>
      <c r="T1170" s="26">
        <f ca="1">IFERROR(__xludf.DUMMYFUNCTION("ROUND(GOOGLEFINANCE(""Currency:EURKZT"")*L1170+S1170)"),4814967)</f>
        <v>4814967</v>
      </c>
      <c r="U1170" s="26">
        <f ca="1">IFERROR(__xludf.DUMMYFUNCTION("D1170*GOOGLEFINANCE(""RUBKZT"")*1000/F1170"),5530512.71566944)</f>
        <v>5530512.7156694401</v>
      </c>
      <c r="V1170" s="27">
        <f t="shared" ca="1" si="1057"/>
        <v>0.1486086437704433</v>
      </c>
    </row>
    <row r="1171" spans="1:22" ht="12.75" customHeight="1" x14ac:dyDescent="0.2">
      <c r="A1171" s="6" t="s">
        <v>540</v>
      </c>
      <c r="B1171" s="6" t="s">
        <v>353</v>
      </c>
      <c r="C1171" s="7">
        <v>216651</v>
      </c>
      <c r="D1171" s="8">
        <v>9950.4</v>
      </c>
      <c r="E1171" s="9" t="s">
        <v>7</v>
      </c>
      <c r="F1171" s="23">
        <v>15</v>
      </c>
      <c r="G1171" s="25"/>
      <c r="H1171" s="14">
        <f t="shared" si="1051"/>
        <v>0.55000000000000004</v>
      </c>
      <c r="I1171" s="25">
        <f ca="1">IFERROR(__xludf.DUMMYFUNCTION("ROUND(D1171*GOOGLEFINANCE(""RUBKZT"")*H1171)"),42706)</f>
        <v>42706</v>
      </c>
      <c r="J1171" s="26">
        <f ca="1">IFERROR(__xludf.DUMMYFUNCTION("ROUND(I1171*GOOGLEFINANCE(""KZTEUR""))"),89)</f>
        <v>89</v>
      </c>
      <c r="K1171" s="26">
        <f t="shared" ca="1" si="1052"/>
        <v>5933</v>
      </c>
      <c r="L1171" s="26">
        <f t="shared" ca="1" si="1053"/>
        <v>1127.27</v>
      </c>
      <c r="M1171" s="26">
        <f t="shared" ref="M1171:N1171" si="1205">M$3</f>
        <v>500</v>
      </c>
      <c r="N1171" s="26">
        <f t="shared" si="1205"/>
        <v>500</v>
      </c>
      <c r="O1171" s="26">
        <f ca="1">IFERROR(__xludf.DUMMYFUNCTION("ROUND(GOOGLEFINANCE(""Currency:EURKZT"")*K1171)"),2833421)</f>
        <v>2833421</v>
      </c>
      <c r="P1171" s="26">
        <f ca="1">IFERROR(__xludf.DUMMYFUNCTION("ROUND(GOOGLEFINANCE(""Currency:EURKZT"")*M1171)"),238785)</f>
        <v>238785</v>
      </c>
      <c r="Q1171" s="26">
        <f ca="1">IFERROR(__xludf.DUMMYFUNCTION("ROUND(GOOGLEFINANCE(""Currency:EURKZT"")*N1171)"),238785)</f>
        <v>238785</v>
      </c>
      <c r="R1171" s="26">
        <f t="shared" ca="1" si="1055"/>
        <v>340011</v>
      </c>
      <c r="S1171" s="26">
        <f t="shared" ca="1" si="1056"/>
        <v>3651002</v>
      </c>
      <c r="T1171" s="26">
        <f ca="1">IFERROR(__xludf.DUMMYFUNCTION("ROUND(GOOGLEFINANCE(""Currency:EURKZT"")*L1171+S1171)"),4189352)</f>
        <v>4189352</v>
      </c>
      <c r="U1171" s="26">
        <f ca="1">IFERROR(__xludf.DUMMYFUNCTION("D1171*GOOGLEFINANCE(""RUBKZT"")*1000/F1171"),5176544.91910272)</f>
        <v>5176544.91910272</v>
      </c>
      <c r="V1171" s="27">
        <f t="shared" ca="1" si="1057"/>
        <v>0.23564334510509502</v>
      </c>
    </row>
    <row r="1172" spans="1:22" ht="12.75" customHeight="1" x14ac:dyDescent="0.2">
      <c r="A1172" s="6" t="s">
        <v>537</v>
      </c>
      <c r="B1172" s="6" t="s">
        <v>353</v>
      </c>
      <c r="C1172" s="7">
        <v>217556</v>
      </c>
      <c r="D1172" s="8">
        <v>9236.4</v>
      </c>
      <c r="E1172" s="9" t="s">
        <v>7</v>
      </c>
      <c r="F1172" s="23">
        <v>15</v>
      </c>
      <c r="G1172" s="25"/>
      <c r="H1172" s="14">
        <f t="shared" si="1051"/>
        <v>0.55000000000000004</v>
      </c>
      <c r="I1172" s="25">
        <f ca="1">IFERROR(__xludf.DUMMYFUNCTION("ROUND(D1172*GOOGLEFINANCE(""RUBKZT"")*H1172)"),39642)</f>
        <v>39642</v>
      </c>
      <c r="J1172" s="26">
        <f ca="1">IFERROR(__xludf.DUMMYFUNCTION("ROUND(I1172*GOOGLEFINANCE(""KZTEUR""))"),83)</f>
        <v>83</v>
      </c>
      <c r="K1172" s="26">
        <f t="shared" ca="1" si="1052"/>
        <v>5533</v>
      </c>
      <c r="L1172" s="26">
        <f t="shared" ca="1" si="1053"/>
        <v>1051.27</v>
      </c>
      <c r="M1172" s="26">
        <f t="shared" ref="M1172:N1172" si="1206">M$3</f>
        <v>500</v>
      </c>
      <c r="N1172" s="26">
        <f t="shared" si="1206"/>
        <v>500</v>
      </c>
      <c r="O1172" s="26">
        <f ca="1">IFERROR(__xludf.DUMMYFUNCTION("ROUND(GOOGLEFINANCE(""Currency:EURKZT"")*K1172)"),2642393)</f>
        <v>2642393</v>
      </c>
      <c r="P1172" s="26">
        <f ca="1">IFERROR(__xludf.DUMMYFUNCTION("ROUND(GOOGLEFINANCE(""Currency:EURKZT"")*M1172)"),238785)</f>
        <v>238785</v>
      </c>
      <c r="Q1172" s="26">
        <f ca="1">IFERROR(__xludf.DUMMYFUNCTION("ROUND(GOOGLEFINANCE(""Currency:EURKZT"")*N1172)"),238785)</f>
        <v>238785</v>
      </c>
      <c r="R1172" s="26">
        <f t="shared" ca="1" si="1055"/>
        <v>317087</v>
      </c>
      <c r="S1172" s="26">
        <f t="shared" ca="1" si="1056"/>
        <v>3437050</v>
      </c>
      <c r="T1172" s="26">
        <f ca="1">IFERROR(__xludf.DUMMYFUNCTION("ROUND(GOOGLEFINANCE(""Currency:EURKZT"")*L1172+S1172)"),3939105)</f>
        <v>3939105</v>
      </c>
      <c r="U1172" s="26">
        <f ca="1">IFERROR(__xludf.DUMMYFUNCTION("D1172*GOOGLEFINANCE(""RUBKZT"")*1000/F1172"),4805097.23134752)</f>
        <v>4805097.2313475199</v>
      </c>
      <c r="V1172" s="27">
        <f t="shared" ca="1" si="1057"/>
        <v>0.21984492196768554</v>
      </c>
    </row>
    <row r="1173" spans="1:22" ht="12.75" customHeight="1" x14ac:dyDescent="0.2">
      <c r="A1173" s="6" t="s">
        <v>542</v>
      </c>
      <c r="B1173" s="6" t="s">
        <v>353</v>
      </c>
      <c r="C1173" s="7">
        <v>216646</v>
      </c>
      <c r="D1173" s="8">
        <v>9680.4</v>
      </c>
      <c r="E1173" s="9" t="s">
        <v>7</v>
      </c>
      <c r="F1173" s="23">
        <v>15</v>
      </c>
      <c r="G1173" s="25"/>
      <c r="H1173" s="14">
        <f t="shared" si="1051"/>
        <v>0.55000000000000004</v>
      </c>
      <c r="I1173" s="25">
        <f ca="1">IFERROR(__xludf.DUMMYFUNCTION("ROUND(D1173*GOOGLEFINANCE(""RUBKZT"")*H1173)"),41548)</f>
        <v>41548</v>
      </c>
      <c r="J1173" s="26">
        <f ca="1">IFERROR(__xludf.DUMMYFUNCTION("ROUND(I1173*GOOGLEFINANCE(""KZTEUR""))"),87)</f>
        <v>87</v>
      </c>
      <c r="K1173" s="26">
        <f t="shared" ca="1" si="1052"/>
        <v>5800</v>
      </c>
      <c r="L1173" s="26">
        <f t="shared" ca="1" si="1053"/>
        <v>1102</v>
      </c>
      <c r="M1173" s="26">
        <f t="shared" ref="M1173:N1173" si="1207">M$3</f>
        <v>500</v>
      </c>
      <c r="N1173" s="26">
        <f t="shared" si="1207"/>
        <v>500</v>
      </c>
      <c r="O1173" s="26">
        <f ca="1">IFERROR(__xludf.DUMMYFUNCTION("ROUND(GOOGLEFINANCE(""Currency:EURKZT"")*K1173)"),2769904)</f>
        <v>2769904</v>
      </c>
      <c r="P1173" s="26">
        <f ca="1">IFERROR(__xludf.DUMMYFUNCTION("ROUND(GOOGLEFINANCE(""Currency:EURKZT"")*M1173)"),238785)</f>
        <v>238785</v>
      </c>
      <c r="Q1173" s="26">
        <f ca="1">IFERROR(__xludf.DUMMYFUNCTION("ROUND(GOOGLEFINANCE(""Currency:EURKZT"")*N1173)"),238785)</f>
        <v>238785</v>
      </c>
      <c r="R1173" s="26">
        <f t="shared" ca="1" si="1055"/>
        <v>332388</v>
      </c>
      <c r="S1173" s="26">
        <f t="shared" ca="1" si="1056"/>
        <v>3579862</v>
      </c>
      <c r="T1173" s="26">
        <f ca="1">IFERROR(__xludf.DUMMYFUNCTION("ROUND(GOOGLEFINANCE(""Currency:EURKZT"")*L1173+S1173)"),4106144)</f>
        <v>4106144</v>
      </c>
      <c r="U1173" s="26">
        <f ca="1">IFERROR(__xludf.DUMMYFUNCTION("D1173*GOOGLEFINANCE(""RUBKZT"")*1000/F1173"),5036081.50776672)</f>
        <v>5036081.5077667199</v>
      </c>
      <c r="V1173" s="27">
        <f t="shared" ca="1" si="1057"/>
        <v>0.22647464574226328</v>
      </c>
    </row>
    <row r="1174" spans="1:22" ht="12.75" customHeight="1" x14ac:dyDescent="0.2">
      <c r="A1174" s="6" t="s">
        <v>545</v>
      </c>
      <c r="B1174" s="6" t="s">
        <v>353</v>
      </c>
      <c r="C1174" s="7">
        <v>216689</v>
      </c>
      <c r="D1174" s="8">
        <v>9313.1999999999989</v>
      </c>
      <c r="E1174" s="9" t="s">
        <v>7</v>
      </c>
      <c r="F1174" s="23">
        <v>15</v>
      </c>
      <c r="G1174" s="25"/>
      <c r="H1174" s="14">
        <f t="shared" si="1051"/>
        <v>0.55000000000000004</v>
      </c>
      <c r="I1174" s="25">
        <f ca="1">IFERROR(__xludf.DUMMYFUNCTION("ROUND(D1174*GOOGLEFINANCE(""RUBKZT"")*H1174)"),39972)</f>
        <v>39972</v>
      </c>
      <c r="J1174" s="26">
        <f ca="1">IFERROR(__xludf.DUMMYFUNCTION("ROUND(I1174*GOOGLEFINANCE(""KZTEUR""))"),84)</f>
        <v>84</v>
      </c>
      <c r="K1174" s="26">
        <f t="shared" ca="1" si="1052"/>
        <v>5600</v>
      </c>
      <c r="L1174" s="26">
        <f t="shared" ca="1" si="1053"/>
        <v>1064</v>
      </c>
      <c r="M1174" s="26">
        <f t="shared" ref="M1174:N1174" si="1208">M$3</f>
        <v>500</v>
      </c>
      <c r="N1174" s="26">
        <f t="shared" si="1208"/>
        <v>500</v>
      </c>
      <c r="O1174" s="26">
        <f ca="1">IFERROR(__xludf.DUMMYFUNCTION("ROUND(GOOGLEFINANCE(""Currency:EURKZT"")*K1174)"),2674390)</f>
        <v>2674390</v>
      </c>
      <c r="P1174" s="26">
        <f ca="1">IFERROR(__xludf.DUMMYFUNCTION("ROUND(GOOGLEFINANCE(""Currency:EURKZT"")*M1174)"),238785)</f>
        <v>238785</v>
      </c>
      <c r="Q1174" s="26">
        <f ca="1">IFERROR(__xludf.DUMMYFUNCTION("ROUND(GOOGLEFINANCE(""Currency:EURKZT"")*N1174)"),238785)</f>
        <v>238785</v>
      </c>
      <c r="R1174" s="26">
        <f t="shared" ca="1" si="1055"/>
        <v>320927</v>
      </c>
      <c r="S1174" s="26">
        <f t="shared" ca="1" si="1056"/>
        <v>3472887</v>
      </c>
      <c r="T1174" s="26">
        <f ca="1">IFERROR(__xludf.DUMMYFUNCTION("ROUND(GOOGLEFINANCE(""Currency:EURKZT"")*L1174+S1174)"),3981021)</f>
        <v>3981021</v>
      </c>
      <c r="U1174" s="26">
        <f ca="1">IFERROR(__xludf.DUMMYFUNCTION("D1174*GOOGLEFINANCE(""RUBKZT"")*1000/F1174"),4845051.26834976)</f>
        <v>4845051.2683497602</v>
      </c>
      <c r="V1174" s="27">
        <f t="shared" ca="1" si="1057"/>
        <v>0.21703735507794614</v>
      </c>
    </row>
    <row r="1175" spans="1:22" ht="12.75" customHeight="1" x14ac:dyDescent="0.2">
      <c r="A1175" s="6" t="s">
        <v>603</v>
      </c>
      <c r="B1175" s="6" t="s">
        <v>353</v>
      </c>
      <c r="C1175" s="7">
        <v>216681</v>
      </c>
      <c r="D1175" s="8">
        <v>6484.8</v>
      </c>
      <c r="E1175" s="9" t="s">
        <v>16</v>
      </c>
      <c r="F1175" s="23">
        <v>15</v>
      </c>
      <c r="G1175" s="25"/>
      <c r="H1175" s="14">
        <f t="shared" si="1051"/>
        <v>0.55000000000000004</v>
      </c>
      <c r="I1175" s="25">
        <f ca="1">IFERROR(__xludf.DUMMYFUNCTION("ROUND(D1175*GOOGLEFINANCE(""RUBKZT"")*H1175)"),27832)</f>
        <v>27832</v>
      </c>
      <c r="J1175" s="26">
        <f ca="1">IFERROR(__xludf.DUMMYFUNCTION("ROUND(I1175*GOOGLEFINANCE(""KZTEUR""))"),58)</f>
        <v>58</v>
      </c>
      <c r="K1175" s="26">
        <f t="shared" ca="1" si="1052"/>
        <v>3867</v>
      </c>
      <c r="L1175" s="26">
        <f t="shared" ca="1" si="1053"/>
        <v>734.73</v>
      </c>
      <c r="M1175" s="26">
        <f t="shared" ref="M1175:N1175" si="1209">M$3</f>
        <v>500</v>
      </c>
      <c r="N1175" s="26">
        <f t="shared" si="1209"/>
        <v>500</v>
      </c>
      <c r="O1175" s="26">
        <f ca="1">IFERROR(__xludf.DUMMYFUNCTION("ROUND(GOOGLEFINANCE(""Currency:EURKZT"")*K1175)"),1846762)</f>
        <v>1846762</v>
      </c>
      <c r="P1175" s="26">
        <f ca="1">IFERROR(__xludf.DUMMYFUNCTION("ROUND(GOOGLEFINANCE(""Currency:EURKZT"")*M1175)"),238785)</f>
        <v>238785</v>
      </c>
      <c r="Q1175" s="26">
        <f ca="1">IFERROR(__xludf.DUMMYFUNCTION("ROUND(GOOGLEFINANCE(""Currency:EURKZT"")*N1175)"),238785)</f>
        <v>238785</v>
      </c>
      <c r="R1175" s="26">
        <f t="shared" ca="1" si="1055"/>
        <v>221611</v>
      </c>
      <c r="S1175" s="26">
        <f t="shared" ca="1" si="1056"/>
        <v>2545943</v>
      </c>
      <c r="T1175" s="26">
        <f ca="1">IFERROR(__xludf.DUMMYFUNCTION("ROUND(GOOGLEFINANCE(""Currency:EURKZT"")*L1175+S1175)"),2896828)</f>
        <v>2896828</v>
      </c>
      <c r="U1175" s="26">
        <f ca="1">IFERROR(__xludf.DUMMYFUNCTION("D1175*GOOGLEFINANCE(""RUBKZT"")*1000/F1175"),3373618.99937664)</f>
        <v>3373618.9993766402</v>
      </c>
      <c r="V1175" s="27">
        <f t="shared" ca="1" si="1057"/>
        <v>0.16459071763205829</v>
      </c>
    </row>
    <row r="1176" spans="1:22" ht="12.75" customHeight="1" x14ac:dyDescent="0.2">
      <c r="A1176" s="6" t="s">
        <v>602</v>
      </c>
      <c r="B1176" s="6" t="s">
        <v>353</v>
      </c>
      <c r="C1176" s="7">
        <v>216675</v>
      </c>
      <c r="D1176" s="8">
        <v>6214.8</v>
      </c>
      <c r="E1176" s="9" t="s">
        <v>16</v>
      </c>
      <c r="F1176" s="23">
        <v>15</v>
      </c>
      <c r="G1176" s="25"/>
      <c r="H1176" s="14">
        <f t="shared" si="1051"/>
        <v>0.55000000000000004</v>
      </c>
      <c r="I1176" s="25">
        <f ca="1">IFERROR(__xludf.DUMMYFUNCTION("ROUND(D1176*GOOGLEFINANCE(""RUBKZT"")*H1176)"),26674)</f>
        <v>26674</v>
      </c>
      <c r="J1176" s="26">
        <f ca="1">IFERROR(__xludf.DUMMYFUNCTION("ROUND(I1176*GOOGLEFINANCE(""KZTEUR""))"),56)</f>
        <v>56</v>
      </c>
      <c r="K1176" s="26">
        <f t="shared" ca="1" si="1052"/>
        <v>3733</v>
      </c>
      <c r="L1176" s="26">
        <f t="shared" ca="1" si="1053"/>
        <v>709.27</v>
      </c>
      <c r="M1176" s="26">
        <f t="shared" ref="M1176:N1176" si="1210">M$3</f>
        <v>500</v>
      </c>
      <c r="N1176" s="26">
        <f t="shared" si="1210"/>
        <v>500</v>
      </c>
      <c r="O1176" s="26">
        <f ca="1">IFERROR(__xludf.DUMMYFUNCTION("ROUND(GOOGLEFINANCE(""Currency:EURKZT"")*K1176)"),1782767)</f>
        <v>1782767</v>
      </c>
      <c r="P1176" s="26">
        <f ca="1">IFERROR(__xludf.DUMMYFUNCTION("ROUND(GOOGLEFINANCE(""Currency:EURKZT"")*M1176)"),238785)</f>
        <v>238785</v>
      </c>
      <c r="Q1176" s="26">
        <f ca="1">IFERROR(__xludf.DUMMYFUNCTION("ROUND(GOOGLEFINANCE(""Currency:EURKZT"")*N1176)"),238785)</f>
        <v>238785</v>
      </c>
      <c r="R1176" s="26">
        <f t="shared" ca="1" si="1055"/>
        <v>213932</v>
      </c>
      <c r="S1176" s="26">
        <f t="shared" ca="1" si="1056"/>
        <v>2474269</v>
      </c>
      <c r="T1176" s="26">
        <f ca="1">IFERROR(__xludf.DUMMYFUNCTION("ROUND(GOOGLEFINANCE(""Currency:EURKZT"")*L1176+S1176)"),2812995)</f>
        <v>2812995</v>
      </c>
      <c r="U1176" s="26">
        <f ca="1">IFERROR(__xludf.DUMMYFUNCTION("D1176*GOOGLEFINANCE(""RUBKZT"")*1000/F1176"),3233155.58804064)</f>
        <v>3233155.5880406401</v>
      </c>
      <c r="V1176" s="27">
        <f t="shared" ca="1" si="1057"/>
        <v>0.14936414321413302</v>
      </c>
    </row>
    <row r="1177" spans="1:22" ht="12.75" customHeight="1" x14ac:dyDescent="0.2">
      <c r="A1177" s="6" t="s">
        <v>604</v>
      </c>
      <c r="B1177" s="6" t="s">
        <v>353</v>
      </c>
      <c r="C1177" s="7">
        <v>216678</v>
      </c>
      <c r="D1177" s="8">
        <v>5710.8</v>
      </c>
      <c r="E1177" s="9" t="s">
        <v>16</v>
      </c>
      <c r="F1177" s="23">
        <v>15</v>
      </c>
      <c r="G1177" s="25"/>
      <c r="H1177" s="14">
        <f t="shared" si="1051"/>
        <v>0.55000000000000004</v>
      </c>
      <c r="I1177" s="25">
        <f ca="1">IFERROR(__xludf.DUMMYFUNCTION("ROUND(D1177*GOOGLEFINANCE(""RUBKZT"")*H1177)"),24510)</f>
        <v>24510</v>
      </c>
      <c r="J1177" s="26">
        <f ca="1">IFERROR(__xludf.DUMMYFUNCTION("ROUND(I1177*GOOGLEFINANCE(""KZTEUR""))"),51)</f>
        <v>51</v>
      </c>
      <c r="K1177" s="26">
        <f t="shared" ca="1" si="1052"/>
        <v>3400</v>
      </c>
      <c r="L1177" s="26">
        <f t="shared" ca="1" si="1053"/>
        <v>646</v>
      </c>
      <c r="M1177" s="26">
        <f t="shared" ref="M1177:N1177" si="1211">M$3</f>
        <v>500</v>
      </c>
      <c r="N1177" s="26">
        <f t="shared" si="1211"/>
        <v>500</v>
      </c>
      <c r="O1177" s="26">
        <f ca="1">IFERROR(__xludf.DUMMYFUNCTION("ROUND(GOOGLEFINANCE(""Currency:EURKZT"")*K1177)"),1623737)</f>
        <v>1623737</v>
      </c>
      <c r="P1177" s="26">
        <f ca="1">IFERROR(__xludf.DUMMYFUNCTION("ROUND(GOOGLEFINANCE(""Currency:EURKZT"")*M1177)"),238785)</f>
        <v>238785</v>
      </c>
      <c r="Q1177" s="26">
        <f ca="1">IFERROR(__xludf.DUMMYFUNCTION("ROUND(GOOGLEFINANCE(""Currency:EURKZT"")*N1177)"),238785)</f>
        <v>238785</v>
      </c>
      <c r="R1177" s="26">
        <f t="shared" ca="1" si="1055"/>
        <v>194848</v>
      </c>
      <c r="S1177" s="26">
        <f t="shared" ca="1" si="1056"/>
        <v>2296155</v>
      </c>
      <c r="T1177" s="26">
        <f ca="1">IFERROR(__xludf.DUMMYFUNCTION("ROUND(GOOGLEFINANCE(""Currency:EURKZT"")*L1177+S1177)"),2604665)</f>
        <v>2604665</v>
      </c>
      <c r="U1177" s="26">
        <f ca="1">IFERROR(__xludf.DUMMYFUNCTION("D1177*GOOGLEFINANCE(""RUBKZT"")*1000/F1177"),2970957.22021344)</f>
        <v>2970957.2202134398</v>
      </c>
      <c r="V1177" s="27">
        <f t="shared" ca="1" si="1057"/>
        <v>0.14062930173878013</v>
      </c>
    </row>
    <row r="1178" spans="1:22" ht="12.75" customHeight="1" x14ac:dyDescent="0.2">
      <c r="A1178" s="6" t="s">
        <v>606</v>
      </c>
      <c r="B1178" s="6" t="s">
        <v>353</v>
      </c>
      <c r="C1178" s="7">
        <v>216672</v>
      </c>
      <c r="D1178" s="8">
        <v>8252.4</v>
      </c>
      <c r="E1178" s="9" t="s">
        <v>7</v>
      </c>
      <c r="F1178" s="23">
        <v>15</v>
      </c>
      <c r="G1178" s="25"/>
      <c r="H1178" s="14">
        <f t="shared" si="1051"/>
        <v>0.55000000000000004</v>
      </c>
      <c r="I1178" s="25">
        <f ca="1">IFERROR(__xludf.DUMMYFUNCTION("ROUND(D1178*GOOGLEFINANCE(""RUBKZT"")*H1178)"),35419)</f>
        <v>35419</v>
      </c>
      <c r="J1178" s="26">
        <f ca="1">IFERROR(__xludf.DUMMYFUNCTION("ROUND(I1178*GOOGLEFINANCE(""KZTEUR""))"),74)</f>
        <v>74</v>
      </c>
      <c r="K1178" s="26">
        <f t="shared" ca="1" si="1052"/>
        <v>4933</v>
      </c>
      <c r="L1178" s="26">
        <f t="shared" ca="1" si="1053"/>
        <v>937.27</v>
      </c>
      <c r="M1178" s="26">
        <f t="shared" ref="M1178:N1178" si="1212">M$3</f>
        <v>500</v>
      </c>
      <c r="N1178" s="26">
        <f t="shared" si="1212"/>
        <v>500</v>
      </c>
      <c r="O1178" s="26">
        <f ca="1">IFERROR(__xludf.DUMMYFUNCTION("ROUND(GOOGLEFINANCE(""Currency:EURKZT"")*K1178)"),2355851)</f>
        <v>2355851</v>
      </c>
      <c r="P1178" s="26">
        <f ca="1">IFERROR(__xludf.DUMMYFUNCTION("ROUND(GOOGLEFINANCE(""Currency:EURKZT"")*M1178)"),238785)</f>
        <v>238785</v>
      </c>
      <c r="Q1178" s="26">
        <f ca="1">IFERROR(__xludf.DUMMYFUNCTION("ROUND(GOOGLEFINANCE(""Currency:EURKZT"")*N1178)"),238785)</f>
        <v>238785</v>
      </c>
      <c r="R1178" s="26">
        <f t="shared" ca="1" si="1055"/>
        <v>282702</v>
      </c>
      <c r="S1178" s="26">
        <f t="shared" ca="1" si="1056"/>
        <v>3116123</v>
      </c>
      <c r="T1178" s="26">
        <f ca="1">IFERROR(__xludf.DUMMYFUNCTION("ROUND(GOOGLEFINANCE(""Currency:EURKZT"")*L1178+S1178)"),3563735)</f>
        <v>3563735</v>
      </c>
      <c r="U1178" s="26">
        <f ca="1">IFERROR(__xludf.DUMMYFUNCTION("D1178*GOOGLEFINANCE(""RUBKZT"")*1000/F1178"),4293186.13225632)</f>
        <v>4293186.1322563197</v>
      </c>
      <c r="V1178" s="27">
        <f t="shared" ca="1" si="1057"/>
        <v>0.20468725431501494</v>
      </c>
    </row>
    <row r="1179" spans="1:22" ht="12.75" customHeight="1" x14ac:dyDescent="0.2">
      <c r="A1179" s="6" t="s">
        <v>605</v>
      </c>
      <c r="B1179" s="6" t="s">
        <v>353</v>
      </c>
      <c r="C1179" s="7">
        <v>216667</v>
      </c>
      <c r="D1179" s="8">
        <v>6816</v>
      </c>
      <c r="E1179" s="9" t="s">
        <v>7</v>
      </c>
      <c r="F1179" s="23">
        <v>15</v>
      </c>
      <c r="G1179" s="25"/>
      <c r="H1179" s="14">
        <f t="shared" si="1051"/>
        <v>0.55000000000000004</v>
      </c>
      <c r="I1179" s="25">
        <f ca="1">IFERROR(__xludf.DUMMYFUNCTION("ROUND(D1179*GOOGLEFINANCE(""RUBKZT"")*H1179)"),29254)</f>
        <v>29254</v>
      </c>
      <c r="J1179" s="26">
        <f ca="1">IFERROR(__xludf.DUMMYFUNCTION("ROUND(I1179*GOOGLEFINANCE(""KZTEUR""))"),61)</f>
        <v>61</v>
      </c>
      <c r="K1179" s="26">
        <f t="shared" ca="1" si="1052"/>
        <v>4067</v>
      </c>
      <c r="L1179" s="26">
        <f t="shared" ca="1" si="1053"/>
        <v>772.73</v>
      </c>
      <c r="M1179" s="26">
        <f t="shared" ref="M1179:N1179" si="1213">M$3</f>
        <v>500</v>
      </c>
      <c r="N1179" s="26">
        <f t="shared" si="1213"/>
        <v>500</v>
      </c>
      <c r="O1179" s="26">
        <f ca="1">IFERROR(__xludf.DUMMYFUNCTION("ROUND(GOOGLEFINANCE(""Currency:EURKZT"")*K1179)"),1942276)</f>
        <v>1942276</v>
      </c>
      <c r="P1179" s="26">
        <f ca="1">IFERROR(__xludf.DUMMYFUNCTION("ROUND(GOOGLEFINANCE(""Currency:EURKZT"")*M1179)"),238785)</f>
        <v>238785</v>
      </c>
      <c r="Q1179" s="26">
        <f ca="1">IFERROR(__xludf.DUMMYFUNCTION("ROUND(GOOGLEFINANCE(""Currency:EURKZT"")*N1179)"),238785)</f>
        <v>238785</v>
      </c>
      <c r="R1179" s="26">
        <f t="shared" ca="1" si="1055"/>
        <v>233073</v>
      </c>
      <c r="S1179" s="26">
        <f t="shared" ca="1" si="1056"/>
        <v>2652919</v>
      </c>
      <c r="T1179" s="26">
        <f ca="1">IFERROR(__xludf.DUMMYFUNCTION("ROUND(GOOGLEFINANCE(""Currency:EURKZT"")*L1179+S1179)"),3021951)</f>
        <v>3021951</v>
      </c>
      <c r="U1179" s="26">
        <f ca="1">IFERROR(__xludf.DUMMYFUNCTION("D1179*GOOGLEFINANCE(""RUBKZT"")*1000/F1179"),3545920.7839488)</f>
        <v>3545920.7839488001</v>
      </c>
      <c r="V1179" s="27">
        <f t="shared" ca="1" si="1057"/>
        <v>0.1733879152735435</v>
      </c>
    </row>
    <row r="1180" spans="1:22" ht="12.75" customHeight="1" x14ac:dyDescent="0.2">
      <c r="A1180" s="6" t="s">
        <v>464</v>
      </c>
      <c r="B1180" s="6" t="s">
        <v>353</v>
      </c>
      <c r="C1180" s="7">
        <v>148644</v>
      </c>
      <c r="D1180" s="8">
        <v>7315.2</v>
      </c>
      <c r="E1180" s="9" t="s">
        <v>16</v>
      </c>
      <c r="F1180" s="23">
        <v>15</v>
      </c>
      <c r="G1180" s="25"/>
      <c r="H1180" s="14">
        <f t="shared" si="1051"/>
        <v>0.55000000000000004</v>
      </c>
      <c r="I1180" s="25">
        <f ca="1">IFERROR(__xludf.DUMMYFUNCTION("ROUND(D1180*GOOGLEFINANCE(""RUBKZT"")*H1180)"),31396)</f>
        <v>31396</v>
      </c>
      <c r="J1180" s="26">
        <f ca="1">IFERROR(__xludf.DUMMYFUNCTION("ROUND(I1180*GOOGLEFINANCE(""KZTEUR""))"),66)</f>
        <v>66</v>
      </c>
      <c r="K1180" s="26">
        <f t="shared" ca="1" si="1052"/>
        <v>4400</v>
      </c>
      <c r="L1180" s="26">
        <f t="shared" ca="1" si="1053"/>
        <v>836</v>
      </c>
      <c r="M1180" s="26">
        <f t="shared" ref="M1180:N1180" si="1214">M$3</f>
        <v>500</v>
      </c>
      <c r="N1180" s="26">
        <f t="shared" si="1214"/>
        <v>500</v>
      </c>
      <c r="O1180" s="26">
        <f ca="1">IFERROR(__xludf.DUMMYFUNCTION("ROUND(GOOGLEFINANCE(""Currency:EURKZT"")*K1180)"),2101306)</f>
        <v>2101306</v>
      </c>
      <c r="P1180" s="26">
        <f ca="1">IFERROR(__xludf.DUMMYFUNCTION("ROUND(GOOGLEFINANCE(""Currency:EURKZT"")*M1180)"),238785)</f>
        <v>238785</v>
      </c>
      <c r="Q1180" s="26">
        <f ca="1">IFERROR(__xludf.DUMMYFUNCTION("ROUND(GOOGLEFINANCE(""Currency:EURKZT"")*N1180)"),238785)</f>
        <v>238785</v>
      </c>
      <c r="R1180" s="26">
        <f t="shared" ca="1" si="1055"/>
        <v>252157</v>
      </c>
      <c r="S1180" s="26">
        <f t="shared" ca="1" si="1056"/>
        <v>2831033</v>
      </c>
      <c r="T1180" s="26">
        <f ca="1">IFERROR(__xludf.DUMMYFUNCTION("ROUND(GOOGLEFINANCE(""Currency:EURKZT"")*L1180+S1180)"),3230281)</f>
        <v>3230281</v>
      </c>
      <c r="U1180" s="26">
        <f ca="1">IFERROR(__xludf.DUMMYFUNCTION("D1180*GOOGLEFINANCE(""RUBKZT"")*1000/F1180"),3805622.02446336)</f>
        <v>3805622.0244633602</v>
      </c>
      <c r="V1180" s="27">
        <f t="shared" ca="1" si="1057"/>
        <v>0.17810866127849564</v>
      </c>
    </row>
    <row r="1181" spans="1:22" ht="12.75" customHeight="1" x14ac:dyDescent="0.2">
      <c r="A1181" s="6" t="s">
        <v>462</v>
      </c>
      <c r="B1181" s="6" t="s">
        <v>353</v>
      </c>
      <c r="C1181" s="7">
        <v>148645</v>
      </c>
      <c r="D1181" s="8">
        <v>6957.5999999999995</v>
      </c>
      <c r="E1181" s="9" t="s">
        <v>16</v>
      </c>
      <c r="F1181" s="23">
        <v>15</v>
      </c>
      <c r="G1181" s="25"/>
      <c r="H1181" s="14">
        <f t="shared" si="1051"/>
        <v>0.55000000000000004</v>
      </c>
      <c r="I1181" s="25">
        <f ca="1">IFERROR(__xludf.DUMMYFUNCTION("ROUND(D1181*GOOGLEFINANCE(""RUBKZT"")*H1181)"),29862)</f>
        <v>29862</v>
      </c>
      <c r="J1181" s="26">
        <f ca="1">IFERROR(__xludf.DUMMYFUNCTION("ROUND(I1181*GOOGLEFINANCE(""KZTEUR""))"),63)</f>
        <v>63</v>
      </c>
      <c r="K1181" s="26">
        <f t="shared" ca="1" si="1052"/>
        <v>4200</v>
      </c>
      <c r="L1181" s="26">
        <f t="shared" ca="1" si="1053"/>
        <v>798</v>
      </c>
      <c r="M1181" s="26">
        <f t="shared" ref="M1181:N1181" si="1215">M$3</f>
        <v>500</v>
      </c>
      <c r="N1181" s="26">
        <f t="shared" si="1215"/>
        <v>500</v>
      </c>
      <c r="O1181" s="26">
        <f ca="1">IFERROR(__xludf.DUMMYFUNCTION("ROUND(GOOGLEFINANCE(""Currency:EURKZT"")*K1181)"),2005792)</f>
        <v>2005792</v>
      </c>
      <c r="P1181" s="26">
        <f ca="1">IFERROR(__xludf.DUMMYFUNCTION("ROUND(GOOGLEFINANCE(""Currency:EURKZT"")*M1181)"),238785)</f>
        <v>238785</v>
      </c>
      <c r="Q1181" s="26">
        <f ca="1">IFERROR(__xludf.DUMMYFUNCTION("ROUND(GOOGLEFINANCE(""Currency:EURKZT"")*N1181)"),238785)</f>
        <v>238785</v>
      </c>
      <c r="R1181" s="26">
        <f t="shared" ca="1" si="1055"/>
        <v>240695</v>
      </c>
      <c r="S1181" s="26">
        <f t="shared" ca="1" si="1056"/>
        <v>2724057</v>
      </c>
      <c r="T1181" s="26">
        <f ca="1">IFERROR(__xludf.DUMMYFUNCTION("ROUND(GOOGLEFINANCE(""Currency:EURKZT"")*L1181+S1181)"),3105158)</f>
        <v>3105158</v>
      </c>
      <c r="U1181" s="26">
        <f ca="1">IFERROR(__xludf.DUMMYFUNCTION("D1181*GOOGLEFINANCE(""RUBKZT"")*1000/F1181"),3619586.03967168)</f>
        <v>3619586.03967168</v>
      </c>
      <c r="V1181" s="27">
        <f t="shared" ca="1" si="1057"/>
        <v>0.1656688772911652</v>
      </c>
    </row>
    <row r="1182" spans="1:22" ht="12.75" customHeight="1" x14ac:dyDescent="0.2">
      <c r="A1182" s="6" t="s">
        <v>463</v>
      </c>
      <c r="B1182" s="6" t="s">
        <v>353</v>
      </c>
      <c r="C1182" s="7">
        <v>148650</v>
      </c>
      <c r="D1182" s="8">
        <v>9601.1999999999989</v>
      </c>
      <c r="E1182" s="9" t="s">
        <v>16</v>
      </c>
      <c r="F1182" s="23">
        <v>15</v>
      </c>
      <c r="G1182" s="25"/>
      <c r="H1182" s="14">
        <f t="shared" si="1051"/>
        <v>0.55000000000000004</v>
      </c>
      <c r="I1182" s="25">
        <f ca="1">IFERROR(__xludf.DUMMYFUNCTION("ROUND(D1182*GOOGLEFINANCE(""RUBKZT"")*H1182)"),41208)</f>
        <v>41208</v>
      </c>
      <c r="J1182" s="26">
        <f ca="1">IFERROR(__xludf.DUMMYFUNCTION("ROUND(I1182*GOOGLEFINANCE(""KZTEUR""))"),86)</f>
        <v>86</v>
      </c>
      <c r="K1182" s="26">
        <f t="shared" ca="1" si="1052"/>
        <v>5733</v>
      </c>
      <c r="L1182" s="26">
        <f t="shared" ca="1" si="1053"/>
        <v>1089.27</v>
      </c>
      <c r="M1182" s="26">
        <f t="shared" ref="M1182:N1182" si="1216">M$3</f>
        <v>500</v>
      </c>
      <c r="N1182" s="26">
        <f t="shared" si="1216"/>
        <v>500</v>
      </c>
      <c r="O1182" s="26">
        <f ca="1">IFERROR(__xludf.DUMMYFUNCTION("ROUND(GOOGLEFINANCE(""Currency:EURKZT"")*K1182)"),2737907)</f>
        <v>2737907</v>
      </c>
      <c r="P1182" s="26">
        <f ca="1">IFERROR(__xludf.DUMMYFUNCTION("ROUND(GOOGLEFINANCE(""Currency:EURKZT"")*M1182)"),238785)</f>
        <v>238785</v>
      </c>
      <c r="Q1182" s="26">
        <f ca="1">IFERROR(__xludf.DUMMYFUNCTION("ROUND(GOOGLEFINANCE(""Currency:EURKZT"")*N1182)"),238785)</f>
        <v>238785</v>
      </c>
      <c r="R1182" s="26">
        <f t="shared" ca="1" si="1055"/>
        <v>328549</v>
      </c>
      <c r="S1182" s="26">
        <f t="shared" ca="1" si="1056"/>
        <v>3544026</v>
      </c>
      <c r="T1182" s="26">
        <f ca="1">IFERROR(__xludf.DUMMYFUNCTION("ROUND(GOOGLEFINANCE(""Currency:EURKZT"")*L1182+S1182)"),4064228)</f>
        <v>4064228</v>
      </c>
      <c r="U1182" s="26">
        <f ca="1">IFERROR(__xludf.DUMMYFUNCTION("D1182*GOOGLEFINANCE(""RUBKZT"")*1000/F1182"),4994878.90710816)</f>
        <v>4994878.9071081597</v>
      </c>
      <c r="V1182" s="27">
        <f t="shared" ca="1" si="1057"/>
        <v>0.22898590017788364</v>
      </c>
    </row>
    <row r="1183" spans="1:22" ht="12.75" customHeight="1" x14ac:dyDescent="0.2">
      <c r="A1183" s="6" t="s">
        <v>460</v>
      </c>
      <c r="B1183" s="6" t="s">
        <v>685</v>
      </c>
      <c r="C1183" s="7">
        <v>148594</v>
      </c>
      <c r="D1183" s="8">
        <v>7131.5999999999995</v>
      </c>
      <c r="E1183" s="9" t="s">
        <v>16</v>
      </c>
      <c r="F1183" s="23">
        <v>16</v>
      </c>
      <c r="G1183" s="25"/>
      <c r="H1183" s="14">
        <f t="shared" si="1051"/>
        <v>0.55000000000000004</v>
      </c>
      <c r="I1183" s="25">
        <f ca="1">IFERROR(__xludf.DUMMYFUNCTION("ROUND(D1183*GOOGLEFINANCE(""RUBKZT"")*H1183)"),30608)</f>
        <v>30608</v>
      </c>
      <c r="J1183" s="26">
        <f ca="1">IFERROR(__xludf.DUMMYFUNCTION("ROUND(I1183*GOOGLEFINANCE(""KZTEUR""))"),64)</f>
        <v>64</v>
      </c>
      <c r="K1183" s="26">
        <f t="shared" ca="1" si="1052"/>
        <v>4000</v>
      </c>
      <c r="L1183" s="26">
        <f t="shared" ca="1" si="1053"/>
        <v>760</v>
      </c>
      <c r="M1183" s="26">
        <f t="shared" ref="M1183:N1183" si="1217">M$3</f>
        <v>500</v>
      </c>
      <c r="N1183" s="26">
        <f t="shared" si="1217"/>
        <v>500</v>
      </c>
      <c r="O1183" s="26">
        <f ca="1">IFERROR(__xludf.DUMMYFUNCTION("ROUND(GOOGLEFINANCE(""Currency:EURKZT"")*K1183)"),1910278)</f>
        <v>1910278</v>
      </c>
      <c r="P1183" s="26">
        <f ca="1">IFERROR(__xludf.DUMMYFUNCTION("ROUND(GOOGLEFINANCE(""Currency:EURKZT"")*M1183)"),238785)</f>
        <v>238785</v>
      </c>
      <c r="Q1183" s="26">
        <f ca="1">IFERROR(__xludf.DUMMYFUNCTION("ROUND(GOOGLEFINANCE(""Currency:EURKZT"")*N1183)"),238785)</f>
        <v>238785</v>
      </c>
      <c r="R1183" s="26">
        <f t="shared" ca="1" si="1055"/>
        <v>229233</v>
      </c>
      <c r="S1183" s="26">
        <f t="shared" ca="1" si="1056"/>
        <v>2617081</v>
      </c>
      <c r="T1183" s="26">
        <f ca="1">IFERROR(__xludf.DUMMYFUNCTION("ROUND(GOOGLEFINANCE(""Currency:EURKZT"")*L1183+S1183)"),2980034)</f>
        <v>2980034</v>
      </c>
      <c r="U1183" s="26">
        <f ca="1">IFERROR(__xludf.DUMMYFUNCTION("D1183*GOOGLEFINANCE(""RUBKZT"")*1000/F1183"),3478225.2232077)</f>
        <v>3478225.2232077001</v>
      </c>
      <c r="V1183" s="27">
        <f t="shared" ca="1" si="1057"/>
        <v>0.16717635544013928</v>
      </c>
    </row>
    <row r="1184" spans="1:22" ht="12.75" customHeight="1" x14ac:dyDescent="0.2">
      <c r="A1184" s="6" t="s">
        <v>127</v>
      </c>
      <c r="B1184" s="6" t="s">
        <v>176</v>
      </c>
      <c r="C1184" s="7">
        <v>140213</v>
      </c>
      <c r="D1184" s="8">
        <v>28423.200000000001</v>
      </c>
      <c r="E1184" s="9" t="s">
        <v>16</v>
      </c>
      <c r="F1184" s="23">
        <v>20</v>
      </c>
      <c r="G1184" s="25"/>
      <c r="H1184" s="14">
        <f t="shared" si="1051"/>
        <v>0.55000000000000004</v>
      </c>
      <c r="I1184" s="25">
        <f ca="1">IFERROR(__xludf.DUMMYFUNCTION("ROUND(D1184*GOOGLEFINANCE(""RUBKZT"")*H1184)"),121991)</f>
        <v>121991</v>
      </c>
      <c r="J1184" s="26">
        <f ca="1">IFERROR(__xludf.DUMMYFUNCTION("ROUND(I1184*GOOGLEFINANCE(""KZTEUR""))"),255)</f>
        <v>255</v>
      </c>
      <c r="K1184" s="26">
        <f t="shared" ca="1" si="1052"/>
        <v>12750</v>
      </c>
      <c r="L1184" s="26">
        <f t="shared" ca="1" si="1053"/>
        <v>2422.5</v>
      </c>
      <c r="M1184" s="26">
        <f t="shared" ref="M1184:N1184" si="1218">M$3</f>
        <v>500</v>
      </c>
      <c r="N1184" s="26">
        <f t="shared" si="1218"/>
        <v>500</v>
      </c>
      <c r="O1184" s="26">
        <f ca="1">IFERROR(__xludf.DUMMYFUNCTION("ROUND(GOOGLEFINANCE(""Currency:EURKZT"")*K1184)"),6089013)</f>
        <v>6089013</v>
      </c>
      <c r="P1184" s="26">
        <f ca="1">IFERROR(__xludf.DUMMYFUNCTION("ROUND(GOOGLEFINANCE(""Currency:EURKZT"")*M1184)"),238785)</f>
        <v>238785</v>
      </c>
      <c r="Q1184" s="26">
        <f ca="1">IFERROR(__xludf.DUMMYFUNCTION("ROUND(GOOGLEFINANCE(""Currency:EURKZT"")*N1184)"),238785)</f>
        <v>238785</v>
      </c>
      <c r="R1184" s="26">
        <f t="shared" ca="1" si="1055"/>
        <v>730682</v>
      </c>
      <c r="S1184" s="26">
        <f t="shared" ca="1" si="1056"/>
        <v>7297265</v>
      </c>
      <c r="T1184" s="26">
        <f ca="1">IFERROR(__xludf.DUMMYFUNCTION("ROUND(GOOGLEFINANCE(""Currency:EURKZT"")*L1184+S1184)"),8454177)</f>
        <v>8454177</v>
      </c>
      <c r="U1184" s="26">
        <f ca="1">IFERROR(__xludf.DUMMYFUNCTION("D1184*GOOGLEFINANCE(""RUBKZT"")*1000/F1184"),11090054.5363483)</f>
        <v>11090054.5363483</v>
      </c>
      <c r="V1184" s="27">
        <f t="shared" ca="1" si="1057"/>
        <v>0.3117840490385167</v>
      </c>
    </row>
    <row r="1185" spans="1:22" ht="12.75" customHeight="1" x14ac:dyDescent="0.2">
      <c r="A1185" s="6" t="s">
        <v>130</v>
      </c>
      <c r="B1185" s="6" t="s">
        <v>176</v>
      </c>
      <c r="C1185" s="7">
        <v>140221</v>
      </c>
      <c r="D1185" s="8">
        <v>27981.599999999999</v>
      </c>
      <c r="E1185" s="9" t="s">
        <v>16</v>
      </c>
      <c r="F1185" s="23">
        <v>20</v>
      </c>
      <c r="G1185" s="25"/>
      <c r="H1185" s="14">
        <f t="shared" si="1051"/>
        <v>0.55000000000000004</v>
      </c>
      <c r="I1185" s="25">
        <f ca="1">IFERROR(__xludf.DUMMYFUNCTION("ROUND(D1185*GOOGLEFINANCE(""RUBKZT"")*H1185)"),120095)</f>
        <v>120095</v>
      </c>
      <c r="J1185" s="26">
        <f ca="1">IFERROR(__xludf.DUMMYFUNCTION("ROUND(I1185*GOOGLEFINANCE(""KZTEUR""))"),252)</f>
        <v>252</v>
      </c>
      <c r="K1185" s="26">
        <f t="shared" ca="1" si="1052"/>
        <v>12600</v>
      </c>
      <c r="L1185" s="26">
        <f t="shared" ca="1" si="1053"/>
        <v>2394</v>
      </c>
      <c r="M1185" s="26">
        <f t="shared" ref="M1185:N1185" si="1219">M$3</f>
        <v>500</v>
      </c>
      <c r="N1185" s="26">
        <f t="shared" si="1219"/>
        <v>500</v>
      </c>
      <c r="O1185" s="26">
        <f ca="1">IFERROR(__xludf.DUMMYFUNCTION("ROUND(GOOGLEFINANCE(""Currency:EURKZT"")*K1185)"),6017377)</f>
        <v>6017377</v>
      </c>
      <c r="P1185" s="26">
        <f ca="1">IFERROR(__xludf.DUMMYFUNCTION("ROUND(GOOGLEFINANCE(""Currency:EURKZT"")*M1185)"),238785)</f>
        <v>238785</v>
      </c>
      <c r="Q1185" s="26">
        <f ca="1">IFERROR(__xludf.DUMMYFUNCTION("ROUND(GOOGLEFINANCE(""Currency:EURKZT"")*N1185)"),238785)</f>
        <v>238785</v>
      </c>
      <c r="R1185" s="26">
        <f t="shared" ca="1" si="1055"/>
        <v>722085</v>
      </c>
      <c r="S1185" s="26">
        <f t="shared" ca="1" si="1056"/>
        <v>7217032</v>
      </c>
      <c r="T1185" s="26">
        <f ca="1">IFERROR(__xludf.DUMMYFUNCTION("ROUND(GOOGLEFINANCE(""Currency:EURKZT"")*L1185+S1185)"),8360334)</f>
        <v>8360334</v>
      </c>
      <c r="U1185" s="26">
        <f ca="1">IFERROR(__xludf.DUMMYFUNCTION("D1185*GOOGLEFINANCE(""RUBKZT"")*1000/F1185"),10917752.7517761)</f>
        <v>10917752.751776099</v>
      </c>
      <c r="V1185" s="27">
        <f t="shared" ca="1" si="1057"/>
        <v>0.30589911261632602</v>
      </c>
    </row>
    <row r="1186" spans="1:22" ht="12.75" customHeight="1" x14ac:dyDescent="0.2">
      <c r="A1186" s="6" t="s">
        <v>129</v>
      </c>
      <c r="B1186" s="6" t="s">
        <v>176</v>
      </c>
      <c r="C1186" s="7">
        <v>146227</v>
      </c>
      <c r="D1186" s="8">
        <v>30242.399999999998</v>
      </c>
      <c r="E1186" s="9" t="s">
        <v>16</v>
      </c>
      <c r="F1186" s="23">
        <v>20</v>
      </c>
      <c r="G1186" s="25"/>
      <c r="H1186" s="14">
        <f t="shared" si="1051"/>
        <v>0.55000000000000004</v>
      </c>
      <c r="I1186" s="25">
        <f ca="1">IFERROR(__xludf.DUMMYFUNCTION("ROUND(D1186*GOOGLEFINANCE(""RUBKZT"")*H1186)"),129798)</f>
        <v>129798</v>
      </c>
      <c r="J1186" s="26">
        <f ca="1">IFERROR(__xludf.DUMMYFUNCTION("ROUND(I1186*GOOGLEFINANCE(""KZTEUR""))"),272)</f>
        <v>272</v>
      </c>
      <c r="K1186" s="26">
        <f t="shared" ca="1" si="1052"/>
        <v>13600</v>
      </c>
      <c r="L1186" s="26">
        <f t="shared" ca="1" si="1053"/>
        <v>2584</v>
      </c>
      <c r="M1186" s="26">
        <f t="shared" ref="M1186:N1186" si="1220">M$3</f>
        <v>500</v>
      </c>
      <c r="N1186" s="26">
        <f t="shared" si="1220"/>
        <v>500</v>
      </c>
      <c r="O1186" s="26">
        <f ca="1">IFERROR(__xludf.DUMMYFUNCTION("ROUND(GOOGLEFINANCE(""Currency:EURKZT"")*K1186)"),6494947)</f>
        <v>6494947</v>
      </c>
      <c r="P1186" s="26">
        <f ca="1">IFERROR(__xludf.DUMMYFUNCTION("ROUND(GOOGLEFINANCE(""Currency:EURKZT"")*M1186)"),238785)</f>
        <v>238785</v>
      </c>
      <c r="Q1186" s="26">
        <f ca="1">IFERROR(__xludf.DUMMYFUNCTION("ROUND(GOOGLEFINANCE(""Currency:EURKZT"")*N1186)"),238785)</f>
        <v>238785</v>
      </c>
      <c r="R1186" s="26">
        <f t="shared" ca="1" si="1055"/>
        <v>779394</v>
      </c>
      <c r="S1186" s="26">
        <f t="shared" ca="1" si="1056"/>
        <v>7751911</v>
      </c>
      <c r="T1186" s="26">
        <f ca="1">IFERROR(__xludf.DUMMYFUNCTION("ROUND(GOOGLEFINANCE(""Currency:EURKZT"")*L1186+S1186)"),8985951)</f>
        <v>8985951</v>
      </c>
      <c r="U1186" s="26">
        <f ca="1">IFERROR(__xludf.DUMMYFUNCTION("D1186*GOOGLEFINANCE(""RUBKZT"")*1000/F1186"),11799862.9749662)</f>
        <v>11799862.9749662</v>
      </c>
      <c r="V1186" s="27">
        <f t="shared" ca="1" si="1057"/>
        <v>0.31314570655528839</v>
      </c>
    </row>
    <row r="1187" spans="1:22" ht="12.75" customHeight="1" x14ac:dyDescent="0.2">
      <c r="A1187" s="6" t="s">
        <v>190</v>
      </c>
      <c r="B1187" s="6" t="s">
        <v>176</v>
      </c>
      <c r="C1187" s="7">
        <v>148598</v>
      </c>
      <c r="D1187" s="8">
        <v>10066.799999999999</v>
      </c>
      <c r="E1187" s="9" t="s">
        <v>16</v>
      </c>
      <c r="F1187" s="23">
        <v>20</v>
      </c>
      <c r="G1187" s="25"/>
      <c r="H1187" s="14">
        <f t="shared" si="1051"/>
        <v>0.55000000000000004</v>
      </c>
      <c r="I1187" s="25">
        <f ca="1">IFERROR(__xludf.DUMMYFUNCTION("ROUND(D1187*GOOGLEFINANCE(""RUBKZT"")*H1187)"),43206)</f>
        <v>43206</v>
      </c>
      <c r="J1187" s="26">
        <f ca="1">IFERROR(__xludf.DUMMYFUNCTION("ROUND(I1187*GOOGLEFINANCE(""KZTEUR""))"),90)</f>
        <v>90</v>
      </c>
      <c r="K1187" s="26">
        <f t="shared" ca="1" si="1052"/>
        <v>4500</v>
      </c>
      <c r="L1187" s="26">
        <f t="shared" ca="1" si="1053"/>
        <v>855</v>
      </c>
      <c r="M1187" s="26">
        <f t="shared" ref="M1187:N1187" si="1221">M$3</f>
        <v>500</v>
      </c>
      <c r="N1187" s="26">
        <f t="shared" si="1221"/>
        <v>500</v>
      </c>
      <c r="O1187" s="26">
        <f ca="1">IFERROR(__xludf.DUMMYFUNCTION("ROUND(GOOGLEFINANCE(""Currency:EURKZT"")*K1187)"),2149063)</f>
        <v>2149063</v>
      </c>
      <c r="P1187" s="26">
        <f ca="1">IFERROR(__xludf.DUMMYFUNCTION("ROUND(GOOGLEFINANCE(""Currency:EURKZT"")*M1187)"),238785)</f>
        <v>238785</v>
      </c>
      <c r="Q1187" s="26">
        <f ca="1">IFERROR(__xludf.DUMMYFUNCTION("ROUND(GOOGLEFINANCE(""Currency:EURKZT"")*N1187)"),238785)</f>
        <v>238785</v>
      </c>
      <c r="R1187" s="26">
        <f t="shared" ca="1" si="1055"/>
        <v>257888</v>
      </c>
      <c r="S1187" s="26">
        <f t="shared" ca="1" si="1056"/>
        <v>2884521</v>
      </c>
      <c r="T1187" s="26">
        <f ca="1">IFERROR(__xludf.DUMMYFUNCTION("ROUND(GOOGLEFINANCE(""Currency:EURKZT"")*L1187+S1187)"),3292843)</f>
        <v>3292843</v>
      </c>
      <c r="U1187" s="26">
        <f ca="1">IFERROR(__xludf.DUMMYFUNCTION("D1187*GOOGLEFINANCE(""RUBKZT"")*1000/F1187"),3927825.19232568)</f>
        <v>3927825.1923256801</v>
      </c>
      <c r="V1187" s="27">
        <f t="shared" ca="1" si="1057"/>
        <v>0.19283706885681462</v>
      </c>
    </row>
    <row r="1188" spans="1:22" ht="12.75" customHeight="1" x14ac:dyDescent="0.2">
      <c r="A1188" s="6" t="s">
        <v>21</v>
      </c>
      <c r="B1188" s="6" t="s">
        <v>22</v>
      </c>
      <c r="C1188" s="7">
        <v>110384</v>
      </c>
      <c r="D1188" s="8">
        <v>16339.199999999999</v>
      </c>
      <c r="E1188" s="9" t="s">
        <v>16</v>
      </c>
      <c r="F1188" s="23">
        <v>20</v>
      </c>
      <c r="G1188" s="25"/>
      <c r="H1188" s="14">
        <f t="shared" si="1051"/>
        <v>0.55000000000000004</v>
      </c>
      <c r="I1188" s="25">
        <f ca="1">IFERROR(__xludf.DUMMYFUNCTION("ROUND(D1188*GOOGLEFINANCE(""RUBKZT"")*H1188)"),70127)</f>
        <v>70127</v>
      </c>
      <c r="J1188" s="26">
        <f ca="1">IFERROR(__xludf.DUMMYFUNCTION("ROUND(I1188*GOOGLEFINANCE(""KZTEUR""))"),147)</f>
        <v>147</v>
      </c>
      <c r="K1188" s="26">
        <f t="shared" ca="1" si="1052"/>
        <v>7350</v>
      </c>
      <c r="L1188" s="26">
        <f t="shared" ca="1" si="1053"/>
        <v>1396.5</v>
      </c>
      <c r="M1188" s="26">
        <f t="shared" ref="M1188:N1188" si="1222">M$3</f>
        <v>500</v>
      </c>
      <c r="N1188" s="26">
        <f t="shared" si="1222"/>
        <v>500</v>
      </c>
      <c r="O1188" s="26">
        <f ca="1">IFERROR(__xludf.DUMMYFUNCTION("ROUND(GOOGLEFINANCE(""Currency:EURKZT"")*K1188)"),3510137)</f>
        <v>3510137</v>
      </c>
      <c r="P1188" s="26">
        <f ca="1">IFERROR(__xludf.DUMMYFUNCTION("ROUND(GOOGLEFINANCE(""Currency:EURKZT"")*M1188)"),238785)</f>
        <v>238785</v>
      </c>
      <c r="Q1188" s="26">
        <f ca="1">IFERROR(__xludf.DUMMYFUNCTION("ROUND(GOOGLEFINANCE(""Currency:EURKZT"")*N1188)"),238785)</f>
        <v>238785</v>
      </c>
      <c r="R1188" s="26">
        <f t="shared" ca="1" si="1055"/>
        <v>421216</v>
      </c>
      <c r="S1188" s="26">
        <f t="shared" ca="1" si="1056"/>
        <v>4408923</v>
      </c>
      <c r="T1188" s="26">
        <f ca="1">IFERROR(__xludf.DUMMYFUNCTION("ROUND(GOOGLEFINANCE(""Currency:EURKZT"")*L1188+S1188)"),5075849)</f>
        <v>5075849</v>
      </c>
      <c r="U1188" s="26">
        <f ca="1">IFERROR(__xludf.DUMMYFUNCTION("D1188*GOOGLEFINANCE(""RUBKZT"")*1000/F1188"),6375166.02916992)</f>
        <v>6375166.0291699199</v>
      </c>
      <c r="V1188" s="27">
        <f t="shared" ca="1" si="1057"/>
        <v>0.25598023683721088</v>
      </c>
    </row>
    <row r="1189" spans="1:22" ht="12.75" customHeight="1" x14ac:dyDescent="0.2">
      <c r="A1189" s="6" t="s">
        <v>24</v>
      </c>
      <c r="B1189" s="6" t="s">
        <v>22</v>
      </c>
      <c r="C1189" s="7">
        <v>130013</v>
      </c>
      <c r="D1189" s="8">
        <v>17612.399999999998</v>
      </c>
      <c r="E1189" s="9" t="s">
        <v>16</v>
      </c>
      <c r="F1189" s="23">
        <v>20</v>
      </c>
      <c r="G1189" s="25"/>
      <c r="H1189" s="14">
        <f t="shared" si="1051"/>
        <v>0.55000000000000004</v>
      </c>
      <c r="I1189" s="25">
        <f ca="1">IFERROR(__xludf.DUMMYFUNCTION("ROUND(D1189*GOOGLEFINANCE(""RUBKZT"")*H1189)"),75591)</f>
        <v>75591</v>
      </c>
      <c r="J1189" s="26">
        <f ca="1">IFERROR(__xludf.DUMMYFUNCTION("ROUND(I1189*GOOGLEFINANCE(""KZTEUR""))"),158)</f>
        <v>158</v>
      </c>
      <c r="K1189" s="26">
        <f t="shared" ca="1" si="1052"/>
        <v>7900</v>
      </c>
      <c r="L1189" s="26">
        <f t="shared" ca="1" si="1053"/>
        <v>1501</v>
      </c>
      <c r="M1189" s="26">
        <f t="shared" ref="M1189:N1189" si="1223">M$3</f>
        <v>500</v>
      </c>
      <c r="N1189" s="26">
        <f t="shared" si="1223"/>
        <v>500</v>
      </c>
      <c r="O1189" s="26">
        <f ca="1">IFERROR(__xludf.DUMMYFUNCTION("ROUND(GOOGLEFINANCE(""Currency:EURKZT"")*K1189)"),3772800)</f>
        <v>3772800</v>
      </c>
      <c r="P1189" s="26">
        <f ca="1">IFERROR(__xludf.DUMMYFUNCTION("ROUND(GOOGLEFINANCE(""Currency:EURKZT"")*M1189)"),238785)</f>
        <v>238785</v>
      </c>
      <c r="Q1189" s="26">
        <f ca="1">IFERROR(__xludf.DUMMYFUNCTION("ROUND(GOOGLEFINANCE(""Currency:EURKZT"")*N1189)"),238785)</f>
        <v>238785</v>
      </c>
      <c r="R1189" s="26">
        <f t="shared" ca="1" si="1055"/>
        <v>452736</v>
      </c>
      <c r="S1189" s="26">
        <f t="shared" ca="1" si="1056"/>
        <v>4703106</v>
      </c>
      <c r="T1189" s="26">
        <f ca="1">IFERROR(__xludf.DUMMYFUNCTION("ROUND(GOOGLEFINANCE(""Currency:EURKZT"")*L1189+S1189)"),5419938)</f>
        <v>5419938</v>
      </c>
      <c r="U1189" s="26">
        <f ca="1">IFERROR(__xludf.DUMMYFUNCTION("D1189*GOOGLEFINANCE(""RUBKZT"")*1000/F1189"),6871938.29392824)</f>
        <v>6871938.2939282404</v>
      </c>
      <c r="V1189" s="27">
        <f t="shared" ca="1" si="1057"/>
        <v>0.26789979773352396</v>
      </c>
    </row>
    <row r="1190" spans="1:22" ht="12.75" customHeight="1" x14ac:dyDescent="0.2">
      <c r="A1190" s="6" t="s">
        <v>25</v>
      </c>
      <c r="B1190" s="6" t="s">
        <v>22</v>
      </c>
      <c r="C1190" s="7">
        <v>132406</v>
      </c>
      <c r="D1190" s="8">
        <v>24038.399999999998</v>
      </c>
      <c r="E1190" s="9" t="s">
        <v>16</v>
      </c>
      <c r="F1190" s="23">
        <v>20</v>
      </c>
      <c r="G1190" s="25"/>
      <c r="H1190" s="14">
        <f t="shared" si="1051"/>
        <v>0.55000000000000004</v>
      </c>
      <c r="I1190" s="25">
        <f ca="1">IFERROR(__xludf.DUMMYFUNCTION("ROUND(D1190*GOOGLEFINANCE(""RUBKZT"")*H1190)"),103171)</f>
        <v>103171</v>
      </c>
      <c r="J1190" s="26">
        <f ca="1">IFERROR(__xludf.DUMMYFUNCTION("ROUND(I1190*GOOGLEFINANCE(""KZTEUR""))"),216)</f>
        <v>216</v>
      </c>
      <c r="K1190" s="26">
        <f t="shared" ca="1" si="1052"/>
        <v>10800</v>
      </c>
      <c r="L1190" s="26">
        <f t="shared" ca="1" si="1053"/>
        <v>2052</v>
      </c>
      <c r="M1190" s="26">
        <f t="shared" ref="M1190:N1190" si="1224">M$3</f>
        <v>500</v>
      </c>
      <c r="N1190" s="26">
        <f t="shared" si="1224"/>
        <v>500</v>
      </c>
      <c r="O1190" s="26">
        <f ca="1">IFERROR(__xludf.DUMMYFUNCTION("ROUND(GOOGLEFINANCE(""Currency:EURKZT"")*K1190)"),5157752)</f>
        <v>5157752</v>
      </c>
      <c r="P1190" s="26">
        <f ca="1">IFERROR(__xludf.DUMMYFUNCTION("ROUND(GOOGLEFINANCE(""Currency:EURKZT"")*M1190)"),238785)</f>
        <v>238785</v>
      </c>
      <c r="Q1190" s="26">
        <f ca="1">IFERROR(__xludf.DUMMYFUNCTION("ROUND(GOOGLEFINANCE(""Currency:EURKZT"")*N1190)"),238785)</f>
        <v>238785</v>
      </c>
      <c r="R1190" s="26">
        <f t="shared" ca="1" si="1055"/>
        <v>618930</v>
      </c>
      <c r="S1190" s="26">
        <f t="shared" ca="1" si="1056"/>
        <v>6254252</v>
      </c>
      <c r="T1190" s="26">
        <f ca="1">IFERROR(__xludf.DUMMYFUNCTION("ROUND(GOOGLEFINANCE(""Currency:EURKZT"")*L1190+S1190)"),7234225)</f>
        <v>7234225</v>
      </c>
      <c r="U1190" s="26">
        <f ca="1">IFERROR(__xludf.DUMMYFUNCTION("D1190*GOOGLEFINANCE(""RUBKZT"")*1000/F1190"),9379210.18627584)</f>
        <v>9379210.1862758398</v>
      </c>
      <c r="V1190" s="27">
        <f t="shared" ca="1" si="1057"/>
        <v>0.29650518006778054</v>
      </c>
    </row>
    <row r="1191" spans="1:22" ht="12.75" customHeight="1" x14ac:dyDescent="0.2">
      <c r="A1191" s="6" t="s">
        <v>17</v>
      </c>
      <c r="B1191" s="6" t="s">
        <v>22</v>
      </c>
      <c r="C1191" s="7">
        <v>148631</v>
      </c>
      <c r="D1191" s="8">
        <v>19717.2</v>
      </c>
      <c r="E1191" s="9" t="s">
        <v>16</v>
      </c>
      <c r="F1191" s="23">
        <v>20</v>
      </c>
      <c r="G1191" s="25"/>
      <c r="H1191" s="14">
        <f t="shared" si="1051"/>
        <v>0.55000000000000004</v>
      </c>
      <c r="I1191" s="25">
        <f ca="1">IFERROR(__xludf.DUMMYFUNCTION("ROUND(D1191*GOOGLEFINANCE(""RUBKZT"")*H1191)"),84625)</f>
        <v>84625</v>
      </c>
      <c r="J1191" s="26">
        <f ca="1">IFERROR(__xludf.DUMMYFUNCTION("ROUND(I1191*GOOGLEFINANCE(""KZTEUR""))"),177)</f>
        <v>177</v>
      </c>
      <c r="K1191" s="26">
        <f t="shared" ca="1" si="1052"/>
        <v>8850</v>
      </c>
      <c r="L1191" s="26">
        <f t="shared" ca="1" si="1053"/>
        <v>1681.5</v>
      </c>
      <c r="M1191" s="26">
        <f t="shared" ref="M1191:N1191" si="1225">M$3</f>
        <v>500</v>
      </c>
      <c r="N1191" s="26">
        <f t="shared" si="1225"/>
        <v>500</v>
      </c>
      <c r="O1191" s="26">
        <f ca="1">IFERROR(__xludf.DUMMYFUNCTION("ROUND(GOOGLEFINANCE(""Currency:EURKZT"")*K1191)"),4226491)</f>
        <v>4226491</v>
      </c>
      <c r="P1191" s="26">
        <f ca="1">IFERROR(__xludf.DUMMYFUNCTION("ROUND(GOOGLEFINANCE(""Currency:EURKZT"")*M1191)"),238785)</f>
        <v>238785</v>
      </c>
      <c r="Q1191" s="26">
        <f ca="1">IFERROR(__xludf.DUMMYFUNCTION("ROUND(GOOGLEFINANCE(""Currency:EURKZT"")*N1191)"),238785)</f>
        <v>238785</v>
      </c>
      <c r="R1191" s="26">
        <f t="shared" ca="1" si="1055"/>
        <v>507179</v>
      </c>
      <c r="S1191" s="26">
        <f t="shared" ca="1" si="1056"/>
        <v>5211240</v>
      </c>
      <c r="T1191" s="26">
        <f ca="1">IFERROR(__xludf.DUMMYFUNCTION("ROUND(GOOGLEFINANCE(""Currency:EURKZT"")*L1191+S1191)"),6014273)</f>
        <v>6014273</v>
      </c>
      <c r="U1191" s="26">
        <f ca="1">IFERROR(__xludf.DUMMYFUNCTION("D1191*GOOGLEFINANCE(""RUBKZT"")*1000/F1191"),7693181.03887272)</f>
        <v>7693181.0388727197</v>
      </c>
      <c r="V1191" s="27">
        <f t="shared" ca="1" si="1057"/>
        <v>0.27915394576746344</v>
      </c>
    </row>
    <row r="1192" spans="1:22" ht="12.75" customHeight="1" x14ac:dyDescent="0.2">
      <c r="A1192" s="6" t="s">
        <v>21</v>
      </c>
      <c r="B1192" s="6" t="s">
        <v>22</v>
      </c>
      <c r="C1192" s="7">
        <v>196521</v>
      </c>
      <c r="D1192" s="8">
        <v>16339.199999999999</v>
      </c>
      <c r="E1192" s="9" t="s">
        <v>16</v>
      </c>
      <c r="F1192" s="23">
        <v>20</v>
      </c>
      <c r="G1192" s="25"/>
      <c r="H1192" s="14">
        <f t="shared" si="1051"/>
        <v>0.55000000000000004</v>
      </c>
      <c r="I1192" s="25">
        <f ca="1">IFERROR(__xludf.DUMMYFUNCTION("ROUND(D1192*GOOGLEFINANCE(""RUBKZT"")*H1192)"),70127)</f>
        <v>70127</v>
      </c>
      <c r="J1192" s="26">
        <f ca="1">IFERROR(__xludf.DUMMYFUNCTION("ROUND(I1192*GOOGLEFINANCE(""KZTEUR""))"),147)</f>
        <v>147</v>
      </c>
      <c r="K1192" s="26">
        <f t="shared" ca="1" si="1052"/>
        <v>7350</v>
      </c>
      <c r="L1192" s="26">
        <f t="shared" ca="1" si="1053"/>
        <v>1396.5</v>
      </c>
      <c r="M1192" s="26">
        <f t="shared" ref="M1192:N1192" si="1226">M$3</f>
        <v>500</v>
      </c>
      <c r="N1192" s="26">
        <f t="shared" si="1226"/>
        <v>500</v>
      </c>
      <c r="O1192" s="26">
        <f ca="1">IFERROR(__xludf.DUMMYFUNCTION("ROUND(GOOGLEFINANCE(""Currency:EURKZT"")*K1192)"),3510137)</f>
        <v>3510137</v>
      </c>
      <c r="P1192" s="26">
        <f ca="1">IFERROR(__xludf.DUMMYFUNCTION("ROUND(GOOGLEFINANCE(""Currency:EURKZT"")*M1192)"),238785)</f>
        <v>238785</v>
      </c>
      <c r="Q1192" s="26">
        <f ca="1">IFERROR(__xludf.DUMMYFUNCTION("ROUND(GOOGLEFINANCE(""Currency:EURKZT"")*N1192)"),238785)</f>
        <v>238785</v>
      </c>
      <c r="R1192" s="26">
        <f t="shared" ca="1" si="1055"/>
        <v>421216</v>
      </c>
      <c r="S1192" s="26">
        <f t="shared" ca="1" si="1056"/>
        <v>4408923</v>
      </c>
      <c r="T1192" s="26">
        <f ca="1">IFERROR(__xludf.DUMMYFUNCTION("ROUND(GOOGLEFINANCE(""Currency:EURKZT"")*L1192+S1192)"),5075849)</f>
        <v>5075849</v>
      </c>
      <c r="U1192" s="26">
        <f ca="1">IFERROR(__xludf.DUMMYFUNCTION("D1192*GOOGLEFINANCE(""RUBKZT"")*1000/F1192"),6375166.02916992)</f>
        <v>6375166.0291699199</v>
      </c>
      <c r="V1192" s="27">
        <f t="shared" ca="1" si="1057"/>
        <v>0.25598023683721088</v>
      </c>
    </row>
    <row r="1193" spans="1:22" ht="12.75" customHeight="1" x14ac:dyDescent="0.2">
      <c r="A1193" s="6" t="s">
        <v>303</v>
      </c>
      <c r="B1193" s="6" t="s">
        <v>304</v>
      </c>
      <c r="C1193" s="7">
        <v>183658</v>
      </c>
      <c r="D1193" s="8">
        <v>4498.8</v>
      </c>
      <c r="E1193" s="9" t="s">
        <v>16</v>
      </c>
      <c r="F1193" s="23">
        <f>4*0.435</f>
        <v>1.74</v>
      </c>
      <c r="G1193" s="25"/>
      <c r="H1193" s="14">
        <f t="shared" si="1051"/>
        <v>0.55000000000000004</v>
      </c>
      <c r="I1193" s="25">
        <f ca="1">IFERROR(__xludf.DUMMYFUNCTION("ROUND(D1193*GOOGLEFINANCE(""RUBKZT"")*H1193)"),19309)</f>
        <v>19309</v>
      </c>
      <c r="J1193" s="26">
        <f ca="1">IFERROR(__xludf.DUMMYFUNCTION("ROUND(I1193*GOOGLEFINANCE(""KZTEUR""))"),40)</f>
        <v>40</v>
      </c>
      <c r="K1193" s="26">
        <f t="shared" ca="1" si="1052"/>
        <v>22989</v>
      </c>
      <c r="L1193" s="26">
        <f t="shared" ca="1" si="1053"/>
        <v>4367.91</v>
      </c>
      <c r="M1193" s="26">
        <f t="shared" ref="M1193:N1193" si="1227">M$3</f>
        <v>500</v>
      </c>
      <c r="N1193" s="26">
        <f t="shared" si="1227"/>
        <v>500</v>
      </c>
      <c r="O1193" s="26">
        <f ca="1">IFERROR(__xludf.DUMMYFUNCTION("ROUND(GOOGLEFINANCE(""Currency:EURKZT"")*K1193)"),10978848)</f>
        <v>10978848</v>
      </c>
      <c r="P1193" s="26">
        <f ca="1">IFERROR(__xludf.DUMMYFUNCTION("ROUND(GOOGLEFINANCE(""Currency:EURKZT"")*M1193)"),238785)</f>
        <v>238785</v>
      </c>
      <c r="Q1193" s="26">
        <f ca="1">IFERROR(__xludf.DUMMYFUNCTION("ROUND(GOOGLEFINANCE(""Currency:EURKZT"")*N1193)"),238785)</f>
        <v>238785</v>
      </c>
      <c r="R1193" s="26">
        <f t="shared" ca="1" si="1055"/>
        <v>1317462</v>
      </c>
      <c r="S1193" s="26">
        <f t="shared" ca="1" si="1056"/>
        <v>12773880</v>
      </c>
      <c r="T1193" s="26">
        <f ca="1">IFERROR(__xludf.DUMMYFUNCTION("ROUND(GOOGLEFINANCE(""Currency:EURKZT"")*L1193+S1193)"),14859861)</f>
        <v>14859861</v>
      </c>
      <c r="U1193" s="26">
        <f ca="1">IFERROR(__xludf.DUMMYFUNCTION("D1193*GOOGLEFINANCE(""RUBKZT"")*1000/F1193"),20176142.8773434)</f>
        <v>20176142.877343401</v>
      </c>
      <c r="V1193" s="27">
        <f t="shared" ca="1" si="1057"/>
        <v>0.35776121171950404</v>
      </c>
    </row>
    <row r="1194" spans="1:22" ht="12.75" customHeight="1" x14ac:dyDescent="0.2">
      <c r="A1194" s="6" t="s">
        <v>17</v>
      </c>
      <c r="B1194" s="6" t="s">
        <v>19</v>
      </c>
      <c r="C1194" s="7">
        <v>110371</v>
      </c>
      <c r="D1194" s="8">
        <v>44360.4</v>
      </c>
      <c r="E1194" s="9" t="s">
        <v>16</v>
      </c>
      <c r="F1194" s="23">
        <v>50</v>
      </c>
      <c r="G1194" s="25"/>
      <c r="H1194" s="14">
        <f t="shared" si="1051"/>
        <v>0.55000000000000004</v>
      </c>
      <c r="I1194" s="25">
        <f ca="1">IFERROR(__xludf.DUMMYFUNCTION("ROUND(D1194*GOOGLEFINANCE(""RUBKZT"")*H1194)"),190392)</f>
        <v>190392</v>
      </c>
      <c r="J1194" s="26">
        <f ca="1">IFERROR(__xludf.DUMMYFUNCTION("ROUND(I1194*GOOGLEFINANCE(""KZTEUR""))"),399)</f>
        <v>399</v>
      </c>
      <c r="K1194" s="26">
        <f t="shared" ca="1" si="1052"/>
        <v>7980</v>
      </c>
      <c r="L1194" s="26">
        <f t="shared" ca="1" si="1053"/>
        <v>1516.2</v>
      </c>
      <c r="M1194" s="26">
        <f t="shared" ref="M1194:N1194" si="1228">M$3</f>
        <v>500</v>
      </c>
      <c r="N1194" s="26">
        <f t="shared" si="1228"/>
        <v>500</v>
      </c>
      <c r="O1194" s="26">
        <f ca="1">IFERROR(__xludf.DUMMYFUNCTION("ROUND(GOOGLEFINANCE(""Currency:EURKZT"")*K1194)"),3811006)</f>
        <v>3811006</v>
      </c>
      <c r="P1194" s="26">
        <f ca="1">IFERROR(__xludf.DUMMYFUNCTION("ROUND(GOOGLEFINANCE(""Currency:EURKZT"")*M1194)"),238785)</f>
        <v>238785</v>
      </c>
      <c r="Q1194" s="26">
        <f ca="1">IFERROR(__xludf.DUMMYFUNCTION("ROUND(GOOGLEFINANCE(""Currency:EURKZT"")*N1194)"),238785)</f>
        <v>238785</v>
      </c>
      <c r="R1194" s="26">
        <f t="shared" ca="1" si="1055"/>
        <v>457321</v>
      </c>
      <c r="S1194" s="26">
        <f t="shared" ca="1" si="1056"/>
        <v>4745897</v>
      </c>
      <c r="T1194" s="26">
        <f ca="1">IFERROR(__xludf.DUMMYFUNCTION("ROUND(GOOGLEFINANCE(""Currency:EURKZT"")*L1194+S1194)"),5469988)</f>
        <v>5469988</v>
      </c>
      <c r="U1194" s="26">
        <f ca="1">IFERROR(__xludf.DUMMYFUNCTION("D1194*GOOGLEFINANCE(""RUBKZT"")*1000/F1194"),6923347.90247721)</f>
        <v>6923347.9024772104</v>
      </c>
      <c r="V1194" s="27">
        <f t="shared" ca="1" si="1057"/>
        <v>0.26569709156166527</v>
      </c>
    </row>
    <row r="1195" spans="1:22" ht="12.75" customHeight="1" x14ac:dyDescent="0.2">
      <c r="A1195" s="6" t="s">
        <v>21</v>
      </c>
      <c r="B1195" s="6" t="s">
        <v>19</v>
      </c>
      <c r="C1195" s="7">
        <v>110385</v>
      </c>
      <c r="D1195" s="8">
        <v>34833.599999999999</v>
      </c>
      <c r="E1195" s="9" t="s">
        <v>16</v>
      </c>
      <c r="F1195" s="23">
        <v>50</v>
      </c>
      <c r="G1195" s="25"/>
      <c r="H1195" s="14">
        <f t="shared" si="1051"/>
        <v>0.55000000000000004</v>
      </c>
      <c r="I1195" s="25">
        <f ca="1">IFERROR(__xludf.DUMMYFUNCTION("ROUND(D1195*GOOGLEFINANCE(""RUBKZT"")*H1195)"),149504)</f>
        <v>149504</v>
      </c>
      <c r="J1195" s="26">
        <f ca="1">IFERROR(__xludf.DUMMYFUNCTION("ROUND(I1195*GOOGLEFINANCE(""KZTEUR""))"),313)</f>
        <v>313</v>
      </c>
      <c r="K1195" s="26">
        <f t="shared" ca="1" si="1052"/>
        <v>6260</v>
      </c>
      <c r="L1195" s="26">
        <f t="shared" ca="1" si="1053"/>
        <v>1189.4000000000001</v>
      </c>
      <c r="M1195" s="26">
        <f t="shared" ref="M1195:N1195" si="1229">M$3</f>
        <v>500</v>
      </c>
      <c r="N1195" s="26">
        <f t="shared" si="1229"/>
        <v>500</v>
      </c>
      <c r="O1195" s="26">
        <f ca="1">IFERROR(__xludf.DUMMYFUNCTION("ROUND(GOOGLEFINANCE(""Currency:EURKZT"")*K1195)"),2989586)</f>
        <v>2989586</v>
      </c>
      <c r="P1195" s="26">
        <f ca="1">IFERROR(__xludf.DUMMYFUNCTION("ROUND(GOOGLEFINANCE(""Currency:EURKZT"")*M1195)"),238785)</f>
        <v>238785</v>
      </c>
      <c r="Q1195" s="26">
        <f ca="1">IFERROR(__xludf.DUMMYFUNCTION("ROUND(GOOGLEFINANCE(""Currency:EURKZT"")*N1195)"),238785)</f>
        <v>238785</v>
      </c>
      <c r="R1195" s="26">
        <f t="shared" ca="1" si="1055"/>
        <v>358750</v>
      </c>
      <c r="S1195" s="26">
        <f t="shared" ca="1" si="1056"/>
        <v>3825906</v>
      </c>
      <c r="T1195" s="26">
        <f ca="1">IFERROR(__xludf.DUMMYFUNCTION("ROUND(GOOGLEFINANCE(""Currency:EURKZT"")*L1195+S1195)"),4393927)</f>
        <v>4393927</v>
      </c>
      <c r="U1195" s="26">
        <f ca="1">IFERROR(__xludf.DUMMYFUNCTION("D1195*GOOGLEFINANCE(""RUBKZT"")*1000/F1195"),5436495.87234854)</f>
        <v>5436495.8723485405</v>
      </c>
      <c r="V1195" s="27">
        <f t="shared" ca="1" si="1057"/>
        <v>0.23727496436525697</v>
      </c>
    </row>
    <row r="1196" spans="1:22" ht="12.75" customHeight="1" x14ac:dyDescent="0.2">
      <c r="A1196" s="6" t="s">
        <v>23</v>
      </c>
      <c r="B1196" s="6" t="s">
        <v>19</v>
      </c>
      <c r="C1196" s="7">
        <v>110389</v>
      </c>
      <c r="D1196" s="8">
        <v>38185.199999999997</v>
      </c>
      <c r="E1196" s="9" t="s">
        <v>16</v>
      </c>
      <c r="F1196" s="23">
        <v>50</v>
      </c>
      <c r="G1196" s="25"/>
      <c r="H1196" s="14">
        <f t="shared" si="1051"/>
        <v>0.55000000000000004</v>
      </c>
      <c r="I1196" s="25">
        <f ca="1">IFERROR(__xludf.DUMMYFUNCTION("ROUND(D1196*GOOGLEFINANCE(""RUBKZT"")*H1196)"),163888)</f>
        <v>163888</v>
      </c>
      <c r="J1196" s="26">
        <f ca="1">IFERROR(__xludf.DUMMYFUNCTION("ROUND(I1196*GOOGLEFINANCE(""KZTEUR""))"),343)</f>
        <v>343</v>
      </c>
      <c r="K1196" s="26">
        <f t="shared" ca="1" si="1052"/>
        <v>6860</v>
      </c>
      <c r="L1196" s="26">
        <f t="shared" ca="1" si="1053"/>
        <v>1303.4000000000001</v>
      </c>
      <c r="M1196" s="26">
        <f t="shared" ref="M1196:N1196" si="1230">M$3</f>
        <v>500</v>
      </c>
      <c r="N1196" s="26">
        <f t="shared" si="1230"/>
        <v>500</v>
      </c>
      <c r="O1196" s="26">
        <f ca="1">IFERROR(__xludf.DUMMYFUNCTION("ROUND(GOOGLEFINANCE(""Currency:EURKZT"")*K1196)"),3276128)</f>
        <v>3276128</v>
      </c>
      <c r="P1196" s="26">
        <f ca="1">IFERROR(__xludf.DUMMYFUNCTION("ROUND(GOOGLEFINANCE(""Currency:EURKZT"")*M1196)"),238785)</f>
        <v>238785</v>
      </c>
      <c r="Q1196" s="26">
        <f ca="1">IFERROR(__xludf.DUMMYFUNCTION("ROUND(GOOGLEFINANCE(""Currency:EURKZT"")*N1196)"),238785)</f>
        <v>238785</v>
      </c>
      <c r="R1196" s="26">
        <f t="shared" ca="1" si="1055"/>
        <v>393135</v>
      </c>
      <c r="S1196" s="26">
        <f t="shared" ca="1" si="1056"/>
        <v>4146833</v>
      </c>
      <c r="T1196" s="26">
        <f ca="1">IFERROR(__xludf.DUMMYFUNCTION("ROUND(GOOGLEFINANCE(""Currency:EURKZT"")*L1196+S1196)"),4769297)</f>
        <v>4769297</v>
      </c>
      <c r="U1196" s="26">
        <f ca="1">IFERROR(__xludf.DUMMYFUNCTION("D1196*GOOGLEFINANCE(""RUBKZT"")*1000/F1196"),5959581.6161638)</f>
        <v>5959581.6161637995</v>
      </c>
      <c r="V1196" s="27">
        <f t="shared" ca="1" si="1057"/>
        <v>0.24957234077974166</v>
      </c>
    </row>
    <row r="1197" spans="1:22" ht="12.75" customHeight="1" x14ac:dyDescent="0.2">
      <c r="A1197" s="6" t="s">
        <v>24</v>
      </c>
      <c r="B1197" s="6" t="s">
        <v>19</v>
      </c>
      <c r="C1197" s="7">
        <v>110396</v>
      </c>
      <c r="D1197" s="8">
        <v>36901.199999999997</v>
      </c>
      <c r="E1197" s="9" t="s">
        <v>16</v>
      </c>
      <c r="F1197" s="23">
        <v>50</v>
      </c>
      <c r="G1197" s="25"/>
      <c r="H1197" s="14">
        <f t="shared" si="1051"/>
        <v>0.55000000000000004</v>
      </c>
      <c r="I1197" s="25">
        <f ca="1">IFERROR(__xludf.DUMMYFUNCTION("ROUND(D1197*GOOGLEFINANCE(""RUBKZT"")*H1197)"),158378)</f>
        <v>158378</v>
      </c>
      <c r="J1197" s="26">
        <f ca="1">IFERROR(__xludf.DUMMYFUNCTION("ROUND(I1197*GOOGLEFINANCE(""KZTEUR""))"),332)</f>
        <v>332</v>
      </c>
      <c r="K1197" s="26">
        <f t="shared" ca="1" si="1052"/>
        <v>6640</v>
      </c>
      <c r="L1197" s="26">
        <f t="shared" ca="1" si="1053"/>
        <v>1261.5999999999999</v>
      </c>
      <c r="M1197" s="26">
        <f t="shared" ref="M1197:N1197" si="1231">M$3</f>
        <v>500</v>
      </c>
      <c r="N1197" s="26">
        <f t="shared" si="1231"/>
        <v>500</v>
      </c>
      <c r="O1197" s="26">
        <f ca="1">IFERROR(__xludf.DUMMYFUNCTION("ROUND(GOOGLEFINANCE(""Currency:EURKZT"")*K1197)"),3171062)</f>
        <v>3171062</v>
      </c>
      <c r="P1197" s="26">
        <f ca="1">IFERROR(__xludf.DUMMYFUNCTION("ROUND(GOOGLEFINANCE(""Currency:EURKZT"")*M1197)"),238785)</f>
        <v>238785</v>
      </c>
      <c r="Q1197" s="26">
        <f ca="1">IFERROR(__xludf.DUMMYFUNCTION("ROUND(GOOGLEFINANCE(""Currency:EURKZT"")*N1197)"),238785)</f>
        <v>238785</v>
      </c>
      <c r="R1197" s="26">
        <f t="shared" ca="1" si="1055"/>
        <v>380527</v>
      </c>
      <c r="S1197" s="26">
        <f t="shared" ca="1" si="1056"/>
        <v>4029159</v>
      </c>
      <c r="T1197" s="26">
        <f ca="1">IFERROR(__xludf.DUMMYFUNCTION("ROUND(GOOGLEFINANCE(""Currency:EURKZT"")*L1197+S1197)"),4631661)</f>
        <v>4631661</v>
      </c>
      <c r="U1197" s="26">
        <f ca="1">IFERROR(__xludf.DUMMYFUNCTION("D1197*GOOGLEFINANCE(""RUBKZT"")*1000/F1197"),5759187.14932444)</f>
        <v>5759187.1493244404</v>
      </c>
      <c r="V1197" s="27">
        <f t="shared" ca="1" si="1057"/>
        <v>0.24343883313663076</v>
      </c>
    </row>
    <row r="1198" spans="1:22" ht="12.75" customHeight="1" x14ac:dyDescent="0.2">
      <c r="A1198" s="6" t="s">
        <v>25</v>
      </c>
      <c r="B1198" s="6" t="s">
        <v>19</v>
      </c>
      <c r="C1198" s="7">
        <v>110404</v>
      </c>
      <c r="D1198" s="8">
        <v>49604.4</v>
      </c>
      <c r="E1198" s="9" t="s">
        <v>16</v>
      </c>
      <c r="F1198" s="23">
        <v>50</v>
      </c>
      <c r="G1198" s="25"/>
      <c r="H1198" s="14">
        <f t="shared" si="1051"/>
        <v>0.55000000000000004</v>
      </c>
      <c r="I1198" s="25">
        <f ca="1">IFERROR(__xludf.DUMMYFUNCTION("ROUND(D1198*GOOGLEFINANCE(""RUBKZT"")*H1198)"),212899)</f>
        <v>212899</v>
      </c>
      <c r="J1198" s="26">
        <f ca="1">IFERROR(__xludf.DUMMYFUNCTION("ROUND(I1198*GOOGLEFINANCE(""KZTEUR""))"),446)</f>
        <v>446</v>
      </c>
      <c r="K1198" s="26">
        <f t="shared" ca="1" si="1052"/>
        <v>8920</v>
      </c>
      <c r="L1198" s="26">
        <f t="shared" ca="1" si="1053"/>
        <v>1694.8</v>
      </c>
      <c r="M1198" s="26">
        <f t="shared" ref="M1198:N1198" si="1232">M$3</f>
        <v>500</v>
      </c>
      <c r="N1198" s="26">
        <f t="shared" si="1232"/>
        <v>500</v>
      </c>
      <c r="O1198" s="26">
        <f ca="1">IFERROR(__xludf.DUMMYFUNCTION("ROUND(GOOGLEFINANCE(""Currency:EURKZT"")*K1198)"),4259921)</f>
        <v>4259921</v>
      </c>
      <c r="P1198" s="26">
        <f ca="1">IFERROR(__xludf.DUMMYFUNCTION("ROUND(GOOGLEFINANCE(""Currency:EURKZT"")*M1198)"),238785)</f>
        <v>238785</v>
      </c>
      <c r="Q1198" s="26">
        <f ca="1">IFERROR(__xludf.DUMMYFUNCTION("ROUND(GOOGLEFINANCE(""Currency:EURKZT"")*N1198)"),238785)</f>
        <v>238785</v>
      </c>
      <c r="R1198" s="26">
        <f t="shared" ca="1" si="1055"/>
        <v>511191</v>
      </c>
      <c r="S1198" s="26">
        <f t="shared" ca="1" si="1056"/>
        <v>5248682</v>
      </c>
      <c r="T1198" s="26">
        <f ca="1">IFERROR(__xludf.DUMMYFUNCTION("ROUND(GOOGLEFINANCE(""Currency:EURKZT"")*L1198+S1198)"),6058067)</f>
        <v>6058067</v>
      </c>
      <c r="U1198" s="26">
        <f ca="1">IFERROR(__xludf.DUMMYFUNCTION("D1198*GOOGLEFINANCE(""RUBKZT"")*1000/F1198"),7741781.37919497)</f>
        <v>7741781.3791949702</v>
      </c>
      <c r="V1198" s="27">
        <f t="shared" ca="1" si="1057"/>
        <v>0.27792930966180635</v>
      </c>
    </row>
    <row r="1199" spans="1:22" ht="12.75" customHeight="1" x14ac:dyDescent="0.2">
      <c r="A1199" s="6" t="s">
        <v>78</v>
      </c>
      <c r="B1199" s="6" t="s">
        <v>19</v>
      </c>
      <c r="C1199" s="7">
        <v>112261</v>
      </c>
      <c r="D1199" s="8">
        <v>30764.399999999998</v>
      </c>
      <c r="E1199" s="9" t="s">
        <v>16</v>
      </c>
      <c r="F1199" s="23">
        <v>50</v>
      </c>
      <c r="G1199" s="25"/>
      <c r="H1199" s="14">
        <f t="shared" si="1051"/>
        <v>0.55000000000000004</v>
      </c>
      <c r="I1199" s="25">
        <f ca="1">IFERROR(__xludf.DUMMYFUNCTION("ROUND(D1199*GOOGLEFINANCE(""RUBKZT"")*H1199)"),132039)</f>
        <v>132039</v>
      </c>
      <c r="J1199" s="26">
        <f ca="1">IFERROR(__xludf.DUMMYFUNCTION("ROUND(I1199*GOOGLEFINANCE(""KZTEUR""))"),277)</f>
        <v>277</v>
      </c>
      <c r="K1199" s="26">
        <f t="shared" ca="1" si="1052"/>
        <v>5540</v>
      </c>
      <c r="L1199" s="26">
        <f t="shared" ca="1" si="1053"/>
        <v>1052.5999999999999</v>
      </c>
      <c r="M1199" s="26">
        <f t="shared" ref="M1199:N1199" si="1233">M$3</f>
        <v>500</v>
      </c>
      <c r="N1199" s="26">
        <f t="shared" si="1233"/>
        <v>500</v>
      </c>
      <c r="O1199" s="26">
        <f ca="1">IFERROR(__xludf.DUMMYFUNCTION("ROUND(GOOGLEFINANCE(""Currency:EURKZT"")*K1199)"),2645736)</f>
        <v>2645736</v>
      </c>
      <c r="P1199" s="26">
        <f ca="1">IFERROR(__xludf.DUMMYFUNCTION("ROUND(GOOGLEFINANCE(""Currency:EURKZT"")*M1199)"),238785)</f>
        <v>238785</v>
      </c>
      <c r="Q1199" s="26">
        <f ca="1">IFERROR(__xludf.DUMMYFUNCTION("ROUND(GOOGLEFINANCE(""Currency:EURKZT"")*N1199)"),238785)</f>
        <v>238785</v>
      </c>
      <c r="R1199" s="26">
        <f t="shared" ca="1" si="1055"/>
        <v>317488</v>
      </c>
      <c r="S1199" s="26">
        <f t="shared" ca="1" si="1056"/>
        <v>3440794</v>
      </c>
      <c r="T1199" s="26">
        <f ca="1">IFERROR(__xludf.DUMMYFUNCTION("ROUND(GOOGLEFINANCE(""Currency:EURKZT"")*L1199+S1199)"),3943484)</f>
        <v>3943484</v>
      </c>
      <c r="U1199" s="26">
        <f ca="1">IFERROR(__xludf.DUMMYFUNCTION("D1199*GOOGLEFINANCE(""RUBKZT"")*1000/F1199"),4801413.96856137)</f>
        <v>4801413.9685613699</v>
      </c>
      <c r="V1199" s="27">
        <f t="shared" ca="1" si="1057"/>
        <v>0.21755634574943628</v>
      </c>
    </row>
    <row r="1200" spans="1:22" ht="12.75" customHeight="1" x14ac:dyDescent="0.2">
      <c r="A1200" s="6" t="s">
        <v>161</v>
      </c>
      <c r="B1200" s="6" t="s">
        <v>19</v>
      </c>
      <c r="C1200" s="7">
        <v>140003</v>
      </c>
      <c r="D1200" s="8">
        <v>33612</v>
      </c>
      <c r="E1200" s="9" t="s">
        <v>7</v>
      </c>
      <c r="F1200" s="23">
        <v>50</v>
      </c>
      <c r="G1200" s="25"/>
      <c r="H1200" s="14">
        <f t="shared" si="1051"/>
        <v>0.55000000000000004</v>
      </c>
      <c r="I1200" s="25">
        <f ca="1">IFERROR(__xludf.DUMMYFUNCTION("ROUND(D1200*GOOGLEFINANCE(""RUBKZT"")*H1200)"),144261)</f>
        <v>144261</v>
      </c>
      <c r="J1200" s="26">
        <f ca="1">IFERROR(__xludf.DUMMYFUNCTION("ROUND(I1200*GOOGLEFINANCE(""KZTEUR""))"),302)</f>
        <v>302</v>
      </c>
      <c r="K1200" s="26">
        <f t="shared" ca="1" si="1052"/>
        <v>6040</v>
      </c>
      <c r="L1200" s="26">
        <f t="shared" ca="1" si="1053"/>
        <v>1147.5999999999999</v>
      </c>
      <c r="M1200" s="26">
        <f t="shared" ref="M1200:N1200" si="1234">M$3</f>
        <v>500</v>
      </c>
      <c r="N1200" s="26">
        <f t="shared" si="1234"/>
        <v>500</v>
      </c>
      <c r="O1200" s="26">
        <f ca="1">IFERROR(__xludf.DUMMYFUNCTION("ROUND(GOOGLEFINANCE(""Currency:EURKZT"")*K1200)"),2884520)</f>
        <v>2884520</v>
      </c>
      <c r="P1200" s="26">
        <f ca="1">IFERROR(__xludf.DUMMYFUNCTION("ROUND(GOOGLEFINANCE(""Currency:EURKZT"")*M1200)"),238785)</f>
        <v>238785</v>
      </c>
      <c r="Q1200" s="26">
        <f ca="1">IFERROR(__xludf.DUMMYFUNCTION("ROUND(GOOGLEFINANCE(""Currency:EURKZT"")*N1200)"),238785)</f>
        <v>238785</v>
      </c>
      <c r="R1200" s="26">
        <f t="shared" ca="1" si="1055"/>
        <v>346142</v>
      </c>
      <c r="S1200" s="26">
        <f t="shared" ca="1" si="1056"/>
        <v>3708232</v>
      </c>
      <c r="T1200" s="26">
        <f ca="1">IFERROR(__xludf.DUMMYFUNCTION("ROUND(GOOGLEFINANCE(""Currency:EURKZT"")*L1200+S1200)"),4256291)</f>
        <v>4256291</v>
      </c>
      <c r="U1200" s="26">
        <f ca="1">IFERROR(__xludf.DUMMYFUNCTION("D1200*GOOGLEFINANCE(""RUBKZT"")*1000/F1200"),5245840.20202848)</f>
        <v>5245840.2020284804</v>
      </c>
      <c r="V1200" s="27">
        <f t="shared" ca="1" si="1057"/>
        <v>0.23249096502764505</v>
      </c>
    </row>
    <row r="1201" spans="1:22" ht="12.75" customHeight="1" x14ac:dyDescent="0.2">
      <c r="A1201" s="6" t="s">
        <v>162</v>
      </c>
      <c r="B1201" s="6" t="s">
        <v>19</v>
      </c>
      <c r="C1201" s="7">
        <v>140014</v>
      </c>
      <c r="D1201" s="8">
        <v>31990.799999999999</v>
      </c>
      <c r="E1201" s="9" t="s">
        <v>7</v>
      </c>
      <c r="F1201" s="23">
        <v>50</v>
      </c>
      <c r="G1201" s="25"/>
      <c r="H1201" s="14">
        <f t="shared" si="1051"/>
        <v>0.55000000000000004</v>
      </c>
      <c r="I1201" s="25">
        <f ca="1">IFERROR(__xludf.DUMMYFUNCTION("ROUND(D1201*GOOGLEFINANCE(""RUBKZT"")*H1201)"),137303)</f>
        <v>137303</v>
      </c>
      <c r="J1201" s="26">
        <f ca="1">IFERROR(__xludf.DUMMYFUNCTION("ROUND(I1201*GOOGLEFINANCE(""KZTEUR""))"),288)</f>
        <v>288</v>
      </c>
      <c r="K1201" s="26">
        <f t="shared" ca="1" si="1052"/>
        <v>5760</v>
      </c>
      <c r="L1201" s="26">
        <f t="shared" ca="1" si="1053"/>
        <v>1094.4000000000001</v>
      </c>
      <c r="M1201" s="26">
        <f t="shared" ref="M1201:N1201" si="1235">M$3</f>
        <v>500</v>
      </c>
      <c r="N1201" s="26">
        <f t="shared" si="1235"/>
        <v>500</v>
      </c>
      <c r="O1201" s="26">
        <f ca="1">IFERROR(__xludf.DUMMYFUNCTION("ROUND(GOOGLEFINANCE(""Currency:EURKZT"")*K1201)"),2750801)</f>
        <v>2750801</v>
      </c>
      <c r="P1201" s="26">
        <f ca="1">IFERROR(__xludf.DUMMYFUNCTION("ROUND(GOOGLEFINANCE(""Currency:EURKZT"")*M1201)"),238785)</f>
        <v>238785</v>
      </c>
      <c r="Q1201" s="26">
        <f ca="1">IFERROR(__xludf.DUMMYFUNCTION("ROUND(GOOGLEFINANCE(""Currency:EURKZT"")*N1201)"),238785)</f>
        <v>238785</v>
      </c>
      <c r="R1201" s="26">
        <f t="shared" ca="1" si="1055"/>
        <v>330096</v>
      </c>
      <c r="S1201" s="26">
        <f t="shared" ca="1" si="1056"/>
        <v>3558467</v>
      </c>
      <c r="T1201" s="26">
        <f ca="1">IFERROR(__xludf.DUMMYFUNCTION("ROUND(GOOGLEFINANCE(""Currency:EURKZT"")*L1201+S1201)"),4081119)</f>
        <v>4081119</v>
      </c>
      <c r="U1201" s="26">
        <f ca="1">IFERROR(__xludf.DUMMYFUNCTION("D1201*GOOGLEFINANCE(""RUBKZT"")*1000/F1201"),4992818.77707523)</f>
        <v>4992818.7770752301</v>
      </c>
      <c r="V1201" s="27">
        <f t="shared" ca="1" si="1057"/>
        <v>0.22339455847164225</v>
      </c>
    </row>
    <row r="1202" spans="1:22" ht="12.75" customHeight="1" x14ac:dyDescent="0.2">
      <c r="A1202" s="6" t="s">
        <v>20</v>
      </c>
      <c r="B1202" s="6" t="s">
        <v>19</v>
      </c>
      <c r="C1202" s="7">
        <v>140053</v>
      </c>
      <c r="D1202" s="8">
        <v>33567.599999999999</v>
      </c>
      <c r="E1202" s="9" t="s">
        <v>16</v>
      </c>
      <c r="F1202" s="23">
        <v>50</v>
      </c>
      <c r="G1202" s="25"/>
      <c r="H1202" s="14">
        <f t="shared" si="1051"/>
        <v>0.55000000000000004</v>
      </c>
      <c r="I1202" s="25">
        <f ca="1">IFERROR(__xludf.DUMMYFUNCTION("ROUND(D1202*GOOGLEFINANCE(""RUBKZT"")*H1202)"),144070)</f>
        <v>144070</v>
      </c>
      <c r="J1202" s="26">
        <f ca="1">IFERROR(__xludf.DUMMYFUNCTION("ROUND(I1202*GOOGLEFINANCE(""KZTEUR""))"),302)</f>
        <v>302</v>
      </c>
      <c r="K1202" s="26">
        <f t="shared" ca="1" si="1052"/>
        <v>6040</v>
      </c>
      <c r="L1202" s="26">
        <f t="shared" ca="1" si="1053"/>
        <v>1147.5999999999999</v>
      </c>
      <c r="M1202" s="26">
        <f t="shared" ref="M1202:N1202" si="1236">M$3</f>
        <v>500</v>
      </c>
      <c r="N1202" s="26">
        <f t="shared" si="1236"/>
        <v>500</v>
      </c>
      <c r="O1202" s="26">
        <f ca="1">IFERROR(__xludf.DUMMYFUNCTION("ROUND(GOOGLEFINANCE(""Currency:EURKZT"")*K1202)"),2884520)</f>
        <v>2884520</v>
      </c>
      <c r="P1202" s="26">
        <f ca="1">IFERROR(__xludf.DUMMYFUNCTION("ROUND(GOOGLEFINANCE(""Currency:EURKZT"")*M1202)"),238785)</f>
        <v>238785</v>
      </c>
      <c r="Q1202" s="26">
        <f ca="1">IFERROR(__xludf.DUMMYFUNCTION("ROUND(GOOGLEFINANCE(""Currency:EURKZT"")*N1202)"),238785)</f>
        <v>238785</v>
      </c>
      <c r="R1202" s="26">
        <f t="shared" ca="1" si="1055"/>
        <v>346142</v>
      </c>
      <c r="S1202" s="26">
        <f t="shared" ca="1" si="1056"/>
        <v>3708232</v>
      </c>
      <c r="T1202" s="26">
        <f ca="1">IFERROR(__xludf.DUMMYFUNCTION("ROUND(GOOGLEFINANCE(""Currency:EURKZT"")*L1202+S1202)"),4256291)</f>
        <v>4256291</v>
      </c>
      <c r="U1202" s="26">
        <f ca="1">IFERROR(__xludf.DUMMYFUNCTION("D1202*GOOGLEFINANCE(""RUBKZT"")*1000/F1202"),5238910.6737359)</f>
        <v>5238910.6737358999</v>
      </c>
      <c r="V1202" s="27">
        <f t="shared" ca="1" si="1057"/>
        <v>0.23086289770504409</v>
      </c>
    </row>
    <row r="1203" spans="1:22" ht="12.75" customHeight="1" x14ac:dyDescent="0.2">
      <c r="A1203" s="6" t="s">
        <v>165</v>
      </c>
      <c r="B1203" s="6" t="s">
        <v>19</v>
      </c>
      <c r="C1203" s="7">
        <v>140061</v>
      </c>
      <c r="D1203" s="8">
        <v>32253.599999999999</v>
      </c>
      <c r="E1203" s="9" t="s">
        <v>16</v>
      </c>
      <c r="F1203" s="23">
        <v>50</v>
      </c>
      <c r="G1203" s="25"/>
      <c r="H1203" s="14">
        <f t="shared" si="1051"/>
        <v>0.55000000000000004</v>
      </c>
      <c r="I1203" s="25">
        <f ca="1">IFERROR(__xludf.DUMMYFUNCTION("ROUND(D1203*GOOGLEFINANCE(""RUBKZT"")*H1203)"),138430)</f>
        <v>138430</v>
      </c>
      <c r="J1203" s="26">
        <f ca="1">IFERROR(__xludf.DUMMYFUNCTION("ROUND(I1203*GOOGLEFINANCE(""KZTEUR""))"),290)</f>
        <v>290</v>
      </c>
      <c r="K1203" s="26">
        <f t="shared" ca="1" si="1052"/>
        <v>5800</v>
      </c>
      <c r="L1203" s="26">
        <f t="shared" ca="1" si="1053"/>
        <v>1102</v>
      </c>
      <c r="M1203" s="26">
        <f t="shared" ref="M1203:N1203" si="1237">M$3</f>
        <v>500</v>
      </c>
      <c r="N1203" s="26">
        <f t="shared" si="1237"/>
        <v>500</v>
      </c>
      <c r="O1203" s="26">
        <f ca="1">IFERROR(__xludf.DUMMYFUNCTION("ROUND(GOOGLEFINANCE(""Currency:EURKZT"")*K1203)"),2769904)</f>
        <v>2769904</v>
      </c>
      <c r="P1203" s="26">
        <f ca="1">IFERROR(__xludf.DUMMYFUNCTION("ROUND(GOOGLEFINANCE(""Currency:EURKZT"")*M1203)"),238785)</f>
        <v>238785</v>
      </c>
      <c r="Q1203" s="26">
        <f ca="1">IFERROR(__xludf.DUMMYFUNCTION("ROUND(GOOGLEFINANCE(""Currency:EURKZT"")*N1203)"),238785)</f>
        <v>238785</v>
      </c>
      <c r="R1203" s="26">
        <f t="shared" ca="1" si="1055"/>
        <v>332388</v>
      </c>
      <c r="S1203" s="26">
        <f t="shared" ca="1" si="1056"/>
        <v>3579862</v>
      </c>
      <c r="T1203" s="26">
        <f ca="1">IFERROR(__xludf.DUMMYFUNCTION("ROUND(GOOGLEFINANCE(""Currency:EURKZT"")*L1203+S1203)"),4106144)</f>
        <v>4106144</v>
      </c>
      <c r="U1203" s="26">
        <f ca="1">IFERROR(__xludf.DUMMYFUNCTION("D1203*GOOGLEFINANCE(""RUBKZT"")*1000/F1203"),5033834.09318534)</f>
        <v>5033834.0931853401</v>
      </c>
      <c r="V1203" s="27">
        <f t="shared" ca="1" si="1057"/>
        <v>0.22592731603795191</v>
      </c>
    </row>
    <row r="1204" spans="1:22" ht="12.75" customHeight="1" x14ac:dyDescent="0.2">
      <c r="A1204" s="6" t="s">
        <v>168</v>
      </c>
      <c r="B1204" s="6" t="s">
        <v>19</v>
      </c>
      <c r="C1204" s="7">
        <v>140083</v>
      </c>
      <c r="D1204" s="8">
        <v>41929.199999999997</v>
      </c>
      <c r="E1204" s="9" t="s">
        <v>16</v>
      </c>
      <c r="F1204" s="23">
        <v>50</v>
      </c>
      <c r="G1204" s="25"/>
      <c r="H1204" s="14">
        <f t="shared" si="1051"/>
        <v>0.55000000000000004</v>
      </c>
      <c r="I1204" s="25">
        <f ca="1">IFERROR(__xludf.DUMMYFUNCTION("ROUND(D1204*GOOGLEFINANCE(""RUBKZT"")*H1204)"),179958)</f>
        <v>179958</v>
      </c>
      <c r="J1204" s="26">
        <f ca="1">IFERROR(__xludf.DUMMYFUNCTION("ROUND(I1204*GOOGLEFINANCE(""KZTEUR""))"),377)</f>
        <v>377</v>
      </c>
      <c r="K1204" s="26">
        <f t="shared" ca="1" si="1052"/>
        <v>7540</v>
      </c>
      <c r="L1204" s="26">
        <f t="shared" ca="1" si="1053"/>
        <v>1432.6</v>
      </c>
      <c r="M1204" s="26">
        <f t="shared" ref="M1204:N1204" si="1238">M$3</f>
        <v>500</v>
      </c>
      <c r="N1204" s="26">
        <f t="shared" si="1238"/>
        <v>500</v>
      </c>
      <c r="O1204" s="26">
        <f ca="1">IFERROR(__xludf.DUMMYFUNCTION("ROUND(GOOGLEFINANCE(""Currency:EURKZT"")*K1204)"),3600875)</f>
        <v>3600875</v>
      </c>
      <c r="P1204" s="26">
        <f ca="1">IFERROR(__xludf.DUMMYFUNCTION("ROUND(GOOGLEFINANCE(""Currency:EURKZT"")*M1204)"),238785)</f>
        <v>238785</v>
      </c>
      <c r="Q1204" s="26">
        <f ca="1">IFERROR(__xludf.DUMMYFUNCTION("ROUND(GOOGLEFINANCE(""Currency:EURKZT"")*N1204)"),238785)</f>
        <v>238785</v>
      </c>
      <c r="R1204" s="26">
        <f t="shared" ca="1" si="1055"/>
        <v>432105</v>
      </c>
      <c r="S1204" s="26">
        <f t="shared" ca="1" si="1056"/>
        <v>4510550</v>
      </c>
      <c r="T1204" s="26">
        <f ca="1">IFERROR(__xludf.DUMMYFUNCTION("ROUND(GOOGLEFINANCE(""Currency:EURKZT"")*L1204+S1204)"),5194716)</f>
        <v>5194716</v>
      </c>
      <c r="U1204" s="26">
        <f ca="1">IFERROR(__xludf.DUMMYFUNCTION("D1204*GOOGLEFINANCE(""RUBKZT"")*1000/F1204"),6543909.40732156)</f>
        <v>6543909.4073215602</v>
      </c>
      <c r="V1204" s="27">
        <f t="shared" ca="1" si="1057"/>
        <v>0.25972419037374905</v>
      </c>
    </row>
    <row r="1205" spans="1:22" ht="12.75" customHeight="1" x14ac:dyDescent="0.2">
      <c r="A1205" s="6" t="s">
        <v>166</v>
      </c>
      <c r="B1205" s="6" t="s">
        <v>19</v>
      </c>
      <c r="C1205" s="7">
        <v>140087</v>
      </c>
      <c r="D1205" s="8">
        <v>46137.599999999999</v>
      </c>
      <c r="E1205" s="9" t="s">
        <v>16</v>
      </c>
      <c r="F1205" s="23">
        <v>50</v>
      </c>
      <c r="G1205" s="25"/>
      <c r="H1205" s="14">
        <f t="shared" si="1051"/>
        <v>0.55000000000000004</v>
      </c>
      <c r="I1205" s="25">
        <f ca="1">IFERROR(__xludf.DUMMYFUNCTION("ROUND(D1205*GOOGLEFINANCE(""RUBKZT"")*H1205)"),198020)</f>
        <v>198020</v>
      </c>
      <c r="J1205" s="26">
        <f ca="1">IFERROR(__xludf.DUMMYFUNCTION("ROUND(I1205*GOOGLEFINANCE(""KZTEUR""))"),415)</f>
        <v>415</v>
      </c>
      <c r="K1205" s="26">
        <f t="shared" ca="1" si="1052"/>
        <v>8300</v>
      </c>
      <c r="L1205" s="26">
        <f t="shared" ca="1" si="1053"/>
        <v>1577</v>
      </c>
      <c r="M1205" s="26">
        <f t="shared" ref="M1205:N1205" si="1239">M$3</f>
        <v>500</v>
      </c>
      <c r="N1205" s="26">
        <f t="shared" si="1239"/>
        <v>500</v>
      </c>
      <c r="O1205" s="26">
        <f ca="1">IFERROR(__xludf.DUMMYFUNCTION("ROUND(GOOGLEFINANCE(""Currency:EURKZT"")*K1205)"),3963828)</f>
        <v>3963828</v>
      </c>
      <c r="P1205" s="26">
        <f ca="1">IFERROR(__xludf.DUMMYFUNCTION("ROUND(GOOGLEFINANCE(""Currency:EURKZT"")*M1205)"),238785)</f>
        <v>238785</v>
      </c>
      <c r="Q1205" s="26">
        <f ca="1">IFERROR(__xludf.DUMMYFUNCTION("ROUND(GOOGLEFINANCE(""Currency:EURKZT"")*N1205)"),238785)</f>
        <v>238785</v>
      </c>
      <c r="R1205" s="26">
        <f t="shared" ca="1" si="1055"/>
        <v>475659</v>
      </c>
      <c r="S1205" s="26">
        <f t="shared" ca="1" si="1056"/>
        <v>4917057</v>
      </c>
      <c r="T1205" s="26">
        <f ca="1">IFERROR(__xludf.DUMMYFUNCTION("ROUND(GOOGLEFINANCE(""Currency:EURKZT"")*L1205+S1205)"),5670184)</f>
        <v>5670184</v>
      </c>
      <c r="U1205" s="26">
        <f ca="1">IFERROR(__xludf.DUMMYFUNCTION("D1205*GOOGLEFINANCE(""RUBKZT"")*1000/F1205"),7200716.3187287)</f>
        <v>7200716.3187287003</v>
      </c>
      <c r="V1205" s="27">
        <f t="shared" ca="1" si="1057"/>
        <v>0.26992639369881122</v>
      </c>
    </row>
    <row r="1206" spans="1:22" ht="12.75" customHeight="1" x14ac:dyDescent="0.2">
      <c r="A1206" s="6" t="s">
        <v>171</v>
      </c>
      <c r="B1206" s="6" t="s">
        <v>19</v>
      </c>
      <c r="C1206" s="7">
        <v>140189</v>
      </c>
      <c r="D1206" s="8">
        <v>38191.199999999997</v>
      </c>
      <c r="E1206" s="9" t="s">
        <v>16</v>
      </c>
      <c r="F1206" s="23">
        <v>50</v>
      </c>
      <c r="G1206" s="25"/>
      <c r="H1206" s="14">
        <f t="shared" si="1051"/>
        <v>0.55000000000000004</v>
      </c>
      <c r="I1206" s="25">
        <f ca="1">IFERROR(__xludf.DUMMYFUNCTION("ROUND(D1206*GOOGLEFINANCE(""RUBKZT"")*H1206)"),163914)</f>
        <v>163914</v>
      </c>
      <c r="J1206" s="26">
        <f ca="1">IFERROR(__xludf.DUMMYFUNCTION("ROUND(I1206*GOOGLEFINANCE(""KZTEUR""))"),343)</f>
        <v>343</v>
      </c>
      <c r="K1206" s="26">
        <f t="shared" ca="1" si="1052"/>
        <v>6860</v>
      </c>
      <c r="L1206" s="26">
        <f t="shared" ca="1" si="1053"/>
        <v>1303.4000000000001</v>
      </c>
      <c r="M1206" s="26">
        <f t="shared" ref="M1206:N1206" si="1240">M$3</f>
        <v>500</v>
      </c>
      <c r="N1206" s="26">
        <f t="shared" si="1240"/>
        <v>500</v>
      </c>
      <c r="O1206" s="26">
        <f ca="1">IFERROR(__xludf.DUMMYFUNCTION("ROUND(GOOGLEFINANCE(""Currency:EURKZT"")*K1206)"),3276128)</f>
        <v>3276128</v>
      </c>
      <c r="P1206" s="26">
        <f ca="1">IFERROR(__xludf.DUMMYFUNCTION("ROUND(GOOGLEFINANCE(""Currency:EURKZT"")*M1206)"),238785)</f>
        <v>238785</v>
      </c>
      <c r="Q1206" s="26">
        <f ca="1">IFERROR(__xludf.DUMMYFUNCTION("ROUND(GOOGLEFINANCE(""Currency:EURKZT"")*N1206)"),238785)</f>
        <v>238785</v>
      </c>
      <c r="R1206" s="26">
        <f t="shared" ca="1" si="1055"/>
        <v>393135</v>
      </c>
      <c r="S1206" s="26">
        <f t="shared" ca="1" si="1056"/>
        <v>4146833</v>
      </c>
      <c r="T1206" s="26">
        <f ca="1">IFERROR(__xludf.DUMMYFUNCTION("ROUND(GOOGLEFINANCE(""Currency:EURKZT"")*L1206+S1206)"),4769297)</f>
        <v>4769297</v>
      </c>
      <c r="U1206" s="26">
        <f ca="1">IFERROR(__xludf.DUMMYFUNCTION("D1206*GOOGLEFINANCE(""RUBKZT"")*1000/F1206"),5960518.03890604)</f>
        <v>5960518.0389060397</v>
      </c>
      <c r="V1206" s="27">
        <f t="shared" ca="1" si="1057"/>
        <v>0.24976868475711192</v>
      </c>
    </row>
    <row r="1207" spans="1:22" ht="12.75" customHeight="1" x14ac:dyDescent="0.2">
      <c r="A1207" s="6" t="s">
        <v>172</v>
      </c>
      <c r="B1207" s="6" t="s">
        <v>19</v>
      </c>
      <c r="C1207" s="7">
        <v>140201</v>
      </c>
      <c r="D1207" s="8">
        <v>45901.2</v>
      </c>
      <c r="E1207" s="9" t="s">
        <v>16</v>
      </c>
      <c r="F1207" s="23">
        <v>50</v>
      </c>
      <c r="G1207" s="25"/>
      <c r="H1207" s="14">
        <f t="shared" si="1051"/>
        <v>0.55000000000000004</v>
      </c>
      <c r="I1207" s="25">
        <f ca="1">IFERROR(__xludf.DUMMYFUNCTION("ROUND(D1207*GOOGLEFINANCE(""RUBKZT"")*H1207)"),197005)</f>
        <v>197005</v>
      </c>
      <c r="J1207" s="26">
        <f ca="1">IFERROR(__xludf.DUMMYFUNCTION("ROUND(I1207*GOOGLEFINANCE(""KZTEUR""))"),413)</f>
        <v>413</v>
      </c>
      <c r="K1207" s="26">
        <f t="shared" ca="1" si="1052"/>
        <v>8260</v>
      </c>
      <c r="L1207" s="26">
        <f t="shared" ca="1" si="1053"/>
        <v>1569.4</v>
      </c>
      <c r="M1207" s="26">
        <f t="shared" ref="M1207:N1207" si="1241">M$3</f>
        <v>500</v>
      </c>
      <c r="N1207" s="26">
        <f t="shared" si="1241"/>
        <v>500</v>
      </c>
      <c r="O1207" s="26">
        <f ca="1">IFERROR(__xludf.DUMMYFUNCTION("ROUND(GOOGLEFINANCE(""Currency:EURKZT"")*K1207)"),3944725)</f>
        <v>3944725</v>
      </c>
      <c r="P1207" s="26">
        <f ca="1">IFERROR(__xludf.DUMMYFUNCTION("ROUND(GOOGLEFINANCE(""Currency:EURKZT"")*M1207)"),238785)</f>
        <v>238785</v>
      </c>
      <c r="Q1207" s="26">
        <f ca="1">IFERROR(__xludf.DUMMYFUNCTION("ROUND(GOOGLEFINANCE(""Currency:EURKZT"")*N1207)"),238785)</f>
        <v>238785</v>
      </c>
      <c r="R1207" s="26">
        <f t="shared" ca="1" si="1055"/>
        <v>473367</v>
      </c>
      <c r="S1207" s="26">
        <f t="shared" ca="1" si="1056"/>
        <v>4895662</v>
      </c>
      <c r="T1207" s="26">
        <f ca="1">IFERROR(__xludf.DUMMYFUNCTION("ROUND(GOOGLEFINANCE(""Currency:EURKZT"")*L1207+S1207)"),5645160)</f>
        <v>5645160</v>
      </c>
      <c r="U1207" s="26">
        <f ca="1">IFERROR(__xludf.DUMMYFUNCTION("D1207*GOOGLEFINANCE(""RUBKZT"")*1000/F1207"),7163821.26268444)</f>
        <v>7163821.2626844402</v>
      </c>
      <c r="V1207" s="27">
        <f t="shared" ca="1" si="1057"/>
        <v>0.26902005659439948</v>
      </c>
    </row>
    <row r="1208" spans="1:22" ht="12.75" customHeight="1" x14ac:dyDescent="0.2">
      <c r="A1208" s="6" t="s">
        <v>174</v>
      </c>
      <c r="B1208" s="6" t="s">
        <v>19</v>
      </c>
      <c r="C1208" s="7">
        <v>140205</v>
      </c>
      <c r="D1208" s="8">
        <v>71444.399999999994</v>
      </c>
      <c r="E1208" s="9" t="s">
        <v>16</v>
      </c>
      <c r="F1208" s="23">
        <v>50</v>
      </c>
      <c r="G1208" s="25"/>
      <c r="H1208" s="14">
        <f t="shared" si="1051"/>
        <v>0.55000000000000004</v>
      </c>
      <c r="I1208" s="25">
        <f ca="1">IFERROR(__xludf.DUMMYFUNCTION("ROUND(D1208*GOOGLEFINANCE(""RUBKZT"")*H1208)"),306635)</f>
        <v>306635</v>
      </c>
      <c r="J1208" s="26">
        <f ca="1">IFERROR(__xludf.DUMMYFUNCTION("ROUND(I1208*GOOGLEFINANCE(""KZTEUR""))"),642)</f>
        <v>642</v>
      </c>
      <c r="K1208" s="26">
        <f t="shared" ca="1" si="1052"/>
        <v>12840</v>
      </c>
      <c r="L1208" s="26">
        <f t="shared" ca="1" si="1053"/>
        <v>2439.6</v>
      </c>
      <c r="M1208" s="26">
        <f t="shared" ref="M1208:N1208" si="1242">M$3</f>
        <v>500</v>
      </c>
      <c r="N1208" s="26">
        <f t="shared" si="1242"/>
        <v>500</v>
      </c>
      <c r="O1208" s="26">
        <f ca="1">IFERROR(__xludf.DUMMYFUNCTION("ROUND(GOOGLEFINANCE(""Currency:EURKZT"")*K1208)"),6131994)</f>
        <v>6131994</v>
      </c>
      <c r="P1208" s="26">
        <f ca="1">IFERROR(__xludf.DUMMYFUNCTION("ROUND(GOOGLEFINANCE(""Currency:EURKZT"")*M1208)"),238785)</f>
        <v>238785</v>
      </c>
      <c r="Q1208" s="26">
        <f ca="1">IFERROR(__xludf.DUMMYFUNCTION("ROUND(GOOGLEFINANCE(""Currency:EURKZT"")*N1208)"),238785)</f>
        <v>238785</v>
      </c>
      <c r="R1208" s="26">
        <f t="shared" ca="1" si="1055"/>
        <v>735839</v>
      </c>
      <c r="S1208" s="26">
        <f t="shared" ca="1" si="1056"/>
        <v>7345403</v>
      </c>
      <c r="T1208" s="26">
        <f ca="1">IFERROR(__xludf.DUMMYFUNCTION("ROUND(GOOGLEFINANCE(""Currency:EURKZT"")*L1208+S1208)"),8510482)</f>
        <v>8510482</v>
      </c>
      <c r="U1208" s="26">
        <f ca="1">IFERROR(__xludf.DUMMYFUNCTION("D1208*GOOGLEFINANCE(""RUBKZT"")*1000/F1208"),11150360.1609485)</f>
        <v>11150360.1609485</v>
      </c>
      <c r="V1208" s="27">
        <f t="shared" ca="1" si="1057"/>
        <v>0.31019138057615303</v>
      </c>
    </row>
    <row r="1209" spans="1:22" ht="12.75" customHeight="1" x14ac:dyDescent="0.2">
      <c r="A1209" s="6" t="s">
        <v>182</v>
      </c>
      <c r="B1209" s="6" t="s">
        <v>19</v>
      </c>
      <c r="C1209" s="7">
        <v>147893</v>
      </c>
      <c r="D1209" s="8">
        <v>38108.400000000001</v>
      </c>
      <c r="E1209" s="9" t="s">
        <v>16</v>
      </c>
      <c r="F1209" s="23">
        <v>50</v>
      </c>
      <c r="G1209" s="25"/>
      <c r="H1209" s="14">
        <f t="shared" si="1051"/>
        <v>0.55000000000000004</v>
      </c>
      <c r="I1209" s="25">
        <f ca="1">IFERROR(__xludf.DUMMYFUNCTION("ROUND(D1209*GOOGLEFINANCE(""RUBKZT"")*H1209)"),163559)</f>
        <v>163559</v>
      </c>
      <c r="J1209" s="26">
        <f ca="1">IFERROR(__xludf.DUMMYFUNCTION("ROUND(I1209*GOOGLEFINANCE(""KZTEUR""))"),343)</f>
        <v>343</v>
      </c>
      <c r="K1209" s="26">
        <f t="shared" ca="1" si="1052"/>
        <v>6860</v>
      </c>
      <c r="L1209" s="26">
        <f t="shared" ca="1" si="1053"/>
        <v>1303.4000000000001</v>
      </c>
      <c r="M1209" s="26">
        <f t="shared" ref="M1209:N1209" si="1243">M$3</f>
        <v>500</v>
      </c>
      <c r="N1209" s="26">
        <f t="shared" si="1243"/>
        <v>500</v>
      </c>
      <c r="O1209" s="26">
        <f ca="1">IFERROR(__xludf.DUMMYFUNCTION("ROUND(GOOGLEFINANCE(""Currency:EURKZT"")*K1209)"),3276128)</f>
        <v>3276128</v>
      </c>
      <c r="P1209" s="26">
        <f ca="1">IFERROR(__xludf.DUMMYFUNCTION("ROUND(GOOGLEFINANCE(""Currency:EURKZT"")*M1209)"),238785)</f>
        <v>238785</v>
      </c>
      <c r="Q1209" s="26">
        <f ca="1">IFERROR(__xludf.DUMMYFUNCTION("ROUND(GOOGLEFINANCE(""Currency:EURKZT"")*N1209)"),238785)</f>
        <v>238785</v>
      </c>
      <c r="R1209" s="26">
        <f t="shared" ca="1" si="1055"/>
        <v>393135</v>
      </c>
      <c r="S1209" s="26">
        <f t="shared" ca="1" si="1056"/>
        <v>4146833</v>
      </c>
      <c r="T1209" s="26">
        <f ca="1">IFERROR(__xludf.DUMMYFUNCTION("ROUND(GOOGLEFINANCE(""Currency:EURKZT"")*L1209+S1209)"),4769297)</f>
        <v>4769297</v>
      </c>
      <c r="U1209" s="26">
        <f ca="1">IFERROR(__xludf.DUMMYFUNCTION("D1209*GOOGLEFINANCE(""RUBKZT"")*1000/F1209"),5947595.40506313)</f>
        <v>5947595.40506313</v>
      </c>
      <c r="V1209" s="27">
        <f t="shared" ca="1" si="1057"/>
        <v>0.24705913786940298</v>
      </c>
    </row>
    <row r="1210" spans="1:22" ht="12.75" customHeight="1" x14ac:dyDescent="0.2">
      <c r="A1210" s="6" t="s">
        <v>183</v>
      </c>
      <c r="B1210" s="6" t="s">
        <v>19</v>
      </c>
      <c r="C1210" s="7">
        <v>147899</v>
      </c>
      <c r="D1210" s="8">
        <v>48372</v>
      </c>
      <c r="E1210" s="9" t="s">
        <v>16</v>
      </c>
      <c r="F1210" s="23">
        <v>50</v>
      </c>
      <c r="G1210" s="25"/>
      <c r="H1210" s="14">
        <f t="shared" si="1051"/>
        <v>0.55000000000000004</v>
      </c>
      <c r="I1210" s="25">
        <f ca="1">IFERROR(__xludf.DUMMYFUNCTION("ROUND(D1210*GOOGLEFINANCE(""RUBKZT"")*H1210)"),207610)</f>
        <v>207610</v>
      </c>
      <c r="J1210" s="26">
        <f ca="1">IFERROR(__xludf.DUMMYFUNCTION("ROUND(I1210*GOOGLEFINANCE(""KZTEUR""))"),435)</f>
        <v>435</v>
      </c>
      <c r="K1210" s="26">
        <f t="shared" ca="1" si="1052"/>
        <v>8700</v>
      </c>
      <c r="L1210" s="26">
        <f t="shared" ca="1" si="1053"/>
        <v>1653</v>
      </c>
      <c r="M1210" s="26">
        <f t="shared" ref="M1210:N1210" si="1244">M$3</f>
        <v>500</v>
      </c>
      <c r="N1210" s="26">
        <f t="shared" si="1244"/>
        <v>500</v>
      </c>
      <c r="O1210" s="26">
        <f ca="1">IFERROR(__xludf.DUMMYFUNCTION("ROUND(GOOGLEFINANCE(""Currency:EURKZT"")*K1210)"),4154856)</f>
        <v>4154856</v>
      </c>
      <c r="P1210" s="26">
        <f ca="1">IFERROR(__xludf.DUMMYFUNCTION("ROUND(GOOGLEFINANCE(""Currency:EURKZT"")*M1210)"),238785)</f>
        <v>238785</v>
      </c>
      <c r="Q1210" s="26">
        <f ca="1">IFERROR(__xludf.DUMMYFUNCTION("ROUND(GOOGLEFINANCE(""Currency:EURKZT"")*N1210)"),238785)</f>
        <v>238785</v>
      </c>
      <c r="R1210" s="26">
        <f t="shared" ca="1" si="1055"/>
        <v>498583</v>
      </c>
      <c r="S1210" s="26">
        <f t="shared" ca="1" si="1056"/>
        <v>5131009</v>
      </c>
      <c r="T1210" s="26">
        <f ca="1">IFERROR(__xludf.DUMMYFUNCTION("ROUND(GOOGLEFINANCE(""Currency:EURKZT"")*L1210+S1210)"),5920432)</f>
        <v>5920432</v>
      </c>
      <c r="U1210" s="26">
        <f ca="1">IFERROR(__xludf.DUMMYFUNCTION("D1210*GOOGLEFINANCE(""RUBKZT"")*1000/F1210"),7549440.14793888)</f>
        <v>7549440.1479388801</v>
      </c>
      <c r="V1210" s="27">
        <f t="shared" ca="1" si="1057"/>
        <v>0.27515021673061696</v>
      </c>
    </row>
    <row r="1211" spans="1:22" ht="12.75" customHeight="1" x14ac:dyDescent="0.2">
      <c r="A1211" s="6" t="s">
        <v>184</v>
      </c>
      <c r="B1211" s="6" t="s">
        <v>19</v>
      </c>
      <c r="C1211" s="7">
        <v>147903</v>
      </c>
      <c r="D1211" s="8">
        <v>42158.400000000001</v>
      </c>
      <c r="E1211" s="9" t="s">
        <v>16</v>
      </c>
      <c r="F1211" s="23">
        <v>50</v>
      </c>
      <c r="G1211" s="25"/>
      <c r="H1211" s="14">
        <f t="shared" si="1051"/>
        <v>0.55000000000000004</v>
      </c>
      <c r="I1211" s="25">
        <f ca="1">IFERROR(__xludf.DUMMYFUNCTION("ROUND(D1211*GOOGLEFINANCE(""RUBKZT"")*H1211)"),180941)</f>
        <v>180941</v>
      </c>
      <c r="J1211" s="26">
        <f ca="1">IFERROR(__xludf.DUMMYFUNCTION("ROUND(I1211*GOOGLEFINANCE(""KZTEUR""))"),379)</f>
        <v>379</v>
      </c>
      <c r="K1211" s="26">
        <f t="shared" ca="1" si="1052"/>
        <v>7580</v>
      </c>
      <c r="L1211" s="26">
        <f t="shared" ca="1" si="1053"/>
        <v>1440.2</v>
      </c>
      <c r="M1211" s="26">
        <f t="shared" ref="M1211:N1211" si="1245">M$3</f>
        <v>500</v>
      </c>
      <c r="N1211" s="26">
        <f t="shared" si="1245"/>
        <v>500</v>
      </c>
      <c r="O1211" s="26">
        <f ca="1">IFERROR(__xludf.DUMMYFUNCTION("ROUND(GOOGLEFINANCE(""Currency:EURKZT"")*K1211)"),3619978)</f>
        <v>3619978</v>
      </c>
      <c r="P1211" s="26">
        <f ca="1">IFERROR(__xludf.DUMMYFUNCTION("ROUND(GOOGLEFINANCE(""Currency:EURKZT"")*M1211)"),238785)</f>
        <v>238785</v>
      </c>
      <c r="Q1211" s="26">
        <f ca="1">IFERROR(__xludf.DUMMYFUNCTION("ROUND(GOOGLEFINANCE(""Currency:EURKZT"")*N1211)"),238785)</f>
        <v>238785</v>
      </c>
      <c r="R1211" s="26">
        <f t="shared" ca="1" si="1055"/>
        <v>434397</v>
      </c>
      <c r="S1211" s="26">
        <f t="shared" ca="1" si="1056"/>
        <v>4531945</v>
      </c>
      <c r="T1211" s="26">
        <f ca="1">IFERROR(__xludf.DUMMYFUNCTION("ROUND(GOOGLEFINANCE(""Currency:EURKZT"")*L1211+S1211)"),5219741)</f>
        <v>5219741</v>
      </c>
      <c r="U1211" s="26">
        <f ca="1">IFERROR(__xludf.DUMMYFUNCTION("D1211*GOOGLEFINANCE(""RUBKZT"")*1000/F1211"),6579680.75607513)</f>
        <v>6579680.7560751298</v>
      </c>
      <c r="V1211" s="27">
        <f t="shared" ca="1" si="1057"/>
        <v>0.26053778455197868</v>
      </c>
    </row>
    <row r="1212" spans="1:22" ht="12.75" customHeight="1" x14ac:dyDescent="0.2">
      <c r="A1212" s="6" t="s">
        <v>186</v>
      </c>
      <c r="B1212" s="6" t="s">
        <v>19</v>
      </c>
      <c r="C1212" s="7">
        <v>147952</v>
      </c>
      <c r="D1212" s="8">
        <v>30972</v>
      </c>
      <c r="E1212" s="9" t="s">
        <v>16</v>
      </c>
      <c r="F1212" s="23">
        <v>50</v>
      </c>
      <c r="G1212" s="25"/>
      <c r="H1212" s="14">
        <f t="shared" si="1051"/>
        <v>0.55000000000000004</v>
      </c>
      <c r="I1212" s="25">
        <f ca="1">IFERROR(__xludf.DUMMYFUNCTION("ROUND(D1212*GOOGLEFINANCE(""RUBKZT"")*H1212)"),132930)</f>
        <v>132930</v>
      </c>
      <c r="J1212" s="26">
        <f ca="1">IFERROR(__xludf.DUMMYFUNCTION("ROUND(I1212*GOOGLEFINANCE(""KZTEUR""))"),278)</f>
        <v>278</v>
      </c>
      <c r="K1212" s="26">
        <f t="shared" ca="1" si="1052"/>
        <v>5560</v>
      </c>
      <c r="L1212" s="26">
        <f t="shared" ca="1" si="1053"/>
        <v>1056.4000000000001</v>
      </c>
      <c r="M1212" s="26">
        <f t="shared" ref="M1212:N1212" si="1246">M$3</f>
        <v>500</v>
      </c>
      <c r="N1212" s="26">
        <f t="shared" si="1246"/>
        <v>500</v>
      </c>
      <c r="O1212" s="26">
        <f ca="1">IFERROR(__xludf.DUMMYFUNCTION("ROUND(GOOGLEFINANCE(""Currency:EURKZT"")*K1212)"),2655287)</f>
        <v>2655287</v>
      </c>
      <c r="P1212" s="26">
        <f ca="1">IFERROR(__xludf.DUMMYFUNCTION("ROUND(GOOGLEFINANCE(""Currency:EURKZT"")*M1212)"),238785)</f>
        <v>238785</v>
      </c>
      <c r="Q1212" s="26">
        <f ca="1">IFERROR(__xludf.DUMMYFUNCTION("ROUND(GOOGLEFINANCE(""Currency:EURKZT"")*N1212)"),238785)</f>
        <v>238785</v>
      </c>
      <c r="R1212" s="26">
        <f t="shared" ca="1" si="1055"/>
        <v>318634</v>
      </c>
      <c r="S1212" s="26">
        <f t="shared" ca="1" si="1056"/>
        <v>3451491</v>
      </c>
      <c r="T1212" s="26">
        <f ca="1">IFERROR(__xludf.DUMMYFUNCTION("ROUND(GOOGLEFINANCE(""Currency:EURKZT"")*L1212+S1212)"),3955996)</f>
        <v>3955996</v>
      </c>
      <c r="U1212" s="26">
        <f ca="1">IFERROR(__xludf.DUMMYFUNCTION("D1212*GOOGLEFINANCE(""RUBKZT"")*1000/F1212"),4833814.19544288)</f>
        <v>4833814.1954428796</v>
      </c>
      <c r="V1212" s="27">
        <f t="shared" ca="1" si="1057"/>
        <v>0.22189562260499748</v>
      </c>
    </row>
    <row r="1213" spans="1:22" ht="12.75" customHeight="1" x14ac:dyDescent="0.2">
      <c r="A1213" s="6" t="s">
        <v>196</v>
      </c>
      <c r="B1213" s="6" t="s">
        <v>19</v>
      </c>
      <c r="C1213" s="7">
        <v>148310</v>
      </c>
      <c r="D1213" s="8">
        <v>51813.599999999999</v>
      </c>
      <c r="E1213" s="9" t="s">
        <v>16</v>
      </c>
      <c r="F1213" s="23">
        <v>50</v>
      </c>
      <c r="G1213" s="25"/>
      <c r="H1213" s="14">
        <f t="shared" si="1051"/>
        <v>0.55000000000000004</v>
      </c>
      <c r="I1213" s="25">
        <f ca="1">IFERROR(__xludf.DUMMYFUNCTION("ROUND(D1213*GOOGLEFINANCE(""RUBKZT"")*H1213)"),222381)</f>
        <v>222381</v>
      </c>
      <c r="J1213" s="26">
        <f ca="1">IFERROR(__xludf.DUMMYFUNCTION("ROUND(I1213*GOOGLEFINANCE(""KZTEUR""))"),466)</f>
        <v>466</v>
      </c>
      <c r="K1213" s="26">
        <f t="shared" ca="1" si="1052"/>
        <v>9320</v>
      </c>
      <c r="L1213" s="26">
        <f t="shared" ca="1" si="1053"/>
        <v>1770.8</v>
      </c>
      <c r="M1213" s="26">
        <f t="shared" ref="M1213:N1213" si="1247">M$3</f>
        <v>500</v>
      </c>
      <c r="N1213" s="26">
        <f t="shared" si="1247"/>
        <v>500</v>
      </c>
      <c r="O1213" s="26">
        <f ca="1">IFERROR(__xludf.DUMMYFUNCTION("ROUND(GOOGLEFINANCE(""Currency:EURKZT"")*K1213)"),4450949)</f>
        <v>4450949</v>
      </c>
      <c r="P1213" s="26">
        <f ca="1">IFERROR(__xludf.DUMMYFUNCTION("ROUND(GOOGLEFINANCE(""Currency:EURKZT"")*M1213)"),238785)</f>
        <v>238785</v>
      </c>
      <c r="Q1213" s="26">
        <f ca="1">IFERROR(__xludf.DUMMYFUNCTION("ROUND(GOOGLEFINANCE(""Currency:EURKZT"")*N1213)"),238785)</f>
        <v>238785</v>
      </c>
      <c r="R1213" s="26">
        <f t="shared" ca="1" si="1055"/>
        <v>534114</v>
      </c>
      <c r="S1213" s="26">
        <f t="shared" ca="1" si="1056"/>
        <v>5462633</v>
      </c>
      <c r="T1213" s="26">
        <f ca="1">IFERROR(__xludf.DUMMYFUNCTION("ROUND(GOOGLEFINANCE(""Currency:EURKZT"")*L1213+S1213)"),6308313)</f>
        <v>6308313</v>
      </c>
      <c r="U1213" s="26">
        <f ca="1">IFERROR(__xludf.DUMMYFUNCTION("D1213*GOOGLEFINANCE(""RUBKZT"")*1000/F1213"),8086572.23288774)</f>
        <v>8086572.2328877402</v>
      </c>
      <c r="V1213" s="27">
        <f t="shared" ca="1" si="1057"/>
        <v>0.28189140787524974</v>
      </c>
    </row>
    <row r="1214" spans="1:22" ht="12.75" customHeight="1" x14ac:dyDescent="0.2">
      <c r="A1214" s="6" t="s">
        <v>206</v>
      </c>
      <c r="B1214" s="6" t="s">
        <v>19</v>
      </c>
      <c r="C1214" s="7">
        <v>152101</v>
      </c>
      <c r="D1214" s="8">
        <v>42430.799999999996</v>
      </c>
      <c r="E1214" s="9" t="s">
        <v>16</v>
      </c>
      <c r="F1214" s="23">
        <v>50</v>
      </c>
      <c r="G1214" s="25"/>
      <c r="H1214" s="14">
        <f t="shared" si="1051"/>
        <v>0.55000000000000004</v>
      </c>
      <c r="I1214" s="25">
        <f ca="1">IFERROR(__xludf.DUMMYFUNCTION("ROUND(D1214*GOOGLEFINANCE(""RUBKZT"")*H1214)"),182110)</f>
        <v>182110</v>
      </c>
      <c r="J1214" s="26">
        <f ca="1">IFERROR(__xludf.DUMMYFUNCTION("ROUND(I1214*GOOGLEFINANCE(""KZTEUR""))"),381)</f>
        <v>381</v>
      </c>
      <c r="K1214" s="26">
        <f t="shared" ca="1" si="1052"/>
        <v>7620</v>
      </c>
      <c r="L1214" s="26">
        <f t="shared" ca="1" si="1053"/>
        <v>1447.8</v>
      </c>
      <c r="M1214" s="26">
        <f t="shared" ref="M1214:N1214" si="1248">M$3</f>
        <v>500</v>
      </c>
      <c r="N1214" s="26">
        <f t="shared" si="1248"/>
        <v>500</v>
      </c>
      <c r="O1214" s="26">
        <f ca="1">IFERROR(__xludf.DUMMYFUNCTION("ROUND(GOOGLEFINANCE(""Currency:EURKZT"")*K1214)"),3639080)</f>
        <v>3639080</v>
      </c>
      <c r="P1214" s="26">
        <f ca="1">IFERROR(__xludf.DUMMYFUNCTION("ROUND(GOOGLEFINANCE(""Currency:EURKZT"")*M1214)"),238785)</f>
        <v>238785</v>
      </c>
      <c r="Q1214" s="26">
        <f ca="1">IFERROR(__xludf.DUMMYFUNCTION("ROUND(GOOGLEFINANCE(""Currency:EURKZT"")*N1214)"),238785)</f>
        <v>238785</v>
      </c>
      <c r="R1214" s="26">
        <f t="shared" ca="1" si="1055"/>
        <v>436690</v>
      </c>
      <c r="S1214" s="26">
        <f t="shared" ca="1" si="1056"/>
        <v>4553340</v>
      </c>
      <c r="T1214" s="26">
        <f ca="1">IFERROR(__xludf.DUMMYFUNCTION("ROUND(GOOGLEFINANCE(""Currency:EURKZT"")*L1214+S1214)"),5244765)</f>
        <v>5244765</v>
      </c>
      <c r="U1214" s="26">
        <f ca="1">IFERROR(__xludf.DUMMYFUNCTION("D1214*GOOGLEFINANCE(""RUBKZT"")*1000/F1214"),6622194.34857283)</f>
        <v>6622194.3485728297</v>
      </c>
      <c r="V1214" s="27">
        <f t="shared" ca="1" si="1057"/>
        <v>0.26262937397058395</v>
      </c>
    </row>
    <row r="1215" spans="1:22" ht="12.75" customHeight="1" x14ac:dyDescent="0.2">
      <c r="A1215" s="6" t="s">
        <v>211</v>
      </c>
      <c r="B1215" s="6" t="s">
        <v>19</v>
      </c>
      <c r="C1215" s="7">
        <v>155148</v>
      </c>
      <c r="D1215" s="8">
        <v>38108.400000000001</v>
      </c>
      <c r="E1215" s="9" t="s">
        <v>16</v>
      </c>
      <c r="F1215" s="23">
        <v>50</v>
      </c>
      <c r="G1215" s="25"/>
      <c r="H1215" s="14">
        <f t="shared" si="1051"/>
        <v>0.55000000000000004</v>
      </c>
      <c r="I1215" s="25">
        <f ca="1">IFERROR(__xludf.DUMMYFUNCTION("ROUND(D1215*GOOGLEFINANCE(""RUBKZT"")*H1215)"),163559)</f>
        <v>163559</v>
      </c>
      <c r="J1215" s="26">
        <f ca="1">IFERROR(__xludf.DUMMYFUNCTION("ROUND(I1215*GOOGLEFINANCE(""KZTEUR""))"),343)</f>
        <v>343</v>
      </c>
      <c r="K1215" s="26">
        <f t="shared" ca="1" si="1052"/>
        <v>6860</v>
      </c>
      <c r="L1215" s="26">
        <f t="shared" ca="1" si="1053"/>
        <v>1303.4000000000001</v>
      </c>
      <c r="M1215" s="26">
        <f t="shared" ref="M1215:N1215" si="1249">M$3</f>
        <v>500</v>
      </c>
      <c r="N1215" s="26">
        <f t="shared" si="1249"/>
        <v>500</v>
      </c>
      <c r="O1215" s="26">
        <f ca="1">IFERROR(__xludf.DUMMYFUNCTION("ROUND(GOOGLEFINANCE(""Currency:EURKZT"")*K1215)"),3276128)</f>
        <v>3276128</v>
      </c>
      <c r="P1215" s="26">
        <f ca="1">IFERROR(__xludf.DUMMYFUNCTION("ROUND(GOOGLEFINANCE(""Currency:EURKZT"")*M1215)"),238785)</f>
        <v>238785</v>
      </c>
      <c r="Q1215" s="26">
        <f ca="1">IFERROR(__xludf.DUMMYFUNCTION("ROUND(GOOGLEFINANCE(""Currency:EURKZT"")*N1215)"),238785)</f>
        <v>238785</v>
      </c>
      <c r="R1215" s="26">
        <f t="shared" ca="1" si="1055"/>
        <v>393135</v>
      </c>
      <c r="S1215" s="26">
        <f t="shared" ca="1" si="1056"/>
        <v>4146833</v>
      </c>
      <c r="T1215" s="26">
        <f ca="1">IFERROR(__xludf.DUMMYFUNCTION("ROUND(GOOGLEFINANCE(""Currency:EURKZT"")*L1215+S1215)"),4769297)</f>
        <v>4769297</v>
      </c>
      <c r="U1215" s="26">
        <f ca="1">IFERROR(__xludf.DUMMYFUNCTION("D1215*GOOGLEFINANCE(""RUBKZT"")*1000/F1215"),5947595.40506313)</f>
        <v>5947595.40506313</v>
      </c>
      <c r="V1215" s="27">
        <f t="shared" ca="1" si="1057"/>
        <v>0.24705913786940298</v>
      </c>
    </row>
    <row r="1216" spans="1:22" ht="12.75" customHeight="1" x14ac:dyDescent="0.2">
      <c r="A1216" s="6" t="s">
        <v>240</v>
      </c>
      <c r="B1216" s="6" t="s">
        <v>19</v>
      </c>
      <c r="C1216" s="7">
        <v>161328</v>
      </c>
      <c r="D1216" s="8">
        <v>79903.199999999997</v>
      </c>
      <c r="E1216" s="9" t="s">
        <v>16</v>
      </c>
      <c r="F1216" s="23">
        <v>50</v>
      </c>
      <c r="G1216" s="25"/>
      <c r="H1216" s="14">
        <f t="shared" si="1051"/>
        <v>0.55000000000000004</v>
      </c>
      <c r="I1216" s="25">
        <f ca="1">IFERROR(__xludf.DUMMYFUNCTION("ROUND(D1216*GOOGLEFINANCE(""RUBKZT"")*H1216)"),342940)</f>
        <v>342940</v>
      </c>
      <c r="J1216" s="26">
        <f ca="1">IFERROR(__xludf.DUMMYFUNCTION("ROUND(I1216*GOOGLEFINANCE(""KZTEUR""))"),718)</f>
        <v>718</v>
      </c>
      <c r="K1216" s="26">
        <f t="shared" ca="1" si="1052"/>
        <v>14360</v>
      </c>
      <c r="L1216" s="26">
        <f t="shared" ca="1" si="1053"/>
        <v>2728.4</v>
      </c>
      <c r="M1216" s="26">
        <f t="shared" ref="M1216:N1216" si="1250">M$3</f>
        <v>500</v>
      </c>
      <c r="N1216" s="26">
        <f t="shared" si="1250"/>
        <v>500</v>
      </c>
      <c r="O1216" s="26">
        <f ca="1">IFERROR(__xludf.DUMMYFUNCTION("ROUND(GOOGLEFINANCE(""Currency:EURKZT"")*K1216)"),6857900)</f>
        <v>6857900</v>
      </c>
      <c r="P1216" s="26">
        <f ca="1">IFERROR(__xludf.DUMMYFUNCTION("ROUND(GOOGLEFINANCE(""Currency:EURKZT"")*M1216)"),238785)</f>
        <v>238785</v>
      </c>
      <c r="Q1216" s="26">
        <f ca="1">IFERROR(__xludf.DUMMYFUNCTION("ROUND(GOOGLEFINANCE(""Currency:EURKZT"")*N1216)"),238785)</f>
        <v>238785</v>
      </c>
      <c r="R1216" s="26">
        <f t="shared" ca="1" si="1055"/>
        <v>822948</v>
      </c>
      <c r="S1216" s="26">
        <f t="shared" ca="1" si="1056"/>
        <v>8158418</v>
      </c>
      <c r="T1216" s="26">
        <f ca="1">IFERROR(__xludf.DUMMYFUNCTION("ROUND(GOOGLEFINANCE(""Currency:EURKZT"")*L1216+S1216)"),9461419)</f>
        <v>9461419</v>
      </c>
      <c r="U1216" s="26">
        <f ca="1">IFERROR(__xludf.DUMMYFUNCTION("D1216*GOOGLEFINANCE(""RUBKZT"")*1000/F1216"),12470528.9429585)</f>
        <v>12470528.9429585</v>
      </c>
      <c r="V1216" s="27">
        <f t="shared" ca="1" si="1057"/>
        <v>0.31804002580992347</v>
      </c>
    </row>
    <row r="1217" spans="1:22" ht="12.75" customHeight="1" x14ac:dyDescent="0.2">
      <c r="A1217" s="6" t="s">
        <v>238</v>
      </c>
      <c r="B1217" s="6" t="s">
        <v>19</v>
      </c>
      <c r="C1217" s="7">
        <v>161405</v>
      </c>
      <c r="D1217" s="8">
        <v>80862</v>
      </c>
      <c r="E1217" s="9" t="s">
        <v>16</v>
      </c>
      <c r="F1217" s="23">
        <v>50</v>
      </c>
      <c r="G1217" s="25"/>
      <c r="H1217" s="14">
        <f t="shared" si="1051"/>
        <v>0.55000000000000004</v>
      </c>
      <c r="I1217" s="25">
        <f ca="1">IFERROR(__xludf.DUMMYFUNCTION("ROUND(D1217*GOOGLEFINANCE(""RUBKZT"")*H1217)"),347055)</f>
        <v>347055</v>
      </c>
      <c r="J1217" s="26">
        <f ca="1">IFERROR(__xludf.DUMMYFUNCTION("ROUND(I1217*GOOGLEFINANCE(""KZTEUR""))"),727)</f>
        <v>727</v>
      </c>
      <c r="K1217" s="26">
        <f t="shared" ca="1" si="1052"/>
        <v>14540</v>
      </c>
      <c r="L1217" s="26">
        <f t="shared" ca="1" si="1053"/>
        <v>2762.6</v>
      </c>
      <c r="M1217" s="26">
        <f t="shared" ref="M1217:N1217" si="1251">M$3</f>
        <v>500</v>
      </c>
      <c r="N1217" s="26">
        <f t="shared" si="1251"/>
        <v>500</v>
      </c>
      <c r="O1217" s="26">
        <f ca="1">IFERROR(__xludf.DUMMYFUNCTION("ROUND(GOOGLEFINANCE(""Currency:EURKZT"")*K1217)"),6943862)</f>
        <v>6943862</v>
      </c>
      <c r="P1217" s="26">
        <f ca="1">IFERROR(__xludf.DUMMYFUNCTION("ROUND(GOOGLEFINANCE(""Currency:EURKZT"")*M1217)"),238785)</f>
        <v>238785</v>
      </c>
      <c r="Q1217" s="26">
        <f ca="1">IFERROR(__xludf.DUMMYFUNCTION("ROUND(GOOGLEFINANCE(""Currency:EURKZT"")*N1217)"),238785)</f>
        <v>238785</v>
      </c>
      <c r="R1217" s="26">
        <f t="shared" ca="1" si="1055"/>
        <v>833263</v>
      </c>
      <c r="S1217" s="26">
        <f t="shared" ca="1" si="1056"/>
        <v>8254695</v>
      </c>
      <c r="T1217" s="26">
        <f ca="1">IFERROR(__xludf.DUMMYFUNCTION("ROUND(GOOGLEFINANCE(""Currency:EURKZT"")*L1217+S1217)"),9574029)</f>
        <v>9574029</v>
      </c>
      <c r="U1217" s="26">
        <f ca="1">IFERROR(__xludf.DUMMYFUNCTION("D1217*GOOGLEFINANCE(""RUBKZT"")*1000/F1217"),12620169.2971684)</f>
        <v>12620169.2971684</v>
      </c>
      <c r="V1217" s="27">
        <f t="shared" ca="1" si="1057"/>
        <v>0.31816702217722553</v>
      </c>
    </row>
    <row r="1218" spans="1:22" ht="12.75" customHeight="1" x14ac:dyDescent="0.2">
      <c r="A1218" s="6" t="s">
        <v>281</v>
      </c>
      <c r="B1218" s="6" t="s">
        <v>19</v>
      </c>
      <c r="C1218" s="7">
        <v>179302</v>
      </c>
      <c r="D1218" s="8">
        <v>36816</v>
      </c>
      <c r="E1218" s="9" t="s">
        <v>16</v>
      </c>
      <c r="F1218" s="23">
        <v>50</v>
      </c>
      <c r="G1218" s="25"/>
      <c r="H1218" s="14">
        <f t="shared" si="1051"/>
        <v>0.55000000000000004</v>
      </c>
      <c r="I1218" s="25">
        <f ca="1">IFERROR(__xludf.DUMMYFUNCTION("ROUND(D1218*GOOGLEFINANCE(""RUBKZT"")*H1218)"),158012)</f>
        <v>158012</v>
      </c>
      <c r="J1218" s="26">
        <f ca="1">IFERROR(__xludf.DUMMYFUNCTION("ROUND(I1218*GOOGLEFINANCE(""KZTEUR""))"),331)</f>
        <v>331</v>
      </c>
      <c r="K1218" s="26">
        <f t="shared" ca="1" si="1052"/>
        <v>6620</v>
      </c>
      <c r="L1218" s="26">
        <f t="shared" ca="1" si="1053"/>
        <v>1257.8</v>
      </c>
      <c r="M1218" s="26">
        <f t="shared" ref="M1218:N1218" si="1252">M$3</f>
        <v>500</v>
      </c>
      <c r="N1218" s="26">
        <f t="shared" si="1252"/>
        <v>500</v>
      </c>
      <c r="O1218" s="26">
        <f ca="1">IFERROR(__xludf.DUMMYFUNCTION("ROUND(GOOGLEFINANCE(""Currency:EURKZT"")*K1218)"),3161511)</f>
        <v>3161511</v>
      </c>
      <c r="P1218" s="26">
        <f ca="1">IFERROR(__xludf.DUMMYFUNCTION("ROUND(GOOGLEFINANCE(""Currency:EURKZT"")*M1218)"),238785)</f>
        <v>238785</v>
      </c>
      <c r="Q1218" s="26">
        <f ca="1">IFERROR(__xludf.DUMMYFUNCTION("ROUND(GOOGLEFINANCE(""Currency:EURKZT"")*N1218)"),238785)</f>
        <v>238785</v>
      </c>
      <c r="R1218" s="26">
        <f t="shared" ca="1" si="1055"/>
        <v>379381</v>
      </c>
      <c r="S1218" s="26">
        <f t="shared" ca="1" si="1056"/>
        <v>4018462</v>
      </c>
      <c r="T1218" s="26">
        <f ca="1">IFERROR(__xludf.DUMMYFUNCTION("ROUND(GOOGLEFINANCE(""Currency:EURKZT"")*L1218+S1218)"),4619149)</f>
        <v>4619149</v>
      </c>
      <c r="U1218" s="26">
        <f ca="1">IFERROR(__xludf.DUMMYFUNCTION("D1218*GOOGLEFINANCE(""RUBKZT"")*1000/F1218"),5745889.94638464)</f>
        <v>5745889.9463846404</v>
      </c>
      <c r="V1218" s="27">
        <f t="shared" ca="1" si="1057"/>
        <v>0.24392825310130511</v>
      </c>
    </row>
    <row r="1219" spans="1:22" ht="12.75" customHeight="1" x14ac:dyDescent="0.2">
      <c r="A1219" s="6" t="s">
        <v>289</v>
      </c>
      <c r="B1219" s="6" t="s">
        <v>19</v>
      </c>
      <c r="C1219" s="7">
        <v>182241</v>
      </c>
      <c r="D1219" s="8">
        <v>38103.599999999999</v>
      </c>
      <c r="E1219" s="9" t="s">
        <v>16</v>
      </c>
      <c r="F1219" s="23">
        <v>50</v>
      </c>
      <c r="G1219" s="25"/>
      <c r="H1219" s="14">
        <f t="shared" si="1051"/>
        <v>0.55000000000000004</v>
      </c>
      <c r="I1219" s="25">
        <f ca="1">IFERROR(__xludf.DUMMYFUNCTION("ROUND(D1219*GOOGLEFINANCE(""RUBKZT"")*H1219)"),163538)</f>
        <v>163538</v>
      </c>
      <c r="J1219" s="26">
        <f ca="1">IFERROR(__xludf.DUMMYFUNCTION("ROUND(I1219*GOOGLEFINANCE(""KZTEUR""))"),343)</f>
        <v>343</v>
      </c>
      <c r="K1219" s="26">
        <f t="shared" ca="1" si="1052"/>
        <v>6860</v>
      </c>
      <c r="L1219" s="26">
        <f t="shared" ca="1" si="1053"/>
        <v>1303.4000000000001</v>
      </c>
      <c r="M1219" s="26">
        <f t="shared" ref="M1219:N1219" si="1253">M$3</f>
        <v>500</v>
      </c>
      <c r="N1219" s="26">
        <f t="shared" si="1253"/>
        <v>500</v>
      </c>
      <c r="O1219" s="26">
        <f ca="1">IFERROR(__xludf.DUMMYFUNCTION("ROUND(GOOGLEFINANCE(""Currency:EURKZT"")*K1219)"),3276128)</f>
        <v>3276128</v>
      </c>
      <c r="P1219" s="26">
        <f ca="1">IFERROR(__xludf.DUMMYFUNCTION("ROUND(GOOGLEFINANCE(""Currency:EURKZT"")*M1219)"),238785)</f>
        <v>238785</v>
      </c>
      <c r="Q1219" s="26">
        <f ca="1">IFERROR(__xludf.DUMMYFUNCTION("ROUND(GOOGLEFINANCE(""Currency:EURKZT"")*N1219)"),238785)</f>
        <v>238785</v>
      </c>
      <c r="R1219" s="26">
        <f t="shared" ca="1" si="1055"/>
        <v>393135</v>
      </c>
      <c r="S1219" s="26">
        <f t="shared" ca="1" si="1056"/>
        <v>4146833</v>
      </c>
      <c r="T1219" s="26">
        <f ca="1">IFERROR(__xludf.DUMMYFUNCTION("ROUND(GOOGLEFINANCE(""Currency:EURKZT"")*L1219+S1219)"),4769297)</f>
        <v>4769297</v>
      </c>
      <c r="U1219" s="26">
        <f ca="1">IFERROR(__xludf.DUMMYFUNCTION("D1219*GOOGLEFINANCE(""RUBKZT"")*1000/F1219"),5946846.26686934)</f>
        <v>5946846.2668693401</v>
      </c>
      <c r="V1219" s="27">
        <f t="shared" ca="1" si="1057"/>
        <v>0.24690206268750722</v>
      </c>
    </row>
    <row r="1220" spans="1:22" ht="12.75" customHeight="1" x14ac:dyDescent="0.2">
      <c r="A1220" s="6" t="s">
        <v>258</v>
      </c>
      <c r="B1220" s="6" t="s">
        <v>19</v>
      </c>
      <c r="C1220" s="7">
        <v>183620</v>
      </c>
      <c r="D1220" s="8">
        <v>40105.199999999997</v>
      </c>
      <c r="E1220" s="9" t="s">
        <v>16</v>
      </c>
      <c r="F1220" s="23">
        <v>50</v>
      </c>
      <c r="G1220" s="25"/>
      <c r="H1220" s="14">
        <f t="shared" si="1051"/>
        <v>0.55000000000000004</v>
      </c>
      <c r="I1220" s="25">
        <f ca="1">IFERROR(__xludf.DUMMYFUNCTION("ROUND(D1220*GOOGLEFINANCE(""RUBKZT"")*H1220)"),172129)</f>
        <v>172129</v>
      </c>
      <c r="J1220" s="26">
        <f ca="1">IFERROR(__xludf.DUMMYFUNCTION("ROUND(I1220*GOOGLEFINANCE(""KZTEUR""))"),360)</f>
        <v>360</v>
      </c>
      <c r="K1220" s="26">
        <f t="shared" ca="1" si="1052"/>
        <v>7200</v>
      </c>
      <c r="L1220" s="26">
        <f t="shared" ca="1" si="1053"/>
        <v>1368</v>
      </c>
      <c r="M1220" s="26">
        <f t="shared" ref="M1220:N1220" si="1254">M$3</f>
        <v>500</v>
      </c>
      <c r="N1220" s="26">
        <f t="shared" si="1254"/>
        <v>500</v>
      </c>
      <c r="O1220" s="26">
        <f ca="1">IFERROR(__xludf.DUMMYFUNCTION("ROUND(GOOGLEFINANCE(""Currency:EURKZT"")*K1220)"),3438501)</f>
        <v>3438501</v>
      </c>
      <c r="P1220" s="26">
        <f ca="1">IFERROR(__xludf.DUMMYFUNCTION("ROUND(GOOGLEFINANCE(""Currency:EURKZT"")*M1220)"),238785)</f>
        <v>238785</v>
      </c>
      <c r="Q1220" s="26">
        <f ca="1">IFERROR(__xludf.DUMMYFUNCTION("ROUND(GOOGLEFINANCE(""Currency:EURKZT"")*N1220)"),238785)</f>
        <v>238785</v>
      </c>
      <c r="R1220" s="26">
        <f t="shared" ca="1" si="1055"/>
        <v>412620</v>
      </c>
      <c r="S1220" s="26">
        <f t="shared" ca="1" si="1056"/>
        <v>4328691</v>
      </c>
      <c r="T1220" s="26">
        <f ca="1">IFERROR(__xludf.DUMMYFUNCTION("ROUND(GOOGLEFINANCE(""Currency:EURKZT"")*L1220+S1220)"),4982006)</f>
        <v>4982006</v>
      </c>
      <c r="U1220" s="26">
        <f ca="1">IFERROR(__xludf.DUMMYFUNCTION("D1220*GOOGLEFINANCE(""RUBKZT"")*1000/F1220"),6259236.8936806)</f>
        <v>6259236.8936806004</v>
      </c>
      <c r="V1220" s="27">
        <f t="shared" ca="1" si="1057"/>
        <v>0.25636879876913043</v>
      </c>
    </row>
    <row r="1221" spans="1:22" ht="12.75" customHeight="1" x14ac:dyDescent="0.2">
      <c r="A1221" s="6" t="s">
        <v>316</v>
      </c>
      <c r="B1221" s="6" t="s">
        <v>19</v>
      </c>
      <c r="C1221" s="7">
        <v>188253</v>
      </c>
      <c r="D1221" s="8">
        <v>77432.399999999994</v>
      </c>
      <c r="E1221" s="9" t="s">
        <v>16</v>
      </c>
      <c r="F1221" s="23">
        <v>50</v>
      </c>
      <c r="G1221" s="25"/>
      <c r="H1221" s="14">
        <f t="shared" si="1051"/>
        <v>0.55000000000000004</v>
      </c>
      <c r="I1221" s="25">
        <f ca="1">IFERROR(__xludf.DUMMYFUNCTION("ROUND(D1221*GOOGLEFINANCE(""RUBKZT"")*H1221)"),332335)</f>
        <v>332335</v>
      </c>
      <c r="J1221" s="26">
        <f ca="1">IFERROR(__xludf.DUMMYFUNCTION("ROUND(I1221*GOOGLEFINANCE(""KZTEUR""))"),696)</f>
        <v>696</v>
      </c>
      <c r="K1221" s="26">
        <f t="shared" ca="1" si="1052"/>
        <v>13920</v>
      </c>
      <c r="L1221" s="26">
        <f t="shared" ca="1" si="1053"/>
        <v>2644.8</v>
      </c>
      <c r="M1221" s="26">
        <f t="shared" ref="M1221:N1221" si="1255">M$3</f>
        <v>500</v>
      </c>
      <c r="N1221" s="26">
        <f t="shared" si="1255"/>
        <v>500</v>
      </c>
      <c r="O1221" s="26">
        <f ca="1">IFERROR(__xludf.DUMMYFUNCTION("ROUND(GOOGLEFINANCE(""Currency:EURKZT"")*K1221)"),6647769)</f>
        <v>6647769</v>
      </c>
      <c r="P1221" s="26">
        <f ca="1">IFERROR(__xludf.DUMMYFUNCTION("ROUND(GOOGLEFINANCE(""Currency:EURKZT"")*M1221)"),238785)</f>
        <v>238785</v>
      </c>
      <c r="Q1221" s="26">
        <f ca="1">IFERROR(__xludf.DUMMYFUNCTION("ROUND(GOOGLEFINANCE(""Currency:EURKZT"")*N1221)"),238785)</f>
        <v>238785</v>
      </c>
      <c r="R1221" s="26">
        <f t="shared" ca="1" si="1055"/>
        <v>797732</v>
      </c>
      <c r="S1221" s="26">
        <f t="shared" ca="1" si="1056"/>
        <v>7923071</v>
      </c>
      <c r="T1221" s="26">
        <f ca="1">IFERROR(__xludf.DUMMYFUNCTION("ROUND(GOOGLEFINANCE(""Currency:EURKZT"")*L1221+S1221)"),9186147)</f>
        <v>9186147</v>
      </c>
      <c r="U1221" s="26">
        <f ca="1">IFERROR(__xludf.DUMMYFUNCTION("D1221*GOOGLEFINANCE(""RUBKZT"")*1000/F1221"),12084910.057704)</f>
        <v>12084910.057704</v>
      </c>
      <c r="V1221" s="27">
        <f t="shared" ca="1" si="1057"/>
        <v>0.31555809608794633</v>
      </c>
    </row>
    <row r="1222" spans="1:22" ht="12.75" customHeight="1" x14ac:dyDescent="0.2">
      <c r="A1222" s="6" t="s">
        <v>321</v>
      </c>
      <c r="B1222" s="6" t="s">
        <v>19</v>
      </c>
      <c r="C1222" s="7">
        <v>188519</v>
      </c>
      <c r="D1222" s="8">
        <v>74371.199999999997</v>
      </c>
      <c r="E1222" s="9" t="s">
        <v>16</v>
      </c>
      <c r="F1222" s="23">
        <v>50</v>
      </c>
      <c r="G1222" s="25"/>
      <c r="H1222" s="14">
        <f t="shared" si="1051"/>
        <v>0.55000000000000004</v>
      </c>
      <c r="I1222" s="25">
        <f ca="1">IFERROR(__xludf.DUMMYFUNCTION("ROUND(D1222*GOOGLEFINANCE(""RUBKZT"")*H1222)"),319197)</f>
        <v>319197</v>
      </c>
      <c r="J1222" s="26">
        <f ca="1">IFERROR(__xludf.DUMMYFUNCTION("ROUND(I1222*GOOGLEFINANCE(""KZTEUR""))"),669)</f>
        <v>669</v>
      </c>
      <c r="K1222" s="26">
        <f t="shared" ca="1" si="1052"/>
        <v>13380</v>
      </c>
      <c r="L1222" s="26">
        <f t="shared" ca="1" si="1053"/>
        <v>2542.1999999999998</v>
      </c>
      <c r="M1222" s="26">
        <f t="shared" ref="M1222:N1222" si="1256">M$3</f>
        <v>500</v>
      </c>
      <c r="N1222" s="26">
        <f t="shared" si="1256"/>
        <v>500</v>
      </c>
      <c r="O1222" s="26">
        <f ca="1">IFERROR(__xludf.DUMMYFUNCTION("ROUND(GOOGLEFINANCE(""Currency:EURKZT"")*K1222)"),6389881)</f>
        <v>6389881</v>
      </c>
      <c r="P1222" s="26">
        <f ca="1">IFERROR(__xludf.DUMMYFUNCTION("ROUND(GOOGLEFINANCE(""Currency:EURKZT"")*M1222)"),238785)</f>
        <v>238785</v>
      </c>
      <c r="Q1222" s="26">
        <f ca="1">IFERROR(__xludf.DUMMYFUNCTION("ROUND(GOOGLEFINANCE(""Currency:EURKZT"")*N1222)"),238785)</f>
        <v>238785</v>
      </c>
      <c r="R1222" s="26">
        <f t="shared" ca="1" si="1055"/>
        <v>766786</v>
      </c>
      <c r="S1222" s="26">
        <f t="shared" ca="1" si="1056"/>
        <v>7634237</v>
      </c>
      <c r="T1222" s="26">
        <f ca="1">IFERROR(__xludf.DUMMYFUNCTION("ROUND(GOOGLEFINANCE(""Currency:EURKZT"")*L1222+S1222)"),8848314)</f>
        <v>8848314</v>
      </c>
      <c r="U1222" s="26">
        <f ca="1">IFERROR(__xludf.DUMMYFUNCTION("D1222*GOOGLEFINANCE(""RUBKZT"")*1000/F1222"),11607147.1746132)</f>
        <v>11607147.1746132</v>
      </c>
      <c r="V1222" s="27">
        <f t="shared" ca="1" si="1057"/>
        <v>0.31179196111408342</v>
      </c>
    </row>
    <row r="1223" spans="1:22" ht="12.75" customHeight="1" x14ac:dyDescent="0.2">
      <c r="A1223" s="6" t="s">
        <v>322</v>
      </c>
      <c r="B1223" s="6" t="s">
        <v>19</v>
      </c>
      <c r="C1223" s="7">
        <v>188581</v>
      </c>
      <c r="D1223" s="8">
        <v>66813.599999999991</v>
      </c>
      <c r="E1223" s="9" t="s">
        <v>16</v>
      </c>
      <c r="F1223" s="23">
        <v>50</v>
      </c>
      <c r="G1223" s="25"/>
      <c r="H1223" s="14">
        <f t="shared" si="1051"/>
        <v>0.55000000000000004</v>
      </c>
      <c r="I1223" s="25">
        <f ca="1">IFERROR(__xludf.DUMMYFUNCTION("ROUND(D1223*GOOGLEFINANCE(""RUBKZT"")*H1223)"),286760)</f>
        <v>286760</v>
      </c>
      <c r="J1223" s="26">
        <f ca="1">IFERROR(__xludf.DUMMYFUNCTION("ROUND(I1223*GOOGLEFINANCE(""KZTEUR""))"),601)</f>
        <v>601</v>
      </c>
      <c r="K1223" s="26">
        <f t="shared" ca="1" si="1052"/>
        <v>12020</v>
      </c>
      <c r="L1223" s="26">
        <f t="shared" ca="1" si="1053"/>
        <v>2283.8000000000002</v>
      </c>
      <c r="M1223" s="26">
        <f t="shared" ref="M1223:N1223" si="1257">M$3</f>
        <v>500</v>
      </c>
      <c r="N1223" s="26">
        <f t="shared" si="1257"/>
        <v>500</v>
      </c>
      <c r="O1223" s="26">
        <f ca="1">IFERROR(__xludf.DUMMYFUNCTION("ROUND(GOOGLEFINANCE(""Currency:EURKZT"")*K1223)"),5740387)</f>
        <v>5740387</v>
      </c>
      <c r="P1223" s="26">
        <f ca="1">IFERROR(__xludf.DUMMYFUNCTION("ROUND(GOOGLEFINANCE(""Currency:EURKZT"")*M1223)"),238785)</f>
        <v>238785</v>
      </c>
      <c r="Q1223" s="26">
        <f ca="1">IFERROR(__xludf.DUMMYFUNCTION("ROUND(GOOGLEFINANCE(""Currency:EURKZT"")*N1223)"),238785)</f>
        <v>238785</v>
      </c>
      <c r="R1223" s="26">
        <f t="shared" ca="1" si="1055"/>
        <v>688846</v>
      </c>
      <c r="S1223" s="26">
        <f t="shared" ca="1" si="1056"/>
        <v>6906803</v>
      </c>
      <c r="T1223" s="26">
        <f ca="1">IFERROR(__xludf.DUMMYFUNCTION("ROUND(GOOGLEFINANCE(""Currency:EURKZT"")*L1223+S1223)"),7997476)</f>
        <v>7997476</v>
      </c>
      <c r="U1223" s="26">
        <f ca="1">IFERROR(__xludf.DUMMYFUNCTION("D1223*GOOGLEFINANCE(""RUBKZT"")*1000/F1223"),10427629.0884877)</f>
        <v>10427629.0884877</v>
      </c>
      <c r="V1223" s="27">
        <f t="shared" ca="1" si="1057"/>
        <v>0.3038650054701883</v>
      </c>
    </row>
    <row r="1224" spans="1:22" ht="12.75" customHeight="1" x14ac:dyDescent="0.2">
      <c r="A1224" s="6" t="s">
        <v>376</v>
      </c>
      <c r="B1224" s="6" t="s">
        <v>19</v>
      </c>
      <c r="C1224" s="7">
        <v>197277</v>
      </c>
      <c r="D1224" s="8">
        <v>41437.199999999997</v>
      </c>
      <c r="E1224" s="9" t="s">
        <v>16</v>
      </c>
      <c r="F1224" s="23">
        <v>50</v>
      </c>
      <c r="G1224" s="25"/>
      <c r="H1224" s="14">
        <f t="shared" si="1051"/>
        <v>0.55000000000000004</v>
      </c>
      <c r="I1224" s="25">
        <f ca="1">IFERROR(__xludf.DUMMYFUNCTION("ROUND(D1224*GOOGLEFINANCE(""RUBKZT"")*H1224)"),177846)</f>
        <v>177846</v>
      </c>
      <c r="J1224" s="26">
        <f ca="1">IFERROR(__xludf.DUMMYFUNCTION("ROUND(I1224*GOOGLEFINANCE(""KZTEUR""))"),372)</f>
        <v>372</v>
      </c>
      <c r="K1224" s="26">
        <f t="shared" ca="1" si="1052"/>
        <v>7440</v>
      </c>
      <c r="L1224" s="26">
        <f t="shared" ca="1" si="1053"/>
        <v>1413.6</v>
      </c>
      <c r="M1224" s="26">
        <f t="shared" ref="M1224:N1224" si="1258">M$3</f>
        <v>500</v>
      </c>
      <c r="N1224" s="26">
        <f t="shared" si="1258"/>
        <v>500</v>
      </c>
      <c r="O1224" s="26">
        <f ca="1">IFERROR(__xludf.DUMMYFUNCTION("ROUND(GOOGLEFINANCE(""Currency:EURKZT"")*K1224)"),3553118)</f>
        <v>3553118</v>
      </c>
      <c r="P1224" s="26">
        <f ca="1">IFERROR(__xludf.DUMMYFUNCTION("ROUND(GOOGLEFINANCE(""Currency:EURKZT"")*M1224)"),238785)</f>
        <v>238785</v>
      </c>
      <c r="Q1224" s="26">
        <f ca="1">IFERROR(__xludf.DUMMYFUNCTION("ROUND(GOOGLEFINANCE(""Currency:EURKZT"")*N1224)"),238785)</f>
        <v>238785</v>
      </c>
      <c r="R1224" s="26">
        <f t="shared" ca="1" si="1055"/>
        <v>426374</v>
      </c>
      <c r="S1224" s="26">
        <f t="shared" ca="1" si="1056"/>
        <v>4457062</v>
      </c>
      <c r="T1224" s="26">
        <f ca="1">IFERROR(__xludf.DUMMYFUNCTION("ROUND(GOOGLEFINANCE(""Currency:EURKZT"")*L1224+S1224)"),5132154)</f>
        <v>5132154</v>
      </c>
      <c r="U1224" s="26">
        <f ca="1">IFERROR(__xludf.DUMMYFUNCTION("D1224*GOOGLEFINANCE(""RUBKZT"")*1000/F1224"),6467122.74245788)</f>
        <v>6467122.7424578797</v>
      </c>
      <c r="V1224" s="27">
        <f t="shared" ca="1" si="1057"/>
        <v>0.26011860564937833</v>
      </c>
    </row>
    <row r="1225" spans="1:22" ht="12.75" customHeight="1" x14ac:dyDescent="0.2">
      <c r="A1225" s="6" t="s">
        <v>391</v>
      </c>
      <c r="B1225" s="6" t="s">
        <v>19</v>
      </c>
      <c r="C1225" s="7">
        <v>199420</v>
      </c>
      <c r="D1225" s="8">
        <v>54132</v>
      </c>
      <c r="E1225" s="9" t="s">
        <v>16</v>
      </c>
      <c r="F1225" s="23">
        <v>50</v>
      </c>
      <c r="G1225" s="25"/>
      <c r="H1225" s="14">
        <f t="shared" si="1051"/>
        <v>0.55000000000000004</v>
      </c>
      <c r="I1225" s="25">
        <f ca="1">IFERROR(__xludf.DUMMYFUNCTION("ROUND(D1225*GOOGLEFINANCE(""RUBKZT"")*H1225)"),232331)</f>
        <v>232331</v>
      </c>
      <c r="J1225" s="26">
        <f ca="1">IFERROR(__xludf.DUMMYFUNCTION("ROUND(I1225*GOOGLEFINANCE(""KZTEUR""))"),487)</f>
        <v>487</v>
      </c>
      <c r="K1225" s="26">
        <f t="shared" ca="1" si="1052"/>
        <v>9740</v>
      </c>
      <c r="L1225" s="26">
        <f t="shared" ca="1" si="1053"/>
        <v>1850.6</v>
      </c>
      <c r="M1225" s="26">
        <f t="shared" ref="M1225:N1225" si="1259">M$3</f>
        <v>500</v>
      </c>
      <c r="N1225" s="26">
        <f t="shared" si="1259"/>
        <v>500</v>
      </c>
      <c r="O1225" s="26">
        <f ca="1">IFERROR(__xludf.DUMMYFUNCTION("ROUND(GOOGLEFINANCE(""Currency:EURKZT"")*K1225)"),4651528)</f>
        <v>4651528</v>
      </c>
      <c r="P1225" s="26">
        <f ca="1">IFERROR(__xludf.DUMMYFUNCTION("ROUND(GOOGLEFINANCE(""Currency:EURKZT"")*M1225)"),238785)</f>
        <v>238785</v>
      </c>
      <c r="Q1225" s="26">
        <f ca="1">IFERROR(__xludf.DUMMYFUNCTION("ROUND(GOOGLEFINANCE(""Currency:EURKZT"")*N1225)"),238785)</f>
        <v>238785</v>
      </c>
      <c r="R1225" s="26">
        <f t="shared" ca="1" si="1055"/>
        <v>558183</v>
      </c>
      <c r="S1225" s="26">
        <f t="shared" ca="1" si="1056"/>
        <v>5687281</v>
      </c>
      <c r="T1225" s="26">
        <f ca="1">IFERROR(__xludf.DUMMYFUNCTION("ROUND(GOOGLEFINANCE(""Currency:EURKZT"")*L1225+S1225)"),6571071)</f>
        <v>6571071</v>
      </c>
      <c r="U1225" s="26">
        <f ca="1">IFERROR(__xludf.DUMMYFUNCTION("D1225*GOOGLEFINANCE(""RUBKZT"")*1000/F1225"),8448405.98048928)</f>
        <v>8448405.9804892801</v>
      </c>
      <c r="V1225" s="27">
        <f t="shared" ca="1" si="1057"/>
        <v>0.2856969557153286</v>
      </c>
    </row>
    <row r="1226" spans="1:22" ht="12.75" customHeight="1" x14ac:dyDescent="0.2">
      <c r="A1226" s="6" t="s">
        <v>17</v>
      </c>
      <c r="B1226" s="6" t="s">
        <v>19</v>
      </c>
      <c r="C1226" s="7">
        <v>188855</v>
      </c>
      <c r="D1226" s="8">
        <v>44360.4</v>
      </c>
      <c r="E1226" s="9" t="s">
        <v>16</v>
      </c>
      <c r="F1226" s="23">
        <v>50</v>
      </c>
      <c r="G1226" s="25"/>
      <c r="H1226" s="14">
        <f t="shared" si="1051"/>
        <v>0.55000000000000004</v>
      </c>
      <c r="I1226" s="25">
        <f ca="1">IFERROR(__xludf.DUMMYFUNCTION("ROUND(D1226*GOOGLEFINANCE(""RUBKZT"")*H1226)"),190392)</f>
        <v>190392</v>
      </c>
      <c r="J1226" s="26">
        <f ca="1">IFERROR(__xludf.DUMMYFUNCTION("ROUND(I1226*GOOGLEFINANCE(""KZTEUR""))"),399)</f>
        <v>399</v>
      </c>
      <c r="K1226" s="26">
        <f t="shared" ca="1" si="1052"/>
        <v>7980</v>
      </c>
      <c r="L1226" s="26">
        <f t="shared" ca="1" si="1053"/>
        <v>1516.2</v>
      </c>
      <c r="M1226" s="26">
        <f t="shared" ref="M1226:N1226" si="1260">M$3</f>
        <v>500</v>
      </c>
      <c r="N1226" s="26">
        <f t="shared" si="1260"/>
        <v>500</v>
      </c>
      <c r="O1226" s="26">
        <f ca="1">IFERROR(__xludf.DUMMYFUNCTION("ROUND(GOOGLEFINANCE(""Currency:EURKZT"")*K1226)"),3811006)</f>
        <v>3811006</v>
      </c>
      <c r="P1226" s="26">
        <f ca="1">IFERROR(__xludf.DUMMYFUNCTION("ROUND(GOOGLEFINANCE(""Currency:EURKZT"")*M1226)"),238785)</f>
        <v>238785</v>
      </c>
      <c r="Q1226" s="26">
        <f ca="1">IFERROR(__xludf.DUMMYFUNCTION("ROUND(GOOGLEFINANCE(""Currency:EURKZT"")*N1226)"),238785)</f>
        <v>238785</v>
      </c>
      <c r="R1226" s="26">
        <f t="shared" ca="1" si="1055"/>
        <v>457321</v>
      </c>
      <c r="S1226" s="26">
        <f t="shared" ca="1" si="1056"/>
        <v>4745897</v>
      </c>
      <c r="T1226" s="26">
        <f ca="1">IFERROR(__xludf.DUMMYFUNCTION("ROUND(GOOGLEFINANCE(""Currency:EURKZT"")*L1226+S1226)"),5469988)</f>
        <v>5469988</v>
      </c>
      <c r="U1226" s="26">
        <f ca="1">IFERROR(__xludf.DUMMYFUNCTION("D1226*GOOGLEFINANCE(""RUBKZT"")*1000/F1226"),6923347.90247721)</f>
        <v>6923347.9024772104</v>
      </c>
      <c r="V1226" s="27">
        <f t="shared" ca="1" si="1057"/>
        <v>0.26569709156166527</v>
      </c>
    </row>
    <row r="1227" spans="1:22" ht="12.75" customHeight="1" x14ac:dyDescent="0.2">
      <c r="A1227" s="6" t="s">
        <v>21</v>
      </c>
      <c r="B1227" s="6" t="s">
        <v>19</v>
      </c>
      <c r="C1227" s="7">
        <v>196522</v>
      </c>
      <c r="D1227" s="8">
        <v>34833.599999999999</v>
      </c>
      <c r="E1227" s="9" t="s">
        <v>16</v>
      </c>
      <c r="F1227" s="23">
        <v>50</v>
      </c>
      <c r="G1227" s="25"/>
      <c r="H1227" s="14">
        <f t="shared" si="1051"/>
        <v>0.55000000000000004</v>
      </c>
      <c r="I1227" s="25">
        <f ca="1">IFERROR(__xludf.DUMMYFUNCTION("ROUND(D1227*GOOGLEFINANCE(""RUBKZT"")*H1227)"),149504)</f>
        <v>149504</v>
      </c>
      <c r="J1227" s="26">
        <f ca="1">IFERROR(__xludf.DUMMYFUNCTION("ROUND(I1227*GOOGLEFINANCE(""KZTEUR""))"),313)</f>
        <v>313</v>
      </c>
      <c r="K1227" s="26">
        <f t="shared" ca="1" si="1052"/>
        <v>6260</v>
      </c>
      <c r="L1227" s="26">
        <f t="shared" ca="1" si="1053"/>
        <v>1189.4000000000001</v>
      </c>
      <c r="M1227" s="26">
        <f t="shared" ref="M1227:N1227" si="1261">M$3</f>
        <v>500</v>
      </c>
      <c r="N1227" s="26">
        <f t="shared" si="1261"/>
        <v>500</v>
      </c>
      <c r="O1227" s="26">
        <f ca="1">IFERROR(__xludf.DUMMYFUNCTION("ROUND(GOOGLEFINANCE(""Currency:EURKZT"")*K1227)"),2989586)</f>
        <v>2989586</v>
      </c>
      <c r="P1227" s="26">
        <f ca="1">IFERROR(__xludf.DUMMYFUNCTION("ROUND(GOOGLEFINANCE(""Currency:EURKZT"")*M1227)"),238785)</f>
        <v>238785</v>
      </c>
      <c r="Q1227" s="26">
        <f ca="1">IFERROR(__xludf.DUMMYFUNCTION("ROUND(GOOGLEFINANCE(""Currency:EURKZT"")*N1227)"),238785)</f>
        <v>238785</v>
      </c>
      <c r="R1227" s="26">
        <f t="shared" ca="1" si="1055"/>
        <v>358750</v>
      </c>
      <c r="S1227" s="26">
        <f t="shared" ca="1" si="1056"/>
        <v>3825906</v>
      </c>
      <c r="T1227" s="26">
        <f ca="1">IFERROR(__xludf.DUMMYFUNCTION("ROUND(GOOGLEFINANCE(""Currency:EURKZT"")*L1227+S1227)"),4393927)</f>
        <v>4393927</v>
      </c>
      <c r="U1227" s="26">
        <f ca="1">IFERROR(__xludf.DUMMYFUNCTION("D1227*GOOGLEFINANCE(""RUBKZT"")*1000/F1227"),5436495.87234854)</f>
        <v>5436495.8723485405</v>
      </c>
      <c r="V1227" s="27">
        <f t="shared" ca="1" si="1057"/>
        <v>0.23727496436525697</v>
      </c>
    </row>
    <row r="1228" spans="1:22" ht="12.75" customHeight="1" x14ac:dyDescent="0.2">
      <c r="A1228" s="6" t="s">
        <v>23</v>
      </c>
      <c r="B1228" s="6" t="s">
        <v>19</v>
      </c>
      <c r="C1228" s="7">
        <v>196524</v>
      </c>
      <c r="D1228" s="8">
        <v>38185.199999999997</v>
      </c>
      <c r="E1228" s="9" t="s">
        <v>16</v>
      </c>
      <c r="F1228" s="23">
        <v>50</v>
      </c>
      <c r="G1228" s="25"/>
      <c r="H1228" s="14">
        <f t="shared" si="1051"/>
        <v>0.55000000000000004</v>
      </c>
      <c r="I1228" s="25">
        <f ca="1">IFERROR(__xludf.DUMMYFUNCTION("ROUND(D1228*GOOGLEFINANCE(""RUBKZT"")*H1228)"),163888)</f>
        <v>163888</v>
      </c>
      <c r="J1228" s="26">
        <f ca="1">IFERROR(__xludf.DUMMYFUNCTION("ROUND(I1228*GOOGLEFINANCE(""KZTEUR""))"),343)</f>
        <v>343</v>
      </c>
      <c r="K1228" s="26">
        <f t="shared" ca="1" si="1052"/>
        <v>6860</v>
      </c>
      <c r="L1228" s="26">
        <f t="shared" ca="1" si="1053"/>
        <v>1303.4000000000001</v>
      </c>
      <c r="M1228" s="26">
        <f t="shared" ref="M1228:N1228" si="1262">M$3</f>
        <v>500</v>
      </c>
      <c r="N1228" s="26">
        <f t="shared" si="1262"/>
        <v>500</v>
      </c>
      <c r="O1228" s="26">
        <f ca="1">IFERROR(__xludf.DUMMYFUNCTION("ROUND(GOOGLEFINANCE(""Currency:EURKZT"")*K1228)"),3276128)</f>
        <v>3276128</v>
      </c>
      <c r="P1228" s="26">
        <f ca="1">IFERROR(__xludf.DUMMYFUNCTION("ROUND(GOOGLEFINANCE(""Currency:EURKZT"")*M1228)"),238785)</f>
        <v>238785</v>
      </c>
      <c r="Q1228" s="26">
        <f ca="1">IFERROR(__xludf.DUMMYFUNCTION("ROUND(GOOGLEFINANCE(""Currency:EURKZT"")*N1228)"),238785)</f>
        <v>238785</v>
      </c>
      <c r="R1228" s="26">
        <f t="shared" ca="1" si="1055"/>
        <v>393135</v>
      </c>
      <c r="S1228" s="26">
        <f t="shared" ca="1" si="1056"/>
        <v>4146833</v>
      </c>
      <c r="T1228" s="26">
        <f ca="1">IFERROR(__xludf.DUMMYFUNCTION("ROUND(GOOGLEFINANCE(""Currency:EURKZT"")*L1228+S1228)"),4769297)</f>
        <v>4769297</v>
      </c>
      <c r="U1228" s="26">
        <f ca="1">IFERROR(__xludf.DUMMYFUNCTION("D1228*GOOGLEFINANCE(""RUBKZT"")*1000/F1228"),5959581.6161638)</f>
        <v>5959581.6161637995</v>
      </c>
      <c r="V1228" s="27">
        <f t="shared" ca="1" si="1057"/>
        <v>0.24957234077974166</v>
      </c>
    </row>
    <row r="1229" spans="1:22" ht="12.75" customHeight="1" x14ac:dyDescent="0.2">
      <c r="A1229" s="6" t="s">
        <v>24</v>
      </c>
      <c r="B1229" s="6" t="s">
        <v>19</v>
      </c>
      <c r="C1229" s="7">
        <v>168556</v>
      </c>
      <c r="D1229" s="8">
        <v>36901.199999999997</v>
      </c>
      <c r="E1229" s="9" t="s">
        <v>16</v>
      </c>
      <c r="F1229" s="23">
        <v>50</v>
      </c>
      <c r="G1229" s="25"/>
      <c r="H1229" s="14">
        <f t="shared" si="1051"/>
        <v>0.55000000000000004</v>
      </c>
      <c r="I1229" s="25">
        <f ca="1">IFERROR(__xludf.DUMMYFUNCTION("ROUND(D1229*GOOGLEFINANCE(""RUBKZT"")*H1229)"),158378)</f>
        <v>158378</v>
      </c>
      <c r="J1229" s="26">
        <f ca="1">IFERROR(__xludf.DUMMYFUNCTION("ROUND(I1229*GOOGLEFINANCE(""KZTEUR""))"),332)</f>
        <v>332</v>
      </c>
      <c r="K1229" s="26">
        <f t="shared" ca="1" si="1052"/>
        <v>6640</v>
      </c>
      <c r="L1229" s="26">
        <f t="shared" ca="1" si="1053"/>
        <v>1261.5999999999999</v>
      </c>
      <c r="M1229" s="26">
        <f t="shared" ref="M1229:N1229" si="1263">M$3</f>
        <v>500</v>
      </c>
      <c r="N1229" s="26">
        <f t="shared" si="1263"/>
        <v>500</v>
      </c>
      <c r="O1229" s="26">
        <f ca="1">IFERROR(__xludf.DUMMYFUNCTION("ROUND(GOOGLEFINANCE(""Currency:EURKZT"")*K1229)"),3171062)</f>
        <v>3171062</v>
      </c>
      <c r="P1229" s="26">
        <f ca="1">IFERROR(__xludf.DUMMYFUNCTION("ROUND(GOOGLEFINANCE(""Currency:EURKZT"")*M1229)"),238785)</f>
        <v>238785</v>
      </c>
      <c r="Q1229" s="26">
        <f ca="1">IFERROR(__xludf.DUMMYFUNCTION("ROUND(GOOGLEFINANCE(""Currency:EURKZT"")*N1229)"),238785)</f>
        <v>238785</v>
      </c>
      <c r="R1229" s="26">
        <f t="shared" ca="1" si="1055"/>
        <v>380527</v>
      </c>
      <c r="S1229" s="26">
        <f t="shared" ca="1" si="1056"/>
        <v>4029159</v>
      </c>
      <c r="T1229" s="26">
        <f ca="1">IFERROR(__xludf.DUMMYFUNCTION("ROUND(GOOGLEFINANCE(""Currency:EURKZT"")*L1229+S1229)"),4631661)</f>
        <v>4631661</v>
      </c>
      <c r="U1229" s="26">
        <f ca="1">IFERROR(__xludf.DUMMYFUNCTION("D1229*GOOGLEFINANCE(""RUBKZT"")*1000/F1229"),5759187.14932444)</f>
        <v>5759187.1493244404</v>
      </c>
      <c r="V1229" s="27">
        <f t="shared" ca="1" si="1057"/>
        <v>0.24343883313663076</v>
      </c>
    </row>
    <row r="1230" spans="1:22" ht="12.75" customHeight="1" x14ac:dyDescent="0.2">
      <c r="A1230" s="6" t="s">
        <v>20</v>
      </c>
      <c r="B1230" s="6" t="s">
        <v>19</v>
      </c>
      <c r="C1230" s="7">
        <v>196459</v>
      </c>
      <c r="D1230" s="8">
        <v>33567.599999999999</v>
      </c>
      <c r="E1230" s="9" t="s">
        <v>16</v>
      </c>
      <c r="F1230" s="23">
        <v>50</v>
      </c>
      <c r="G1230" s="25"/>
      <c r="H1230" s="14">
        <f t="shared" si="1051"/>
        <v>0.55000000000000004</v>
      </c>
      <c r="I1230" s="25">
        <f ca="1">IFERROR(__xludf.DUMMYFUNCTION("ROUND(D1230*GOOGLEFINANCE(""RUBKZT"")*H1230)"),144070)</f>
        <v>144070</v>
      </c>
      <c r="J1230" s="26">
        <f ca="1">IFERROR(__xludf.DUMMYFUNCTION("ROUND(I1230*GOOGLEFINANCE(""KZTEUR""))"),302)</f>
        <v>302</v>
      </c>
      <c r="K1230" s="26">
        <f t="shared" ca="1" si="1052"/>
        <v>6040</v>
      </c>
      <c r="L1230" s="26">
        <f t="shared" ca="1" si="1053"/>
        <v>1147.5999999999999</v>
      </c>
      <c r="M1230" s="26">
        <f t="shared" ref="M1230:N1230" si="1264">M$3</f>
        <v>500</v>
      </c>
      <c r="N1230" s="26">
        <f t="shared" si="1264"/>
        <v>500</v>
      </c>
      <c r="O1230" s="26">
        <f ca="1">IFERROR(__xludf.DUMMYFUNCTION("ROUND(GOOGLEFINANCE(""Currency:EURKZT"")*K1230)"),2884520)</f>
        <v>2884520</v>
      </c>
      <c r="P1230" s="26">
        <f ca="1">IFERROR(__xludf.DUMMYFUNCTION("ROUND(GOOGLEFINANCE(""Currency:EURKZT"")*M1230)"),238785)</f>
        <v>238785</v>
      </c>
      <c r="Q1230" s="26">
        <f ca="1">IFERROR(__xludf.DUMMYFUNCTION("ROUND(GOOGLEFINANCE(""Currency:EURKZT"")*N1230)"),238785)</f>
        <v>238785</v>
      </c>
      <c r="R1230" s="26">
        <f t="shared" ca="1" si="1055"/>
        <v>346142</v>
      </c>
      <c r="S1230" s="26">
        <f t="shared" ca="1" si="1056"/>
        <v>3708232</v>
      </c>
      <c r="T1230" s="26">
        <f ca="1">IFERROR(__xludf.DUMMYFUNCTION("ROUND(GOOGLEFINANCE(""Currency:EURKZT"")*L1230+S1230)"),4256291)</f>
        <v>4256291</v>
      </c>
      <c r="U1230" s="26">
        <f ca="1">IFERROR(__xludf.DUMMYFUNCTION("D1230*GOOGLEFINANCE(""RUBKZT"")*1000/F1230"),5238910.6737359)</f>
        <v>5238910.6737358999</v>
      </c>
      <c r="V1230" s="27">
        <f t="shared" ca="1" si="1057"/>
        <v>0.23086289770504409</v>
      </c>
    </row>
    <row r="1231" spans="1:22" ht="12.75" customHeight="1" x14ac:dyDescent="0.2">
      <c r="A1231" s="6" t="s">
        <v>165</v>
      </c>
      <c r="B1231" s="6" t="s">
        <v>19</v>
      </c>
      <c r="C1231" s="7">
        <v>195063</v>
      </c>
      <c r="D1231" s="8">
        <v>32253.599999999999</v>
      </c>
      <c r="E1231" s="9" t="s">
        <v>16</v>
      </c>
      <c r="F1231" s="23">
        <v>50</v>
      </c>
      <c r="G1231" s="25"/>
      <c r="H1231" s="14">
        <f t="shared" si="1051"/>
        <v>0.55000000000000004</v>
      </c>
      <c r="I1231" s="25">
        <f ca="1">IFERROR(__xludf.DUMMYFUNCTION("ROUND(D1231*GOOGLEFINANCE(""RUBKZT"")*H1231)"),138430)</f>
        <v>138430</v>
      </c>
      <c r="J1231" s="26">
        <f ca="1">IFERROR(__xludf.DUMMYFUNCTION("ROUND(I1231*GOOGLEFINANCE(""KZTEUR""))"),290)</f>
        <v>290</v>
      </c>
      <c r="K1231" s="26">
        <f t="shared" ca="1" si="1052"/>
        <v>5800</v>
      </c>
      <c r="L1231" s="26">
        <f t="shared" ca="1" si="1053"/>
        <v>1102</v>
      </c>
      <c r="M1231" s="26">
        <f t="shared" ref="M1231:N1231" si="1265">M$3</f>
        <v>500</v>
      </c>
      <c r="N1231" s="26">
        <f t="shared" si="1265"/>
        <v>500</v>
      </c>
      <c r="O1231" s="26">
        <f ca="1">IFERROR(__xludf.DUMMYFUNCTION("ROUND(GOOGLEFINANCE(""Currency:EURKZT"")*K1231)"),2769904)</f>
        <v>2769904</v>
      </c>
      <c r="P1231" s="26">
        <f ca="1">IFERROR(__xludf.DUMMYFUNCTION("ROUND(GOOGLEFINANCE(""Currency:EURKZT"")*M1231)"),238785)</f>
        <v>238785</v>
      </c>
      <c r="Q1231" s="26">
        <f ca="1">IFERROR(__xludf.DUMMYFUNCTION("ROUND(GOOGLEFINANCE(""Currency:EURKZT"")*N1231)"),238785)</f>
        <v>238785</v>
      </c>
      <c r="R1231" s="26">
        <f t="shared" ca="1" si="1055"/>
        <v>332388</v>
      </c>
      <c r="S1231" s="26">
        <f t="shared" ca="1" si="1056"/>
        <v>3579862</v>
      </c>
      <c r="T1231" s="26">
        <f ca="1">IFERROR(__xludf.DUMMYFUNCTION("ROUND(GOOGLEFINANCE(""Currency:EURKZT"")*L1231+S1231)"),4106144)</f>
        <v>4106144</v>
      </c>
      <c r="U1231" s="26">
        <f ca="1">IFERROR(__xludf.DUMMYFUNCTION("D1231*GOOGLEFINANCE(""RUBKZT"")*1000/F1231"),5033834.09318534)</f>
        <v>5033834.0931853401</v>
      </c>
      <c r="V1231" s="27">
        <f t="shared" ca="1" si="1057"/>
        <v>0.22592731603795191</v>
      </c>
    </row>
    <row r="1232" spans="1:22" ht="12.75" customHeight="1" x14ac:dyDescent="0.2">
      <c r="A1232" s="6" t="s">
        <v>182</v>
      </c>
      <c r="B1232" s="6" t="s">
        <v>19</v>
      </c>
      <c r="C1232" s="7">
        <v>209685</v>
      </c>
      <c r="D1232" s="8">
        <v>38108.400000000001</v>
      </c>
      <c r="E1232" s="9" t="s">
        <v>16</v>
      </c>
      <c r="F1232" s="23">
        <v>50</v>
      </c>
      <c r="G1232" s="25"/>
      <c r="H1232" s="14">
        <f t="shared" si="1051"/>
        <v>0.55000000000000004</v>
      </c>
      <c r="I1232" s="25">
        <f ca="1">IFERROR(__xludf.DUMMYFUNCTION("ROUND(D1232*GOOGLEFINANCE(""RUBKZT"")*H1232)"),163559)</f>
        <v>163559</v>
      </c>
      <c r="J1232" s="26">
        <f ca="1">IFERROR(__xludf.DUMMYFUNCTION("ROUND(I1232*GOOGLEFINANCE(""KZTEUR""))"),343)</f>
        <v>343</v>
      </c>
      <c r="K1232" s="26">
        <f t="shared" ca="1" si="1052"/>
        <v>6860</v>
      </c>
      <c r="L1232" s="26">
        <f t="shared" ca="1" si="1053"/>
        <v>1303.4000000000001</v>
      </c>
      <c r="M1232" s="26">
        <f t="shared" ref="M1232:N1232" si="1266">M$3</f>
        <v>500</v>
      </c>
      <c r="N1232" s="26">
        <f t="shared" si="1266"/>
        <v>500</v>
      </c>
      <c r="O1232" s="26">
        <f ca="1">IFERROR(__xludf.DUMMYFUNCTION("ROUND(GOOGLEFINANCE(""Currency:EURKZT"")*K1232)"),3276128)</f>
        <v>3276128</v>
      </c>
      <c r="P1232" s="26">
        <f ca="1">IFERROR(__xludf.DUMMYFUNCTION("ROUND(GOOGLEFINANCE(""Currency:EURKZT"")*M1232)"),238785)</f>
        <v>238785</v>
      </c>
      <c r="Q1232" s="26">
        <f ca="1">IFERROR(__xludf.DUMMYFUNCTION("ROUND(GOOGLEFINANCE(""Currency:EURKZT"")*N1232)"),238785)</f>
        <v>238785</v>
      </c>
      <c r="R1232" s="26">
        <f t="shared" ca="1" si="1055"/>
        <v>393135</v>
      </c>
      <c r="S1232" s="26">
        <f t="shared" ca="1" si="1056"/>
        <v>4146833</v>
      </c>
      <c r="T1232" s="26">
        <f ca="1">IFERROR(__xludf.DUMMYFUNCTION("ROUND(GOOGLEFINANCE(""Currency:EURKZT"")*L1232+S1232)"),4769297)</f>
        <v>4769297</v>
      </c>
      <c r="U1232" s="26">
        <f ca="1">IFERROR(__xludf.DUMMYFUNCTION("D1232*GOOGLEFINANCE(""RUBKZT"")*1000/F1232"),5947595.40506313)</f>
        <v>5947595.40506313</v>
      </c>
      <c r="V1232" s="27">
        <f t="shared" ca="1" si="1057"/>
        <v>0.24705913786940298</v>
      </c>
    </row>
    <row r="1233" spans="1:22" ht="12.75" customHeight="1" x14ac:dyDescent="0.2">
      <c r="A1233" s="6" t="s">
        <v>305</v>
      </c>
      <c r="B1233" s="6" t="s">
        <v>307</v>
      </c>
      <c r="C1233" s="7">
        <v>186781</v>
      </c>
      <c r="D1233" s="8">
        <v>55000.799999999996</v>
      </c>
      <c r="E1233" s="9" t="s">
        <v>16</v>
      </c>
      <c r="F1233" s="23">
        <v>50</v>
      </c>
      <c r="G1233" s="25"/>
      <c r="H1233" s="14">
        <f t="shared" si="1051"/>
        <v>0.55000000000000004</v>
      </c>
      <c r="I1233" s="25">
        <f ca="1">IFERROR(__xludf.DUMMYFUNCTION("ROUND(D1233*GOOGLEFINANCE(""RUBKZT"")*H1233)"),236060)</f>
        <v>236060</v>
      </c>
      <c r="J1233" s="26">
        <f ca="1">IFERROR(__xludf.DUMMYFUNCTION("ROUND(I1233*GOOGLEFINANCE(""KZTEUR""))"),494)</f>
        <v>494</v>
      </c>
      <c r="K1233" s="26">
        <f t="shared" ca="1" si="1052"/>
        <v>9880</v>
      </c>
      <c r="L1233" s="26">
        <f t="shared" ca="1" si="1053"/>
        <v>1877.2</v>
      </c>
      <c r="M1233" s="26">
        <f t="shared" ref="M1233:N1233" si="1267">M$3</f>
        <v>500</v>
      </c>
      <c r="N1233" s="26">
        <f t="shared" si="1267"/>
        <v>500</v>
      </c>
      <c r="O1233" s="26">
        <f ca="1">IFERROR(__xludf.DUMMYFUNCTION("ROUND(GOOGLEFINANCE(""Currency:EURKZT"")*K1233)"),4718388)</f>
        <v>4718388</v>
      </c>
      <c r="P1233" s="26">
        <f ca="1">IFERROR(__xludf.DUMMYFUNCTION("ROUND(GOOGLEFINANCE(""Currency:EURKZT"")*M1233)"),238785)</f>
        <v>238785</v>
      </c>
      <c r="Q1233" s="26">
        <f ca="1">IFERROR(__xludf.DUMMYFUNCTION("ROUND(GOOGLEFINANCE(""Currency:EURKZT"")*N1233)"),238785)</f>
        <v>238785</v>
      </c>
      <c r="R1233" s="26">
        <f t="shared" ca="1" si="1055"/>
        <v>566207</v>
      </c>
      <c r="S1233" s="26">
        <f t="shared" ca="1" si="1056"/>
        <v>5762165</v>
      </c>
      <c r="T1233" s="26">
        <f ca="1">IFERROR(__xludf.DUMMYFUNCTION("ROUND(GOOGLEFINANCE(""Currency:EURKZT"")*L1233+S1233)"),6658659)</f>
        <v>6658659</v>
      </c>
      <c r="U1233" s="26">
        <f ca="1">IFERROR(__xludf.DUMMYFUNCTION("D1233*GOOGLEFINANCE(""RUBKZT"")*1000/F1233"),8583999.99356563)</f>
        <v>8583999.9935656302</v>
      </c>
      <c r="V1233" s="27">
        <f t="shared" ca="1" si="1057"/>
        <v>0.28914845970722186</v>
      </c>
    </row>
    <row r="1234" spans="1:22" ht="12.75" customHeight="1" x14ac:dyDescent="0.2">
      <c r="A1234" s="6" t="s">
        <v>310</v>
      </c>
      <c r="B1234" s="6" t="s">
        <v>307</v>
      </c>
      <c r="C1234" s="7">
        <v>187966</v>
      </c>
      <c r="D1234" s="8">
        <v>51826.799999999996</v>
      </c>
      <c r="E1234" s="9" t="s">
        <v>16</v>
      </c>
      <c r="F1234" s="23">
        <v>50</v>
      </c>
      <c r="G1234" s="25"/>
      <c r="H1234" s="14">
        <f t="shared" si="1051"/>
        <v>0.55000000000000004</v>
      </c>
      <c r="I1234" s="25">
        <f ca="1">IFERROR(__xludf.DUMMYFUNCTION("ROUND(D1234*GOOGLEFINANCE(""RUBKZT"")*H1234)"),222437)</f>
        <v>222437</v>
      </c>
      <c r="J1234" s="26">
        <f ca="1">IFERROR(__xludf.DUMMYFUNCTION("ROUND(I1234*GOOGLEFINANCE(""KZTEUR""))"),466)</f>
        <v>466</v>
      </c>
      <c r="K1234" s="26">
        <f t="shared" ca="1" si="1052"/>
        <v>9320</v>
      </c>
      <c r="L1234" s="26">
        <f t="shared" ca="1" si="1053"/>
        <v>1770.8</v>
      </c>
      <c r="M1234" s="26">
        <f t="shared" ref="M1234:N1234" si="1268">M$3</f>
        <v>500</v>
      </c>
      <c r="N1234" s="26">
        <f t="shared" si="1268"/>
        <v>500</v>
      </c>
      <c r="O1234" s="26">
        <f ca="1">IFERROR(__xludf.DUMMYFUNCTION("ROUND(GOOGLEFINANCE(""Currency:EURKZT"")*K1234)"),4450949)</f>
        <v>4450949</v>
      </c>
      <c r="P1234" s="26">
        <f ca="1">IFERROR(__xludf.DUMMYFUNCTION("ROUND(GOOGLEFINANCE(""Currency:EURKZT"")*M1234)"),238785)</f>
        <v>238785</v>
      </c>
      <c r="Q1234" s="26">
        <f ca="1">IFERROR(__xludf.DUMMYFUNCTION("ROUND(GOOGLEFINANCE(""Currency:EURKZT"")*N1234)"),238785)</f>
        <v>238785</v>
      </c>
      <c r="R1234" s="26">
        <f t="shared" ca="1" si="1055"/>
        <v>534114</v>
      </c>
      <c r="S1234" s="26">
        <f t="shared" ca="1" si="1056"/>
        <v>5462633</v>
      </c>
      <c r="T1234" s="26">
        <f ca="1">IFERROR(__xludf.DUMMYFUNCTION("ROUND(GOOGLEFINANCE(""Currency:EURKZT"")*L1234+S1234)"),6308313)</f>
        <v>6308313</v>
      </c>
      <c r="U1234" s="26">
        <f ca="1">IFERROR(__xludf.DUMMYFUNCTION("D1234*GOOGLEFINANCE(""RUBKZT"")*1000/F1234"),8088632.36292067)</f>
        <v>8088632.3629206698</v>
      </c>
      <c r="V1234" s="27">
        <f t="shared" ca="1" si="1057"/>
        <v>0.28221798172041712</v>
      </c>
    </row>
    <row r="1235" spans="1:22" ht="12.75" customHeight="1" x14ac:dyDescent="0.2">
      <c r="A1235" s="6" t="s">
        <v>314</v>
      </c>
      <c r="B1235" s="6" t="s">
        <v>307</v>
      </c>
      <c r="C1235" s="7">
        <v>188227</v>
      </c>
      <c r="D1235" s="8">
        <v>49743.6</v>
      </c>
      <c r="E1235" s="9" t="s">
        <v>16</v>
      </c>
      <c r="F1235" s="23">
        <v>50</v>
      </c>
      <c r="G1235" s="25"/>
      <c r="H1235" s="14">
        <f t="shared" si="1051"/>
        <v>0.55000000000000004</v>
      </c>
      <c r="I1235" s="25">
        <f ca="1">IFERROR(__xludf.DUMMYFUNCTION("ROUND(D1235*GOOGLEFINANCE(""RUBKZT"")*H1235)"),213496)</f>
        <v>213496</v>
      </c>
      <c r="J1235" s="26">
        <f ca="1">IFERROR(__xludf.DUMMYFUNCTION("ROUND(I1235*GOOGLEFINANCE(""KZTEUR""))"),447)</f>
        <v>447</v>
      </c>
      <c r="K1235" s="26">
        <f t="shared" ca="1" si="1052"/>
        <v>8940</v>
      </c>
      <c r="L1235" s="26">
        <f t="shared" ca="1" si="1053"/>
        <v>1698.6</v>
      </c>
      <c r="M1235" s="26">
        <f t="shared" ref="M1235:N1235" si="1269">M$3</f>
        <v>500</v>
      </c>
      <c r="N1235" s="26">
        <f t="shared" si="1269"/>
        <v>500</v>
      </c>
      <c r="O1235" s="26">
        <f ca="1">IFERROR(__xludf.DUMMYFUNCTION("ROUND(GOOGLEFINANCE(""Currency:EURKZT"")*K1235)"),4269472)</f>
        <v>4269472</v>
      </c>
      <c r="P1235" s="26">
        <f ca="1">IFERROR(__xludf.DUMMYFUNCTION("ROUND(GOOGLEFINANCE(""Currency:EURKZT"")*M1235)"),238785)</f>
        <v>238785</v>
      </c>
      <c r="Q1235" s="26">
        <f ca="1">IFERROR(__xludf.DUMMYFUNCTION("ROUND(GOOGLEFINANCE(""Currency:EURKZT"")*N1235)"),238785)</f>
        <v>238785</v>
      </c>
      <c r="R1235" s="26">
        <f t="shared" ca="1" si="1055"/>
        <v>512337</v>
      </c>
      <c r="S1235" s="26">
        <f t="shared" ca="1" si="1056"/>
        <v>5259379</v>
      </c>
      <c r="T1235" s="26">
        <f ca="1">IFERROR(__xludf.DUMMYFUNCTION("ROUND(GOOGLEFINANCE(""Currency:EURKZT"")*L1235+S1235)"),6070579)</f>
        <v>6070579</v>
      </c>
      <c r="U1235" s="26">
        <f ca="1">IFERROR(__xludf.DUMMYFUNCTION("D1235*GOOGLEFINANCE(""RUBKZT"")*1000/F1235"),7763506.38681494)</f>
        <v>7763506.3868149398</v>
      </c>
      <c r="V1235" s="27">
        <f t="shared" ca="1" si="1057"/>
        <v>0.27887412169661902</v>
      </c>
    </row>
    <row r="1236" spans="1:22" ht="12.75" customHeight="1" x14ac:dyDescent="0.2">
      <c r="A1236" s="6" t="s">
        <v>315</v>
      </c>
      <c r="B1236" s="6" t="s">
        <v>307</v>
      </c>
      <c r="C1236" s="7">
        <v>188250</v>
      </c>
      <c r="D1236" s="8">
        <v>49033.2</v>
      </c>
      <c r="E1236" s="9" t="s">
        <v>16</v>
      </c>
      <c r="F1236" s="23">
        <v>50</v>
      </c>
      <c r="G1236" s="25"/>
      <c r="H1236" s="14">
        <f t="shared" si="1051"/>
        <v>0.55000000000000004</v>
      </c>
      <c r="I1236" s="25">
        <f ca="1">IFERROR(__xludf.DUMMYFUNCTION("ROUND(D1236*GOOGLEFINANCE(""RUBKZT"")*H1236)"),210447)</f>
        <v>210447</v>
      </c>
      <c r="J1236" s="26">
        <f ca="1">IFERROR(__xludf.DUMMYFUNCTION("ROUND(I1236*GOOGLEFINANCE(""KZTEUR""))"),441)</f>
        <v>441</v>
      </c>
      <c r="K1236" s="26">
        <f t="shared" ca="1" si="1052"/>
        <v>8820</v>
      </c>
      <c r="L1236" s="26">
        <f t="shared" ca="1" si="1053"/>
        <v>1675.8</v>
      </c>
      <c r="M1236" s="26">
        <f t="shared" ref="M1236:N1236" si="1270">M$3</f>
        <v>500</v>
      </c>
      <c r="N1236" s="26">
        <f t="shared" si="1270"/>
        <v>500</v>
      </c>
      <c r="O1236" s="26">
        <f ca="1">IFERROR(__xludf.DUMMYFUNCTION("ROUND(GOOGLEFINANCE(""Currency:EURKZT"")*K1236)"),4212164)</f>
        <v>4212164</v>
      </c>
      <c r="P1236" s="26">
        <f ca="1">IFERROR(__xludf.DUMMYFUNCTION("ROUND(GOOGLEFINANCE(""Currency:EURKZT"")*M1236)"),238785)</f>
        <v>238785</v>
      </c>
      <c r="Q1236" s="26">
        <f ca="1">IFERROR(__xludf.DUMMYFUNCTION("ROUND(GOOGLEFINANCE(""Currency:EURKZT"")*N1236)"),238785)</f>
        <v>238785</v>
      </c>
      <c r="R1236" s="26">
        <f t="shared" ca="1" si="1055"/>
        <v>505460</v>
      </c>
      <c r="S1236" s="26">
        <f t="shared" ca="1" si="1056"/>
        <v>5195194</v>
      </c>
      <c r="T1236" s="26">
        <f ca="1">IFERROR(__xludf.DUMMYFUNCTION("ROUND(GOOGLEFINANCE(""Currency:EURKZT"")*L1236+S1236)"),5995505)</f>
        <v>5995505</v>
      </c>
      <c r="U1236" s="26">
        <f ca="1">IFERROR(__xludf.DUMMYFUNCTION("D1236*GOOGLEFINANCE(""RUBKZT"")*1000/F1236"),7652633.93413372)</f>
        <v>7652633.9341337197</v>
      </c>
      <c r="V1236" s="27">
        <f t="shared" ca="1" si="1057"/>
        <v>0.27639522177593373</v>
      </c>
    </row>
    <row r="1237" spans="1:22" ht="12.75" customHeight="1" x14ac:dyDescent="0.2">
      <c r="A1237" s="6" t="s">
        <v>277</v>
      </c>
      <c r="B1237" s="6" t="s">
        <v>307</v>
      </c>
      <c r="C1237" s="7">
        <v>188808</v>
      </c>
      <c r="D1237" s="8">
        <v>57634.799999999996</v>
      </c>
      <c r="E1237" s="9" t="s">
        <v>16</v>
      </c>
      <c r="F1237" s="23">
        <v>50</v>
      </c>
      <c r="G1237" s="25"/>
      <c r="H1237" s="14">
        <f t="shared" si="1051"/>
        <v>0.55000000000000004</v>
      </c>
      <c r="I1237" s="25">
        <f ca="1">IFERROR(__xludf.DUMMYFUNCTION("ROUND(D1237*GOOGLEFINANCE(""RUBKZT"")*H1237)"),247365)</f>
        <v>247365</v>
      </c>
      <c r="J1237" s="26">
        <f ca="1">IFERROR(__xludf.DUMMYFUNCTION("ROUND(I1237*GOOGLEFINANCE(""KZTEUR""))"),518)</f>
        <v>518</v>
      </c>
      <c r="K1237" s="26">
        <f t="shared" ca="1" si="1052"/>
        <v>10360</v>
      </c>
      <c r="L1237" s="26">
        <f t="shared" ca="1" si="1053"/>
        <v>1968.4</v>
      </c>
      <c r="M1237" s="26">
        <f t="shared" ref="M1237:N1237" si="1271">M$3</f>
        <v>500</v>
      </c>
      <c r="N1237" s="26">
        <f t="shared" si="1271"/>
        <v>500</v>
      </c>
      <c r="O1237" s="26">
        <f ca="1">IFERROR(__xludf.DUMMYFUNCTION("ROUND(GOOGLEFINANCE(""Currency:EURKZT"")*K1237)"),4947621)</f>
        <v>4947621</v>
      </c>
      <c r="P1237" s="26">
        <f ca="1">IFERROR(__xludf.DUMMYFUNCTION("ROUND(GOOGLEFINANCE(""Currency:EURKZT"")*M1237)"),238785)</f>
        <v>238785</v>
      </c>
      <c r="Q1237" s="26">
        <f ca="1">IFERROR(__xludf.DUMMYFUNCTION("ROUND(GOOGLEFINANCE(""Currency:EURKZT"")*N1237)"),238785)</f>
        <v>238785</v>
      </c>
      <c r="R1237" s="26">
        <f t="shared" ca="1" si="1055"/>
        <v>593715</v>
      </c>
      <c r="S1237" s="26">
        <f t="shared" ca="1" si="1056"/>
        <v>6018906</v>
      </c>
      <c r="T1237" s="26">
        <f ca="1">IFERROR(__xludf.DUMMYFUNCTION("ROUND(GOOGLEFINANCE(""Currency:EURKZT"")*L1237+S1237)"),6958954)</f>
        <v>6958954</v>
      </c>
      <c r="U1237" s="26">
        <f ca="1">IFERROR(__xludf.DUMMYFUNCTION("D1237*GOOGLEFINANCE(""RUBKZT"")*1000/F1237"),8995089.57740899)</f>
        <v>8995089.5774089899</v>
      </c>
      <c r="V1237" s="27">
        <f t="shared" ca="1" si="1057"/>
        <v>0.29259218805139248</v>
      </c>
    </row>
    <row r="1238" spans="1:22" ht="12.75" customHeight="1" x14ac:dyDescent="0.2">
      <c r="A1238" s="6" t="s">
        <v>329</v>
      </c>
      <c r="B1238" s="6" t="s">
        <v>307</v>
      </c>
      <c r="C1238" s="7">
        <v>190491</v>
      </c>
      <c r="D1238" s="8">
        <v>80848.800000000003</v>
      </c>
      <c r="E1238" s="9" t="s">
        <v>16</v>
      </c>
      <c r="F1238" s="23">
        <v>50</v>
      </c>
      <c r="G1238" s="25"/>
      <c r="H1238" s="14">
        <f t="shared" si="1051"/>
        <v>0.55000000000000004</v>
      </c>
      <c r="I1238" s="25">
        <f ca="1">IFERROR(__xludf.DUMMYFUNCTION("ROUND(D1238*GOOGLEFINANCE(""RUBKZT"")*H1238)"),346998)</f>
        <v>346998</v>
      </c>
      <c r="J1238" s="26">
        <f ca="1">IFERROR(__xludf.DUMMYFUNCTION("ROUND(I1238*GOOGLEFINANCE(""KZTEUR""))"),727)</f>
        <v>727</v>
      </c>
      <c r="K1238" s="26">
        <f t="shared" ca="1" si="1052"/>
        <v>14540</v>
      </c>
      <c r="L1238" s="26">
        <f t="shared" ca="1" si="1053"/>
        <v>2762.6</v>
      </c>
      <c r="M1238" s="26">
        <f t="shared" ref="M1238:N1238" si="1272">M$3</f>
        <v>500</v>
      </c>
      <c r="N1238" s="26">
        <f t="shared" si="1272"/>
        <v>500</v>
      </c>
      <c r="O1238" s="26">
        <f ca="1">IFERROR(__xludf.DUMMYFUNCTION("ROUND(GOOGLEFINANCE(""Currency:EURKZT"")*K1238)"),6943862)</f>
        <v>6943862</v>
      </c>
      <c r="P1238" s="26">
        <f ca="1">IFERROR(__xludf.DUMMYFUNCTION("ROUND(GOOGLEFINANCE(""Currency:EURKZT"")*M1238)"),238785)</f>
        <v>238785</v>
      </c>
      <c r="Q1238" s="26">
        <f ca="1">IFERROR(__xludf.DUMMYFUNCTION("ROUND(GOOGLEFINANCE(""Currency:EURKZT"")*N1238)"),238785)</f>
        <v>238785</v>
      </c>
      <c r="R1238" s="26">
        <f t="shared" ca="1" si="1055"/>
        <v>833263</v>
      </c>
      <c r="S1238" s="26">
        <f t="shared" ca="1" si="1056"/>
        <v>8254695</v>
      </c>
      <c r="T1238" s="26">
        <f ca="1">IFERROR(__xludf.DUMMYFUNCTION("ROUND(GOOGLEFINANCE(""Currency:EURKZT"")*L1238+S1238)"),9574029)</f>
        <v>9574029</v>
      </c>
      <c r="U1238" s="26">
        <f ca="1">IFERROR(__xludf.DUMMYFUNCTION("D1238*GOOGLEFINANCE(""RUBKZT"")*1000/F1238"),12618109.1671355)</f>
        <v>12618109.167135499</v>
      </c>
      <c r="V1238" s="27">
        <f t="shared" ca="1" si="1057"/>
        <v>0.3179518431723467</v>
      </c>
    </row>
    <row r="1239" spans="1:22" ht="12.75" customHeight="1" x14ac:dyDescent="0.2">
      <c r="A1239" s="6" t="s">
        <v>330</v>
      </c>
      <c r="B1239" s="6" t="s">
        <v>307</v>
      </c>
      <c r="C1239" s="7">
        <v>190495</v>
      </c>
      <c r="D1239" s="8">
        <v>78740.399999999994</v>
      </c>
      <c r="E1239" s="9" t="s">
        <v>16</v>
      </c>
      <c r="F1239" s="23">
        <v>50</v>
      </c>
      <c r="G1239" s="25"/>
      <c r="H1239" s="14">
        <f t="shared" si="1051"/>
        <v>0.55000000000000004</v>
      </c>
      <c r="I1239" s="25">
        <f ca="1">IFERROR(__xludf.DUMMYFUNCTION("ROUND(D1239*GOOGLEFINANCE(""RUBKZT"")*H1239)"),337949)</f>
        <v>337949</v>
      </c>
      <c r="J1239" s="26">
        <f ca="1">IFERROR(__xludf.DUMMYFUNCTION("ROUND(I1239*GOOGLEFINANCE(""KZTEUR""))"),708)</f>
        <v>708</v>
      </c>
      <c r="K1239" s="26">
        <f t="shared" ca="1" si="1052"/>
        <v>14160</v>
      </c>
      <c r="L1239" s="26">
        <f t="shared" ca="1" si="1053"/>
        <v>2690.4</v>
      </c>
      <c r="M1239" s="26">
        <f t="shared" ref="M1239:N1239" si="1273">M$3</f>
        <v>500</v>
      </c>
      <c r="N1239" s="26">
        <f t="shared" si="1273"/>
        <v>500</v>
      </c>
      <c r="O1239" s="26">
        <f ca="1">IFERROR(__xludf.DUMMYFUNCTION("ROUND(GOOGLEFINANCE(""Currency:EURKZT"")*K1239)"),6762386)</f>
        <v>6762386</v>
      </c>
      <c r="P1239" s="26">
        <f ca="1">IFERROR(__xludf.DUMMYFUNCTION("ROUND(GOOGLEFINANCE(""Currency:EURKZT"")*M1239)"),238785)</f>
        <v>238785</v>
      </c>
      <c r="Q1239" s="26">
        <f ca="1">IFERROR(__xludf.DUMMYFUNCTION("ROUND(GOOGLEFINANCE(""Currency:EURKZT"")*N1239)"),238785)</f>
        <v>238785</v>
      </c>
      <c r="R1239" s="26">
        <f t="shared" ca="1" si="1055"/>
        <v>811486</v>
      </c>
      <c r="S1239" s="26">
        <f t="shared" ca="1" si="1056"/>
        <v>8051442</v>
      </c>
      <c r="T1239" s="26">
        <f ca="1">IFERROR(__xludf.DUMMYFUNCTION("ROUND(GOOGLEFINANCE(""Currency:EURKZT"")*L1239+S1239)"),9336295)</f>
        <v>9336295</v>
      </c>
      <c r="U1239" s="26">
        <f ca="1">IFERROR(__xludf.DUMMYFUNCTION("D1239*GOOGLEFINANCE(""RUBKZT"")*1000/F1239"),12289050.2155124)</f>
        <v>12289050.2155124</v>
      </c>
      <c r="V1239" s="27">
        <f t="shared" ca="1" si="1057"/>
        <v>0.3162662721681781</v>
      </c>
    </row>
    <row r="1240" spans="1:22" ht="12.75" customHeight="1" x14ac:dyDescent="0.2">
      <c r="A1240" s="6" t="s">
        <v>421</v>
      </c>
      <c r="B1240" s="6" t="s">
        <v>307</v>
      </c>
      <c r="C1240" s="7">
        <v>203231</v>
      </c>
      <c r="D1240" s="8">
        <v>76135.199999999997</v>
      </c>
      <c r="E1240" s="9" t="s">
        <v>16</v>
      </c>
      <c r="F1240" s="23">
        <v>50</v>
      </c>
      <c r="G1240" s="25"/>
      <c r="H1240" s="14">
        <f t="shared" si="1051"/>
        <v>0.55000000000000004</v>
      </c>
      <c r="I1240" s="25">
        <f ca="1">IFERROR(__xludf.DUMMYFUNCTION("ROUND(D1240*GOOGLEFINANCE(""RUBKZT"")*H1240)"),326768)</f>
        <v>326768</v>
      </c>
      <c r="J1240" s="26">
        <f ca="1">IFERROR(__xludf.DUMMYFUNCTION("ROUND(I1240*GOOGLEFINANCE(""KZTEUR""))"),684)</f>
        <v>684</v>
      </c>
      <c r="K1240" s="26">
        <f t="shared" ca="1" si="1052"/>
        <v>13680</v>
      </c>
      <c r="L1240" s="26">
        <f t="shared" ca="1" si="1053"/>
        <v>2599.1999999999998</v>
      </c>
      <c r="M1240" s="26">
        <f t="shared" ref="M1240:N1240" si="1274">M$3</f>
        <v>500</v>
      </c>
      <c r="N1240" s="26">
        <f t="shared" si="1274"/>
        <v>500</v>
      </c>
      <c r="O1240" s="26">
        <f ca="1">IFERROR(__xludf.DUMMYFUNCTION("ROUND(GOOGLEFINANCE(""Currency:EURKZT"")*K1240)"),6533152)</f>
        <v>6533152</v>
      </c>
      <c r="P1240" s="26">
        <f ca="1">IFERROR(__xludf.DUMMYFUNCTION("ROUND(GOOGLEFINANCE(""Currency:EURKZT"")*M1240)"),238785)</f>
        <v>238785</v>
      </c>
      <c r="Q1240" s="26">
        <f ca="1">IFERROR(__xludf.DUMMYFUNCTION("ROUND(GOOGLEFINANCE(""Currency:EURKZT"")*N1240)"),238785)</f>
        <v>238785</v>
      </c>
      <c r="R1240" s="26">
        <f t="shared" ca="1" si="1055"/>
        <v>783978</v>
      </c>
      <c r="S1240" s="26">
        <f t="shared" ca="1" si="1056"/>
        <v>7794700</v>
      </c>
      <c r="T1240" s="26">
        <f ca="1">IFERROR(__xludf.DUMMYFUNCTION("ROUND(GOOGLEFINANCE(""Currency:EURKZT"")*L1240+S1240)"),9035999)</f>
        <v>9035999</v>
      </c>
      <c r="U1240" s="26">
        <f ca="1">IFERROR(__xludf.DUMMYFUNCTION("D1240*GOOGLEFINANCE(""RUBKZT"")*1000/F1240"),11882455.4608318)</f>
        <v>11882455.4608318</v>
      </c>
      <c r="V1240" s="27">
        <f t="shared" ca="1" si="1057"/>
        <v>0.31501292340025716</v>
      </c>
    </row>
    <row r="1241" spans="1:22" ht="12.75" customHeight="1" x14ac:dyDescent="0.2">
      <c r="A1241" s="6" t="s">
        <v>5</v>
      </c>
      <c r="B1241" s="6" t="s">
        <v>6</v>
      </c>
      <c r="C1241" s="7">
        <v>101068</v>
      </c>
      <c r="D1241" s="8">
        <v>27457.200000000001</v>
      </c>
      <c r="E1241" s="9" t="s">
        <v>7</v>
      </c>
      <c r="F1241" s="10">
        <v>60</v>
      </c>
      <c r="G1241" s="25"/>
      <c r="H1241" s="14">
        <f t="shared" si="1051"/>
        <v>0.55000000000000004</v>
      </c>
      <c r="I1241" s="25">
        <f ca="1">IFERROR(__xludf.DUMMYFUNCTION("ROUND(D1241*GOOGLEFINANCE(""RUBKZT"")*H1241)"),117845)</f>
        <v>117845</v>
      </c>
      <c r="J1241" s="26">
        <f ca="1">IFERROR(__xludf.DUMMYFUNCTION("ROUND(I1241*GOOGLEFINANCE(""KZTEUR""))"),247)</f>
        <v>247</v>
      </c>
      <c r="K1241" s="26">
        <f t="shared" ca="1" si="1052"/>
        <v>4117</v>
      </c>
      <c r="L1241" s="26">
        <f t="shared" ca="1" si="1053"/>
        <v>782.23</v>
      </c>
      <c r="M1241" s="26">
        <f t="shared" ref="M1241:N1241" si="1275">M$3</f>
        <v>500</v>
      </c>
      <c r="N1241" s="26">
        <f t="shared" si="1275"/>
        <v>500</v>
      </c>
      <c r="O1241" s="26">
        <f ca="1">IFERROR(__xludf.DUMMYFUNCTION("ROUND(GOOGLEFINANCE(""Currency:EURKZT"")*K1241)"),1966154)</f>
        <v>1966154</v>
      </c>
      <c r="P1241" s="26">
        <f ca="1">IFERROR(__xludf.DUMMYFUNCTION("ROUND(GOOGLEFINANCE(""Currency:EURKZT"")*M1241)"),238785)</f>
        <v>238785</v>
      </c>
      <c r="Q1241" s="26">
        <f ca="1">IFERROR(__xludf.DUMMYFUNCTION("ROUND(GOOGLEFINANCE(""Currency:EURKZT"")*N1241)"),238785)</f>
        <v>238785</v>
      </c>
      <c r="R1241" s="26">
        <f t="shared" ca="1" si="1055"/>
        <v>235938</v>
      </c>
      <c r="S1241" s="26">
        <f t="shared" ca="1" si="1056"/>
        <v>2679662</v>
      </c>
      <c r="T1241" s="26">
        <f ca="1">IFERROR(__xludf.DUMMYFUNCTION("ROUND(GOOGLEFINANCE(""Currency:EURKZT"")*L1241+S1241)"),3053231)</f>
        <v>3053231</v>
      </c>
      <c r="U1241" s="26">
        <f ca="1">IFERROR(__xludf.DUMMYFUNCTION("D1241*GOOGLEFINANCE(""RUBKZT"")*1000/F1241"),3571048.12753224)</f>
        <v>3571048.12753224</v>
      </c>
      <c r="V1241" s="27">
        <f t="shared" ca="1" si="1057"/>
        <v>0.169596446365257</v>
      </c>
    </row>
    <row r="1242" spans="1:22" ht="12.75" customHeight="1" x14ac:dyDescent="0.2">
      <c r="A1242" s="6" t="s">
        <v>8</v>
      </c>
      <c r="B1242" s="6" t="s">
        <v>6</v>
      </c>
      <c r="C1242" s="7">
        <v>101999</v>
      </c>
      <c r="D1242" s="8">
        <v>32174.399999999998</v>
      </c>
      <c r="E1242" s="9" t="s">
        <v>7</v>
      </c>
      <c r="F1242" s="10">
        <v>60</v>
      </c>
      <c r="G1242" s="25"/>
      <c r="H1242" s="14">
        <f t="shared" si="1051"/>
        <v>0.55000000000000004</v>
      </c>
      <c r="I1242" s="25">
        <f ca="1">IFERROR(__xludf.DUMMYFUNCTION("ROUND(D1242*GOOGLEFINANCE(""RUBKZT"")*H1242)"),138091)</f>
        <v>138091</v>
      </c>
      <c r="J1242" s="26">
        <f ca="1">IFERROR(__xludf.DUMMYFUNCTION("ROUND(I1242*GOOGLEFINANCE(""KZTEUR""))"),289)</f>
        <v>289</v>
      </c>
      <c r="K1242" s="26">
        <f t="shared" ca="1" si="1052"/>
        <v>4817</v>
      </c>
      <c r="L1242" s="26">
        <f t="shared" ca="1" si="1053"/>
        <v>915.23</v>
      </c>
      <c r="M1242" s="26">
        <f t="shared" ref="M1242:N1242" si="1276">M$3</f>
        <v>500</v>
      </c>
      <c r="N1242" s="26">
        <f t="shared" si="1276"/>
        <v>500</v>
      </c>
      <c r="O1242" s="26">
        <f ca="1">IFERROR(__xludf.DUMMYFUNCTION("ROUND(GOOGLEFINANCE(""Currency:EURKZT"")*K1242)"),2300453)</f>
        <v>2300453</v>
      </c>
      <c r="P1242" s="26">
        <f ca="1">IFERROR(__xludf.DUMMYFUNCTION("ROUND(GOOGLEFINANCE(""Currency:EURKZT"")*M1242)"),238785)</f>
        <v>238785</v>
      </c>
      <c r="Q1242" s="26">
        <f ca="1">IFERROR(__xludf.DUMMYFUNCTION("ROUND(GOOGLEFINANCE(""Currency:EURKZT"")*N1242)"),238785)</f>
        <v>238785</v>
      </c>
      <c r="R1242" s="26">
        <f t="shared" ca="1" si="1055"/>
        <v>276054</v>
      </c>
      <c r="S1242" s="26">
        <f t="shared" ca="1" si="1056"/>
        <v>3054077</v>
      </c>
      <c r="T1242" s="26">
        <f ca="1">IFERROR(__xludf.DUMMYFUNCTION("ROUND(GOOGLEFINANCE(""Currency:EURKZT"")*L1242+S1242)"),3491163)</f>
        <v>3491163</v>
      </c>
      <c r="U1242" s="26">
        <f ca="1">IFERROR(__xludf.DUMMYFUNCTION("D1242*GOOGLEFINANCE(""RUBKZT"")*1000/F1242"),4184561.09415648)</f>
        <v>4184561.0941564799</v>
      </c>
      <c r="V1242" s="27">
        <f t="shared" ca="1" si="1057"/>
        <v>0.19861521623495665</v>
      </c>
    </row>
    <row r="1243" spans="1:22" ht="12.75" customHeight="1" x14ac:dyDescent="0.2">
      <c r="A1243" s="6" t="s">
        <v>9</v>
      </c>
      <c r="B1243" s="6" t="s">
        <v>6</v>
      </c>
      <c r="C1243" s="7">
        <v>102437</v>
      </c>
      <c r="D1243" s="8">
        <v>34200</v>
      </c>
      <c r="E1243" s="9" t="s">
        <v>7</v>
      </c>
      <c r="F1243" s="10">
        <v>60</v>
      </c>
      <c r="G1243" s="25"/>
      <c r="H1243" s="14">
        <f t="shared" si="1051"/>
        <v>0.55000000000000004</v>
      </c>
      <c r="I1243" s="25">
        <f ca="1">IFERROR(__xludf.DUMMYFUNCTION("ROUND(D1243*GOOGLEFINANCE(""RUBKZT"")*H1243)"),146784)</f>
        <v>146784</v>
      </c>
      <c r="J1243" s="26">
        <f ca="1">IFERROR(__xludf.DUMMYFUNCTION("ROUND(I1243*GOOGLEFINANCE(""KZTEUR""))"),307)</f>
        <v>307</v>
      </c>
      <c r="K1243" s="26">
        <f t="shared" ca="1" si="1052"/>
        <v>5117</v>
      </c>
      <c r="L1243" s="26">
        <f t="shared" ca="1" si="1053"/>
        <v>972.23</v>
      </c>
      <c r="M1243" s="26">
        <f t="shared" ref="M1243:N1243" si="1277">M$3</f>
        <v>500</v>
      </c>
      <c r="N1243" s="26">
        <f t="shared" si="1277"/>
        <v>500</v>
      </c>
      <c r="O1243" s="26">
        <f ca="1">IFERROR(__xludf.DUMMYFUNCTION("ROUND(GOOGLEFINANCE(""Currency:EURKZT"")*K1243)"),2443724)</f>
        <v>2443724</v>
      </c>
      <c r="P1243" s="26">
        <f ca="1">IFERROR(__xludf.DUMMYFUNCTION("ROUND(GOOGLEFINANCE(""Currency:EURKZT"")*M1243)"),238785)</f>
        <v>238785</v>
      </c>
      <c r="Q1243" s="26">
        <f ca="1">IFERROR(__xludf.DUMMYFUNCTION("ROUND(GOOGLEFINANCE(""Currency:EURKZT"")*N1243)"),238785)</f>
        <v>238785</v>
      </c>
      <c r="R1243" s="26">
        <f t="shared" ca="1" si="1055"/>
        <v>293247</v>
      </c>
      <c r="S1243" s="26">
        <f t="shared" ca="1" si="1056"/>
        <v>3214541</v>
      </c>
      <c r="T1243" s="26">
        <f ca="1">IFERROR(__xludf.DUMMYFUNCTION("ROUND(GOOGLEFINANCE(""Currency:EURKZT"")*L1243+S1243)"),3678849)</f>
        <v>3678849</v>
      </c>
      <c r="U1243" s="26">
        <f ca="1">IFERROR(__xludf.DUMMYFUNCTION("D1243*GOOGLEFINANCE(""RUBKZT"")*1000/F1243"),4448008.02564)</f>
        <v>4448008.0256399997</v>
      </c>
      <c r="V1243" s="27">
        <f t="shared" ca="1" si="1057"/>
        <v>0.20907599785693831</v>
      </c>
    </row>
    <row r="1244" spans="1:22" ht="12.75" customHeight="1" x14ac:dyDescent="0.2">
      <c r="A1244" s="6" t="s">
        <v>12</v>
      </c>
      <c r="B1244" s="6" t="s">
        <v>6</v>
      </c>
      <c r="C1244" s="7">
        <v>102922</v>
      </c>
      <c r="D1244" s="8">
        <v>29642.399999999998</v>
      </c>
      <c r="E1244" s="9" t="s">
        <v>7</v>
      </c>
      <c r="F1244" s="10">
        <v>60</v>
      </c>
      <c r="G1244" s="25"/>
      <c r="H1244" s="14">
        <f t="shared" si="1051"/>
        <v>0.55000000000000004</v>
      </c>
      <c r="I1244" s="25">
        <f ca="1">IFERROR(__xludf.DUMMYFUNCTION("ROUND(D1244*GOOGLEFINANCE(""RUBKZT"")*H1244)"),127223)</f>
        <v>127223</v>
      </c>
      <c r="J1244" s="26">
        <f ca="1">IFERROR(__xludf.DUMMYFUNCTION("ROUND(I1244*GOOGLEFINANCE(""KZTEUR""))"),266)</f>
        <v>266</v>
      </c>
      <c r="K1244" s="26">
        <f t="shared" ca="1" si="1052"/>
        <v>4433</v>
      </c>
      <c r="L1244" s="26">
        <f t="shared" ca="1" si="1053"/>
        <v>842.27</v>
      </c>
      <c r="M1244" s="26">
        <f t="shared" ref="M1244:N1244" si="1278">M$3</f>
        <v>500</v>
      </c>
      <c r="N1244" s="26">
        <f t="shared" si="1278"/>
        <v>500</v>
      </c>
      <c r="O1244" s="26">
        <f ca="1">IFERROR(__xludf.DUMMYFUNCTION("ROUND(GOOGLEFINANCE(""Currency:EURKZT"")*K1244)"),2117066)</f>
        <v>2117066</v>
      </c>
      <c r="P1244" s="26">
        <f ca="1">IFERROR(__xludf.DUMMYFUNCTION("ROUND(GOOGLEFINANCE(""Currency:EURKZT"")*M1244)"),238785)</f>
        <v>238785</v>
      </c>
      <c r="Q1244" s="26">
        <f ca="1">IFERROR(__xludf.DUMMYFUNCTION("ROUND(GOOGLEFINANCE(""Currency:EURKZT"")*N1244)"),238785)</f>
        <v>238785</v>
      </c>
      <c r="R1244" s="26">
        <f t="shared" ca="1" si="1055"/>
        <v>254048</v>
      </c>
      <c r="S1244" s="26">
        <f t="shared" ca="1" si="1056"/>
        <v>2848684</v>
      </c>
      <c r="T1244" s="26">
        <f ca="1">IFERROR(__xludf.DUMMYFUNCTION("ROUND(GOOGLEFINANCE(""Currency:EURKZT"")*L1244+S1244)"),3250927)</f>
        <v>3250927</v>
      </c>
      <c r="U1244" s="26">
        <f ca="1">IFERROR(__xludf.DUMMYFUNCTION("D1244*GOOGLEFINANCE(""RUBKZT"")*1000/F1244"),3855252.42980208)</f>
        <v>3855252.4298020802</v>
      </c>
      <c r="V1244" s="27">
        <f t="shared" ca="1" si="1057"/>
        <v>0.1858932636143722</v>
      </c>
    </row>
    <row r="1245" spans="1:22" ht="12.75" customHeight="1" x14ac:dyDescent="0.2">
      <c r="A1245" s="6" t="s">
        <v>13</v>
      </c>
      <c r="B1245" s="6" t="s">
        <v>6</v>
      </c>
      <c r="C1245" s="7">
        <v>103000</v>
      </c>
      <c r="D1245" s="8">
        <v>55686</v>
      </c>
      <c r="E1245" s="9" t="s">
        <v>7</v>
      </c>
      <c r="F1245" s="10">
        <v>60</v>
      </c>
      <c r="G1245" s="25"/>
      <c r="H1245" s="14">
        <f t="shared" si="1051"/>
        <v>0.55000000000000004</v>
      </c>
      <c r="I1245" s="25">
        <f ca="1">IFERROR(__xludf.DUMMYFUNCTION("ROUND(D1245*GOOGLEFINANCE(""RUBKZT"")*H1245)"),239001)</f>
        <v>239001</v>
      </c>
      <c r="J1245" s="26">
        <f ca="1">IFERROR(__xludf.DUMMYFUNCTION("ROUND(I1245*GOOGLEFINANCE(""KZTEUR""))"),501)</f>
        <v>501</v>
      </c>
      <c r="K1245" s="26">
        <f t="shared" ca="1" si="1052"/>
        <v>8350</v>
      </c>
      <c r="L1245" s="26">
        <f t="shared" ca="1" si="1053"/>
        <v>1586.5</v>
      </c>
      <c r="M1245" s="26">
        <f t="shared" ref="M1245:N1245" si="1279">M$3</f>
        <v>500</v>
      </c>
      <c r="N1245" s="26">
        <f t="shared" si="1279"/>
        <v>500</v>
      </c>
      <c r="O1245" s="26">
        <f ca="1">IFERROR(__xludf.DUMMYFUNCTION("ROUND(GOOGLEFINANCE(""Currency:EURKZT"")*K1245)"),3987706)</f>
        <v>3987706</v>
      </c>
      <c r="P1245" s="26">
        <f ca="1">IFERROR(__xludf.DUMMYFUNCTION("ROUND(GOOGLEFINANCE(""Currency:EURKZT"")*M1245)"),238785)</f>
        <v>238785</v>
      </c>
      <c r="Q1245" s="26">
        <f ca="1">IFERROR(__xludf.DUMMYFUNCTION("ROUND(GOOGLEFINANCE(""Currency:EURKZT"")*N1245)"),238785)</f>
        <v>238785</v>
      </c>
      <c r="R1245" s="26">
        <f t="shared" ca="1" si="1055"/>
        <v>478525</v>
      </c>
      <c r="S1245" s="26">
        <f t="shared" ca="1" si="1056"/>
        <v>4943801</v>
      </c>
      <c r="T1245" s="26">
        <f ca="1">IFERROR(__xludf.DUMMYFUNCTION("ROUND(GOOGLEFINANCE(""Currency:EURKZT"")*L1245+S1245)"),5701465)</f>
        <v>5701465</v>
      </c>
      <c r="U1245" s="26">
        <f ca="1">IFERROR(__xludf.DUMMYFUNCTION("D1245*GOOGLEFINANCE(""RUBKZT"")*1000/F1245"),7242449.5589412)</f>
        <v>7242449.5589412004</v>
      </c>
      <c r="V1245" s="27">
        <f t="shared" ca="1" si="1057"/>
        <v>0.27027870186718683</v>
      </c>
    </row>
    <row r="1246" spans="1:22" ht="12.75" customHeight="1" x14ac:dyDescent="0.2">
      <c r="A1246" s="6" t="s">
        <v>35</v>
      </c>
      <c r="B1246" s="6" t="s">
        <v>6</v>
      </c>
      <c r="C1246" s="7">
        <v>110476</v>
      </c>
      <c r="D1246" s="8">
        <v>28593.599999999999</v>
      </c>
      <c r="E1246" s="9" t="s">
        <v>16</v>
      </c>
      <c r="F1246" s="10">
        <v>60</v>
      </c>
      <c r="G1246" s="25"/>
      <c r="H1246" s="14">
        <f t="shared" si="1051"/>
        <v>0.55000000000000004</v>
      </c>
      <c r="I1246" s="25">
        <f ca="1">IFERROR(__xludf.DUMMYFUNCTION("ROUND(D1246*GOOGLEFINANCE(""RUBKZT"")*H1246)"),122722)</f>
        <v>122722</v>
      </c>
      <c r="J1246" s="26">
        <f ca="1">IFERROR(__xludf.DUMMYFUNCTION("ROUND(I1246*GOOGLEFINANCE(""KZTEUR""))"),257)</f>
        <v>257</v>
      </c>
      <c r="K1246" s="26">
        <f t="shared" ca="1" si="1052"/>
        <v>4283</v>
      </c>
      <c r="L1246" s="26">
        <f t="shared" ca="1" si="1053"/>
        <v>813.77</v>
      </c>
      <c r="M1246" s="26">
        <f t="shared" ref="M1246:N1246" si="1280">M$3</f>
        <v>500</v>
      </c>
      <c r="N1246" s="26">
        <f t="shared" si="1280"/>
        <v>500</v>
      </c>
      <c r="O1246" s="26">
        <f ca="1">IFERROR(__xludf.DUMMYFUNCTION("ROUND(GOOGLEFINANCE(""Currency:EURKZT"")*K1246)"),2045431)</f>
        <v>2045431</v>
      </c>
      <c r="P1246" s="26">
        <f ca="1">IFERROR(__xludf.DUMMYFUNCTION("ROUND(GOOGLEFINANCE(""Currency:EURKZT"")*M1246)"),238785)</f>
        <v>238785</v>
      </c>
      <c r="Q1246" s="26">
        <f ca="1">IFERROR(__xludf.DUMMYFUNCTION("ROUND(GOOGLEFINANCE(""Currency:EURKZT"")*N1246)"),238785)</f>
        <v>238785</v>
      </c>
      <c r="R1246" s="26">
        <f t="shared" ca="1" si="1055"/>
        <v>245452</v>
      </c>
      <c r="S1246" s="26">
        <f t="shared" ca="1" si="1056"/>
        <v>2768453</v>
      </c>
      <c r="T1246" s="26">
        <f ca="1">IFERROR(__xludf.DUMMYFUNCTION("ROUND(GOOGLEFINANCE(""Currency:EURKZT"")*L1246+S1246)"),3157085)</f>
        <v>3157085</v>
      </c>
      <c r="U1246" s="26">
        <f ca="1">IFERROR(__xludf.DUMMYFUNCTION("D1246*GOOGLEFINANCE(""RUBKZT"")*1000/F1246"),3718846.85034912)</f>
        <v>3718846.8503491199</v>
      </c>
      <c r="V1246" s="27">
        <f t="shared" ca="1" si="1057"/>
        <v>0.17793687859184021</v>
      </c>
    </row>
    <row r="1247" spans="1:22" ht="12.75" customHeight="1" x14ac:dyDescent="0.2">
      <c r="A1247" s="6" t="s">
        <v>36</v>
      </c>
      <c r="B1247" s="6" t="s">
        <v>6</v>
      </c>
      <c r="C1247" s="7">
        <v>110479</v>
      </c>
      <c r="D1247" s="8">
        <v>26818.799999999999</v>
      </c>
      <c r="E1247" s="9" t="s">
        <v>16</v>
      </c>
      <c r="F1247" s="10">
        <v>60</v>
      </c>
      <c r="G1247" s="25"/>
      <c r="H1247" s="14">
        <f t="shared" si="1051"/>
        <v>0.55000000000000004</v>
      </c>
      <c r="I1247" s="25">
        <f ca="1">IFERROR(__xludf.DUMMYFUNCTION("ROUND(D1247*GOOGLEFINANCE(""RUBKZT"")*H1247)"),115105)</f>
        <v>115105</v>
      </c>
      <c r="J1247" s="26">
        <f ca="1">IFERROR(__xludf.DUMMYFUNCTION("ROUND(I1247*GOOGLEFINANCE(""KZTEUR""))"),241)</f>
        <v>241</v>
      </c>
      <c r="K1247" s="26">
        <f t="shared" ca="1" si="1052"/>
        <v>4017</v>
      </c>
      <c r="L1247" s="26">
        <f t="shared" ca="1" si="1053"/>
        <v>763.23</v>
      </c>
      <c r="M1247" s="26">
        <f t="shared" ref="M1247:N1247" si="1281">M$3</f>
        <v>500</v>
      </c>
      <c r="N1247" s="26">
        <f t="shared" si="1281"/>
        <v>500</v>
      </c>
      <c r="O1247" s="26">
        <f ca="1">IFERROR(__xludf.DUMMYFUNCTION("ROUND(GOOGLEFINANCE(""Currency:EURKZT"")*K1247)"),1918397)</f>
        <v>1918397</v>
      </c>
      <c r="P1247" s="26">
        <f ca="1">IFERROR(__xludf.DUMMYFUNCTION("ROUND(GOOGLEFINANCE(""Currency:EURKZT"")*M1247)"),238785)</f>
        <v>238785</v>
      </c>
      <c r="Q1247" s="26">
        <f ca="1">IFERROR(__xludf.DUMMYFUNCTION("ROUND(GOOGLEFINANCE(""Currency:EURKZT"")*N1247)"),238785)</f>
        <v>238785</v>
      </c>
      <c r="R1247" s="26">
        <f t="shared" ca="1" si="1055"/>
        <v>230208</v>
      </c>
      <c r="S1247" s="26">
        <f t="shared" ca="1" si="1056"/>
        <v>2626175</v>
      </c>
      <c r="T1247" s="26">
        <f ca="1">IFERROR(__xludf.DUMMYFUNCTION("ROUND(GOOGLEFINANCE(""Currency:EURKZT"")*L1247+S1247)"),2990670)</f>
        <v>2990670</v>
      </c>
      <c r="U1247" s="26">
        <f ca="1">IFERROR(__xludf.DUMMYFUNCTION("D1247*GOOGLEFINANCE(""RUBKZT"")*1000/F1247"),3488018.64438696)</f>
        <v>3488018.6443869602</v>
      </c>
      <c r="V1247" s="27">
        <f t="shared" ca="1" si="1057"/>
        <v>0.16630007469462033</v>
      </c>
    </row>
    <row r="1248" spans="1:22" ht="12.75" customHeight="1" x14ac:dyDescent="0.2">
      <c r="A1248" s="6" t="s">
        <v>37</v>
      </c>
      <c r="B1248" s="6" t="s">
        <v>6</v>
      </c>
      <c r="C1248" s="7">
        <v>110482</v>
      </c>
      <c r="D1248" s="8">
        <v>26842.799999999999</v>
      </c>
      <c r="E1248" s="9" t="s">
        <v>16</v>
      </c>
      <c r="F1248" s="10">
        <v>60</v>
      </c>
      <c r="G1248" s="25"/>
      <c r="H1248" s="14">
        <f t="shared" si="1051"/>
        <v>0.55000000000000004</v>
      </c>
      <c r="I1248" s="25">
        <f ca="1">IFERROR(__xludf.DUMMYFUNCTION("ROUND(D1248*GOOGLEFINANCE(""RUBKZT"")*H1248)"),115208)</f>
        <v>115208</v>
      </c>
      <c r="J1248" s="26">
        <f ca="1">IFERROR(__xludf.DUMMYFUNCTION("ROUND(I1248*GOOGLEFINANCE(""KZTEUR""))"),241)</f>
        <v>241</v>
      </c>
      <c r="K1248" s="26">
        <f t="shared" ca="1" si="1052"/>
        <v>4017</v>
      </c>
      <c r="L1248" s="26">
        <f t="shared" ca="1" si="1053"/>
        <v>763.23</v>
      </c>
      <c r="M1248" s="26">
        <f t="shared" ref="M1248:N1248" si="1282">M$3</f>
        <v>500</v>
      </c>
      <c r="N1248" s="26">
        <f t="shared" si="1282"/>
        <v>500</v>
      </c>
      <c r="O1248" s="26">
        <f ca="1">IFERROR(__xludf.DUMMYFUNCTION("ROUND(GOOGLEFINANCE(""Currency:EURKZT"")*K1248)"),1918397)</f>
        <v>1918397</v>
      </c>
      <c r="P1248" s="26">
        <f ca="1">IFERROR(__xludf.DUMMYFUNCTION("ROUND(GOOGLEFINANCE(""Currency:EURKZT"")*M1248)"),238785)</f>
        <v>238785</v>
      </c>
      <c r="Q1248" s="26">
        <f ca="1">IFERROR(__xludf.DUMMYFUNCTION("ROUND(GOOGLEFINANCE(""Currency:EURKZT"")*N1248)"),238785)</f>
        <v>238785</v>
      </c>
      <c r="R1248" s="26">
        <f t="shared" ca="1" si="1055"/>
        <v>230208</v>
      </c>
      <c r="S1248" s="26">
        <f t="shared" ca="1" si="1056"/>
        <v>2626175</v>
      </c>
      <c r="T1248" s="26">
        <f ca="1">IFERROR(__xludf.DUMMYFUNCTION("ROUND(GOOGLEFINANCE(""Currency:EURKZT"")*L1248+S1248)"),2990670)</f>
        <v>2990670</v>
      </c>
      <c r="U1248" s="26">
        <f ca="1">IFERROR(__xludf.DUMMYFUNCTION("D1248*GOOGLEFINANCE(""RUBKZT"")*1000/F1248"),3491140.05352776)</f>
        <v>3491140.0535277599</v>
      </c>
      <c r="V1248" s="27">
        <f t="shared" ca="1" si="1057"/>
        <v>0.16734379036395183</v>
      </c>
    </row>
    <row r="1249" spans="1:22" ht="12.75" customHeight="1" x14ac:dyDescent="0.2">
      <c r="A1249" s="6" t="s">
        <v>60</v>
      </c>
      <c r="B1249" s="6" t="s">
        <v>6</v>
      </c>
      <c r="C1249" s="7">
        <v>110572</v>
      </c>
      <c r="D1249" s="8">
        <v>23414.399999999998</v>
      </c>
      <c r="E1249" s="9" t="s">
        <v>16</v>
      </c>
      <c r="F1249" s="10">
        <v>60</v>
      </c>
      <c r="G1249" s="25"/>
      <c r="H1249" s="14">
        <f t="shared" si="1051"/>
        <v>0.55000000000000004</v>
      </c>
      <c r="I1249" s="25">
        <f ca="1">IFERROR(__xludf.DUMMYFUNCTION("ROUND(D1249*GOOGLEFINANCE(""RUBKZT"")*H1249)"),100493)</f>
        <v>100493</v>
      </c>
      <c r="J1249" s="26">
        <f ca="1">IFERROR(__xludf.DUMMYFUNCTION("ROUND(I1249*GOOGLEFINANCE(""KZTEUR""))"),210)</f>
        <v>210</v>
      </c>
      <c r="K1249" s="26">
        <f t="shared" ca="1" si="1052"/>
        <v>3500</v>
      </c>
      <c r="L1249" s="26">
        <f t="shared" ca="1" si="1053"/>
        <v>665</v>
      </c>
      <c r="M1249" s="26">
        <f t="shared" ref="M1249:N1249" si="1283">M$3</f>
        <v>500</v>
      </c>
      <c r="N1249" s="26">
        <f t="shared" si="1283"/>
        <v>500</v>
      </c>
      <c r="O1249" s="26">
        <f ca="1">IFERROR(__xludf.DUMMYFUNCTION("ROUND(GOOGLEFINANCE(""Currency:EURKZT"")*K1249)"),1671494)</f>
        <v>1671494</v>
      </c>
      <c r="P1249" s="26">
        <f ca="1">IFERROR(__xludf.DUMMYFUNCTION("ROUND(GOOGLEFINANCE(""Currency:EURKZT"")*M1249)"),238785)</f>
        <v>238785</v>
      </c>
      <c r="Q1249" s="26">
        <f ca="1">IFERROR(__xludf.DUMMYFUNCTION("ROUND(GOOGLEFINANCE(""Currency:EURKZT"")*N1249)"),238785)</f>
        <v>238785</v>
      </c>
      <c r="R1249" s="26">
        <f t="shared" ca="1" si="1055"/>
        <v>200579</v>
      </c>
      <c r="S1249" s="26">
        <f t="shared" ca="1" si="1056"/>
        <v>2349643</v>
      </c>
      <c r="T1249" s="26">
        <f ca="1">IFERROR(__xludf.DUMMYFUNCTION("ROUND(GOOGLEFINANCE(""Currency:EURKZT"")*L1249+S1249)"),2667227)</f>
        <v>2667227</v>
      </c>
      <c r="U1249" s="26">
        <f ca="1">IFERROR(__xludf.DUMMYFUNCTION("D1249*GOOGLEFINANCE(""RUBKZT"")*1000/F1249"),3045246.75776448)</f>
        <v>3045246.7577644801</v>
      </c>
      <c r="V1249" s="27">
        <f t="shared" ca="1" si="1057"/>
        <v>0.14172762864371127</v>
      </c>
    </row>
    <row r="1250" spans="1:22" ht="12.75" customHeight="1" x14ac:dyDescent="0.2">
      <c r="A1250" s="6" t="s">
        <v>61</v>
      </c>
      <c r="B1250" s="6" t="s">
        <v>6</v>
      </c>
      <c r="C1250" s="7">
        <v>110575</v>
      </c>
      <c r="D1250" s="8">
        <v>23684.399999999998</v>
      </c>
      <c r="E1250" s="9" t="s">
        <v>16</v>
      </c>
      <c r="F1250" s="10">
        <v>60</v>
      </c>
      <c r="G1250" s="25"/>
      <c r="H1250" s="14">
        <f t="shared" si="1051"/>
        <v>0.55000000000000004</v>
      </c>
      <c r="I1250" s="25">
        <f ca="1">IFERROR(__xludf.DUMMYFUNCTION("ROUND(D1250*GOOGLEFINANCE(""RUBKZT"")*H1250)"),101652)</f>
        <v>101652</v>
      </c>
      <c r="J1250" s="26">
        <f ca="1">IFERROR(__xludf.DUMMYFUNCTION("ROUND(I1250*GOOGLEFINANCE(""KZTEUR""))"),213)</f>
        <v>213</v>
      </c>
      <c r="K1250" s="26">
        <f t="shared" ca="1" si="1052"/>
        <v>3550</v>
      </c>
      <c r="L1250" s="26">
        <f t="shared" ca="1" si="1053"/>
        <v>674.5</v>
      </c>
      <c r="M1250" s="26">
        <f t="shared" ref="M1250:N1250" si="1284">M$3</f>
        <v>500</v>
      </c>
      <c r="N1250" s="26">
        <f t="shared" si="1284"/>
        <v>500</v>
      </c>
      <c r="O1250" s="26">
        <f ca="1">IFERROR(__xludf.DUMMYFUNCTION("ROUND(GOOGLEFINANCE(""Currency:EURKZT"")*K1250)"),1695372)</f>
        <v>1695372</v>
      </c>
      <c r="P1250" s="26">
        <f ca="1">IFERROR(__xludf.DUMMYFUNCTION("ROUND(GOOGLEFINANCE(""Currency:EURKZT"")*M1250)"),238785)</f>
        <v>238785</v>
      </c>
      <c r="Q1250" s="26">
        <f ca="1">IFERROR(__xludf.DUMMYFUNCTION("ROUND(GOOGLEFINANCE(""Currency:EURKZT"")*N1250)"),238785)</f>
        <v>238785</v>
      </c>
      <c r="R1250" s="26">
        <f t="shared" ca="1" si="1055"/>
        <v>203445</v>
      </c>
      <c r="S1250" s="26">
        <f t="shared" ca="1" si="1056"/>
        <v>2376387</v>
      </c>
      <c r="T1250" s="26">
        <f ca="1">IFERROR(__xludf.DUMMYFUNCTION("ROUND(GOOGLEFINANCE(""Currency:EURKZT"")*L1250+S1250)"),2698508)</f>
        <v>2698508</v>
      </c>
      <c r="U1250" s="26">
        <f ca="1">IFERROR(__xludf.DUMMYFUNCTION("D1250*GOOGLEFINANCE(""RUBKZT"")*1000/F1250"),3080362.61059848)</f>
        <v>3080362.6105984799</v>
      </c>
      <c r="V1250" s="27">
        <f t="shared" ca="1" si="1057"/>
        <v>0.14150582862770089</v>
      </c>
    </row>
    <row r="1251" spans="1:22" ht="12.75" customHeight="1" x14ac:dyDescent="0.2">
      <c r="A1251" s="6" t="s">
        <v>62</v>
      </c>
      <c r="B1251" s="6" t="s">
        <v>6</v>
      </c>
      <c r="C1251" s="7">
        <v>110578</v>
      </c>
      <c r="D1251" s="8">
        <v>24524.399999999998</v>
      </c>
      <c r="E1251" s="9" t="s">
        <v>16</v>
      </c>
      <c r="F1251" s="10">
        <v>60</v>
      </c>
      <c r="G1251" s="25"/>
      <c r="H1251" s="14">
        <f t="shared" si="1051"/>
        <v>0.55000000000000004</v>
      </c>
      <c r="I1251" s="25">
        <f ca="1">IFERROR(__xludf.DUMMYFUNCTION("ROUND(D1251*GOOGLEFINANCE(""RUBKZT"")*H1251)"),105257)</f>
        <v>105257</v>
      </c>
      <c r="J1251" s="26">
        <f ca="1">IFERROR(__xludf.DUMMYFUNCTION("ROUND(I1251*GOOGLEFINANCE(""KZTEUR""))"),220)</f>
        <v>220</v>
      </c>
      <c r="K1251" s="26">
        <f t="shared" ca="1" si="1052"/>
        <v>3667</v>
      </c>
      <c r="L1251" s="26">
        <f t="shared" ca="1" si="1053"/>
        <v>696.73</v>
      </c>
      <c r="M1251" s="26">
        <f t="shared" ref="M1251:N1251" si="1285">M$3</f>
        <v>500</v>
      </c>
      <c r="N1251" s="26">
        <f t="shared" si="1285"/>
        <v>500</v>
      </c>
      <c r="O1251" s="26">
        <f ca="1">IFERROR(__xludf.DUMMYFUNCTION("ROUND(GOOGLEFINANCE(""Currency:EURKZT"")*K1251)"),1751248)</f>
        <v>1751248</v>
      </c>
      <c r="P1251" s="26">
        <f ca="1">IFERROR(__xludf.DUMMYFUNCTION("ROUND(GOOGLEFINANCE(""Currency:EURKZT"")*M1251)"),238785)</f>
        <v>238785</v>
      </c>
      <c r="Q1251" s="26">
        <f ca="1">IFERROR(__xludf.DUMMYFUNCTION("ROUND(GOOGLEFINANCE(""Currency:EURKZT"")*N1251)"),238785)</f>
        <v>238785</v>
      </c>
      <c r="R1251" s="26">
        <f t="shared" ca="1" si="1055"/>
        <v>210150</v>
      </c>
      <c r="S1251" s="26">
        <f t="shared" ca="1" si="1056"/>
        <v>2438968</v>
      </c>
      <c r="T1251" s="26">
        <f ca="1">IFERROR(__xludf.DUMMYFUNCTION("ROUND(GOOGLEFINANCE(""Currency:EURKZT"")*L1251+S1251)"),2771705)</f>
        <v>2771705</v>
      </c>
      <c r="U1251" s="26">
        <f ca="1">IFERROR(__xludf.DUMMYFUNCTION("D1251*GOOGLEFINANCE(""RUBKZT"")*1000/F1251"),3189611.93052647)</f>
        <v>3189611.9305264698</v>
      </c>
      <c r="V1251" s="27">
        <f t="shared" ca="1" si="1057"/>
        <v>0.1507761217468922</v>
      </c>
    </row>
    <row r="1252" spans="1:22" ht="12.75" customHeight="1" x14ac:dyDescent="0.2">
      <c r="A1252" s="6" t="s">
        <v>65</v>
      </c>
      <c r="B1252" s="6" t="s">
        <v>6</v>
      </c>
      <c r="C1252" s="7">
        <v>110634</v>
      </c>
      <c r="D1252" s="8">
        <v>27969.599999999999</v>
      </c>
      <c r="E1252" s="9" t="s">
        <v>16</v>
      </c>
      <c r="F1252" s="10">
        <v>60</v>
      </c>
      <c r="G1252" s="25"/>
      <c r="H1252" s="14">
        <f t="shared" si="1051"/>
        <v>0.55000000000000004</v>
      </c>
      <c r="I1252" s="25">
        <f ca="1">IFERROR(__xludf.DUMMYFUNCTION("ROUND(D1252*GOOGLEFINANCE(""RUBKZT"")*H1252)"),120044)</f>
        <v>120044</v>
      </c>
      <c r="J1252" s="26">
        <f ca="1">IFERROR(__xludf.DUMMYFUNCTION("ROUND(I1252*GOOGLEFINANCE(""KZTEUR""))"),251)</f>
        <v>251</v>
      </c>
      <c r="K1252" s="26">
        <f t="shared" ca="1" si="1052"/>
        <v>4183</v>
      </c>
      <c r="L1252" s="26">
        <f t="shared" ca="1" si="1053"/>
        <v>794.77</v>
      </c>
      <c r="M1252" s="26">
        <f t="shared" ref="M1252:N1252" si="1286">M$3</f>
        <v>500</v>
      </c>
      <c r="N1252" s="26">
        <f t="shared" si="1286"/>
        <v>500</v>
      </c>
      <c r="O1252" s="26">
        <f ca="1">IFERROR(__xludf.DUMMYFUNCTION("ROUND(GOOGLEFINANCE(""Currency:EURKZT"")*K1252)"),1997674)</f>
        <v>1997674</v>
      </c>
      <c r="P1252" s="26">
        <f ca="1">IFERROR(__xludf.DUMMYFUNCTION("ROUND(GOOGLEFINANCE(""Currency:EURKZT"")*M1252)"),238785)</f>
        <v>238785</v>
      </c>
      <c r="Q1252" s="26">
        <f ca="1">IFERROR(__xludf.DUMMYFUNCTION("ROUND(GOOGLEFINANCE(""Currency:EURKZT"")*N1252)"),238785)</f>
        <v>238785</v>
      </c>
      <c r="R1252" s="26">
        <f t="shared" ca="1" si="1055"/>
        <v>239721</v>
      </c>
      <c r="S1252" s="26">
        <f t="shared" ca="1" si="1056"/>
        <v>2714965</v>
      </c>
      <c r="T1252" s="26">
        <f ca="1">IFERROR(__xludf.DUMMYFUNCTION("ROUND(GOOGLEFINANCE(""Currency:EURKZT"")*L1252+S1252)"),3094523)</f>
        <v>3094523</v>
      </c>
      <c r="U1252" s="26">
        <f ca="1">IFERROR(__xludf.DUMMYFUNCTION("D1252*GOOGLEFINANCE(""RUBKZT"")*1000/F1252"),3637690.21268832)</f>
        <v>3637690.2126883199</v>
      </c>
      <c r="V1252" s="27">
        <f t="shared" ca="1" si="1057"/>
        <v>0.17552534354675012</v>
      </c>
    </row>
    <row r="1253" spans="1:22" ht="12.75" customHeight="1" x14ac:dyDescent="0.2">
      <c r="A1253" s="6" t="s">
        <v>67</v>
      </c>
      <c r="B1253" s="6" t="s">
        <v>6</v>
      </c>
      <c r="C1253" s="7">
        <v>110660</v>
      </c>
      <c r="D1253" s="8">
        <v>29152.799999999999</v>
      </c>
      <c r="E1253" s="9" t="s">
        <v>16</v>
      </c>
      <c r="F1253" s="10">
        <v>60</v>
      </c>
      <c r="G1253" s="25"/>
      <c r="H1253" s="14">
        <f t="shared" si="1051"/>
        <v>0.55000000000000004</v>
      </c>
      <c r="I1253" s="25">
        <f ca="1">IFERROR(__xludf.DUMMYFUNCTION("ROUND(D1253*GOOGLEFINANCE(""RUBKZT"")*H1253)"),125122)</f>
        <v>125122</v>
      </c>
      <c r="J1253" s="26">
        <f ca="1">IFERROR(__xludf.DUMMYFUNCTION("ROUND(I1253*GOOGLEFINANCE(""KZTEUR""))"),262)</f>
        <v>262</v>
      </c>
      <c r="K1253" s="26">
        <f t="shared" ca="1" si="1052"/>
        <v>4367</v>
      </c>
      <c r="L1253" s="26">
        <f t="shared" ca="1" si="1053"/>
        <v>829.73</v>
      </c>
      <c r="M1253" s="26">
        <f t="shared" ref="M1253:N1253" si="1287">M$3</f>
        <v>500</v>
      </c>
      <c r="N1253" s="26">
        <f t="shared" si="1287"/>
        <v>500</v>
      </c>
      <c r="O1253" s="26">
        <f ca="1">IFERROR(__xludf.DUMMYFUNCTION("ROUND(GOOGLEFINANCE(""Currency:EURKZT"")*K1253)"),2085547)</f>
        <v>2085547</v>
      </c>
      <c r="P1253" s="26">
        <f ca="1">IFERROR(__xludf.DUMMYFUNCTION("ROUND(GOOGLEFINANCE(""Currency:EURKZT"")*M1253)"),238785)</f>
        <v>238785</v>
      </c>
      <c r="Q1253" s="26">
        <f ca="1">IFERROR(__xludf.DUMMYFUNCTION("ROUND(GOOGLEFINANCE(""Currency:EURKZT"")*N1253)"),238785)</f>
        <v>238785</v>
      </c>
      <c r="R1253" s="26">
        <f t="shared" ca="1" si="1055"/>
        <v>250266</v>
      </c>
      <c r="S1253" s="26">
        <f t="shared" ca="1" si="1056"/>
        <v>2813383</v>
      </c>
      <c r="T1253" s="26">
        <f ca="1">IFERROR(__xludf.DUMMYFUNCTION("ROUND(GOOGLEFINANCE(""Currency:EURKZT"")*L1253+S1253)"),3209637)</f>
        <v>3209637</v>
      </c>
      <c r="U1253" s="26">
        <f ca="1">IFERROR(__xludf.DUMMYFUNCTION("D1253*GOOGLEFINANCE(""RUBKZT"")*1000/F1253"),3791575.68332976)</f>
        <v>3791575.6833297601</v>
      </c>
      <c r="V1253" s="27">
        <f t="shared" ca="1" si="1057"/>
        <v>0.18130981270771745</v>
      </c>
    </row>
    <row r="1254" spans="1:22" ht="12.75" customHeight="1" x14ac:dyDescent="0.2">
      <c r="A1254" s="6" t="s">
        <v>68</v>
      </c>
      <c r="B1254" s="6" t="s">
        <v>6</v>
      </c>
      <c r="C1254" s="7">
        <v>110691</v>
      </c>
      <c r="D1254" s="8">
        <v>26954.399999999998</v>
      </c>
      <c r="E1254" s="9" t="s">
        <v>16</v>
      </c>
      <c r="F1254" s="10">
        <v>60</v>
      </c>
      <c r="G1254" s="25"/>
      <c r="H1254" s="14">
        <f t="shared" si="1051"/>
        <v>0.55000000000000004</v>
      </c>
      <c r="I1254" s="25">
        <f ca="1">IFERROR(__xludf.DUMMYFUNCTION("ROUND(D1254*GOOGLEFINANCE(""RUBKZT"")*H1254)"),115687)</f>
        <v>115687</v>
      </c>
      <c r="J1254" s="26">
        <f ca="1">IFERROR(__xludf.DUMMYFUNCTION("ROUND(I1254*GOOGLEFINANCE(""KZTEUR""))"),242)</f>
        <v>242</v>
      </c>
      <c r="K1254" s="26">
        <f t="shared" ca="1" si="1052"/>
        <v>4033</v>
      </c>
      <c r="L1254" s="26">
        <f t="shared" ca="1" si="1053"/>
        <v>766.27</v>
      </c>
      <c r="M1254" s="26">
        <f t="shared" ref="M1254:N1254" si="1288">M$3</f>
        <v>500</v>
      </c>
      <c r="N1254" s="26">
        <f t="shared" si="1288"/>
        <v>500</v>
      </c>
      <c r="O1254" s="26">
        <f ca="1">IFERROR(__xludf.DUMMYFUNCTION("ROUND(GOOGLEFINANCE(""Currency:EURKZT"")*K1254)"),1926038)</f>
        <v>1926038</v>
      </c>
      <c r="P1254" s="26">
        <f ca="1">IFERROR(__xludf.DUMMYFUNCTION("ROUND(GOOGLEFINANCE(""Currency:EURKZT"")*M1254)"),238785)</f>
        <v>238785</v>
      </c>
      <c r="Q1254" s="26">
        <f ca="1">IFERROR(__xludf.DUMMYFUNCTION("ROUND(GOOGLEFINANCE(""Currency:EURKZT"")*N1254)"),238785)</f>
        <v>238785</v>
      </c>
      <c r="R1254" s="26">
        <f t="shared" ca="1" si="1055"/>
        <v>231125</v>
      </c>
      <c r="S1254" s="26">
        <f t="shared" ca="1" si="1056"/>
        <v>2634733</v>
      </c>
      <c r="T1254" s="26">
        <f ca="1">IFERROR(__xludf.DUMMYFUNCTION("ROUND(GOOGLEFINANCE(""Currency:EURKZT"")*L1254+S1254)"),3000680)</f>
        <v>3000680</v>
      </c>
      <c r="U1254" s="26">
        <f ca="1">IFERROR(__xludf.DUMMYFUNCTION("D1254*GOOGLEFINANCE(""RUBKZT"")*1000/F1254"),3505654.60603248)</f>
        <v>3505654.60603248</v>
      </c>
      <c r="V1254" s="27">
        <f t="shared" ca="1" si="1057"/>
        <v>0.16828672368679101</v>
      </c>
    </row>
    <row r="1255" spans="1:22" ht="12.75" customHeight="1" x14ac:dyDescent="0.2">
      <c r="A1255" s="6" t="s">
        <v>137</v>
      </c>
      <c r="B1255" s="6" t="s">
        <v>6</v>
      </c>
      <c r="C1255" s="7">
        <v>113453</v>
      </c>
      <c r="D1255" s="8">
        <v>21150</v>
      </c>
      <c r="E1255" s="9" t="s">
        <v>16</v>
      </c>
      <c r="F1255" s="10">
        <v>60</v>
      </c>
      <c r="G1255" s="25"/>
      <c r="H1255" s="14">
        <f t="shared" si="1051"/>
        <v>0.55000000000000004</v>
      </c>
      <c r="I1255" s="25">
        <f ca="1">IFERROR(__xludf.DUMMYFUNCTION("ROUND(D1255*GOOGLEFINANCE(""RUBKZT"")*H1255)"),90774)</f>
        <v>90774</v>
      </c>
      <c r="J1255" s="26">
        <f ca="1">IFERROR(__xludf.DUMMYFUNCTION("ROUND(I1255*GOOGLEFINANCE(""KZTEUR""))"),190)</f>
        <v>190</v>
      </c>
      <c r="K1255" s="26">
        <f t="shared" ca="1" si="1052"/>
        <v>3167</v>
      </c>
      <c r="L1255" s="26">
        <f t="shared" ca="1" si="1053"/>
        <v>601.73</v>
      </c>
      <c r="M1255" s="26">
        <f t="shared" ref="M1255:N1255" si="1289">M$3</f>
        <v>500</v>
      </c>
      <c r="N1255" s="26">
        <f t="shared" si="1289"/>
        <v>500</v>
      </c>
      <c r="O1255" s="26">
        <f ca="1">IFERROR(__xludf.DUMMYFUNCTION("ROUND(GOOGLEFINANCE(""Currency:EURKZT"")*K1255)"),1512463)</f>
        <v>1512463</v>
      </c>
      <c r="P1255" s="26">
        <f ca="1">IFERROR(__xludf.DUMMYFUNCTION("ROUND(GOOGLEFINANCE(""Currency:EURKZT"")*M1255)"),238785)</f>
        <v>238785</v>
      </c>
      <c r="Q1255" s="26">
        <f ca="1">IFERROR(__xludf.DUMMYFUNCTION("ROUND(GOOGLEFINANCE(""Currency:EURKZT"")*N1255)"),238785)</f>
        <v>238785</v>
      </c>
      <c r="R1255" s="26">
        <f t="shared" ca="1" si="1055"/>
        <v>181496</v>
      </c>
      <c r="S1255" s="26">
        <f t="shared" ca="1" si="1056"/>
        <v>2171529</v>
      </c>
      <c r="T1255" s="26">
        <f ca="1">IFERROR(__xludf.DUMMYFUNCTION("ROUND(GOOGLEFINANCE(""Currency:EURKZT"")*L1255+S1255)"),2458897)</f>
        <v>2458897</v>
      </c>
      <c r="U1255" s="26">
        <f ca="1">IFERROR(__xludf.DUMMYFUNCTION("D1255*GOOGLEFINANCE(""RUBKZT"")*1000/F1255"),2750741.80533)</f>
        <v>2750741.8053299999</v>
      </c>
      <c r="V1255" s="27">
        <f t="shared" ca="1" si="1057"/>
        <v>0.11868931692950127</v>
      </c>
    </row>
    <row r="1256" spans="1:22" ht="12.75" customHeight="1" x14ac:dyDescent="0.2">
      <c r="A1256" s="6" t="s">
        <v>34</v>
      </c>
      <c r="B1256" s="6" t="s">
        <v>6</v>
      </c>
      <c r="C1256" s="7">
        <v>114531</v>
      </c>
      <c r="D1256" s="8">
        <v>27057.599999999999</v>
      </c>
      <c r="E1256" s="9" t="s">
        <v>16</v>
      </c>
      <c r="F1256" s="10">
        <v>60</v>
      </c>
      <c r="G1256" s="25"/>
      <c r="H1256" s="14">
        <f t="shared" si="1051"/>
        <v>0.55000000000000004</v>
      </c>
      <c r="I1256" s="25">
        <f ca="1">IFERROR(__xludf.DUMMYFUNCTION("ROUND(D1256*GOOGLEFINANCE(""RUBKZT"")*H1256)"),116130)</f>
        <v>116130</v>
      </c>
      <c r="J1256" s="26">
        <f ca="1">IFERROR(__xludf.DUMMYFUNCTION("ROUND(I1256*GOOGLEFINANCE(""KZTEUR""))"),243)</f>
        <v>243</v>
      </c>
      <c r="K1256" s="26">
        <f t="shared" ca="1" si="1052"/>
        <v>4050</v>
      </c>
      <c r="L1256" s="26">
        <f t="shared" ca="1" si="1053"/>
        <v>769.5</v>
      </c>
      <c r="M1256" s="26">
        <f t="shared" ref="M1256:N1256" si="1290">M$3</f>
        <v>500</v>
      </c>
      <c r="N1256" s="26">
        <f t="shared" si="1290"/>
        <v>500</v>
      </c>
      <c r="O1256" s="26">
        <f ca="1">IFERROR(__xludf.DUMMYFUNCTION("ROUND(GOOGLEFINANCE(""Currency:EURKZT"")*K1256)"),1934157)</f>
        <v>1934157</v>
      </c>
      <c r="P1256" s="26">
        <f ca="1">IFERROR(__xludf.DUMMYFUNCTION("ROUND(GOOGLEFINANCE(""Currency:EURKZT"")*M1256)"),238785)</f>
        <v>238785</v>
      </c>
      <c r="Q1256" s="26">
        <f ca="1">IFERROR(__xludf.DUMMYFUNCTION("ROUND(GOOGLEFINANCE(""Currency:EURKZT"")*N1256)"),238785)</f>
        <v>238785</v>
      </c>
      <c r="R1256" s="26">
        <f t="shared" ca="1" si="1055"/>
        <v>232099</v>
      </c>
      <c r="S1256" s="26">
        <f t="shared" ca="1" si="1056"/>
        <v>2643826</v>
      </c>
      <c r="T1256" s="26">
        <f ca="1">IFERROR(__xludf.DUMMYFUNCTION("ROUND(GOOGLEFINANCE(""Currency:EURKZT"")*L1256+S1256)"),3011316)</f>
        <v>3011316</v>
      </c>
      <c r="U1256" s="26">
        <f ca="1">IFERROR(__xludf.DUMMYFUNCTION("D1256*GOOGLEFINANCE(""RUBKZT"")*1000/F1256"),3519076.66533792)</f>
        <v>3519076.6653379202</v>
      </c>
      <c r="V1256" s="27">
        <f t="shared" ca="1" si="1057"/>
        <v>0.16861752979027117</v>
      </c>
    </row>
    <row r="1257" spans="1:22" ht="12.75" customHeight="1" x14ac:dyDescent="0.2">
      <c r="A1257" s="6" t="s">
        <v>152</v>
      </c>
      <c r="B1257" s="6" t="s">
        <v>6</v>
      </c>
      <c r="C1257" s="7">
        <v>127911</v>
      </c>
      <c r="D1257" s="8">
        <v>41365.199999999997</v>
      </c>
      <c r="E1257" s="9" t="s">
        <v>16</v>
      </c>
      <c r="F1257" s="10">
        <v>60</v>
      </c>
      <c r="G1257" s="25"/>
      <c r="H1257" s="14">
        <f t="shared" si="1051"/>
        <v>0.55000000000000004</v>
      </c>
      <c r="I1257" s="25">
        <f ca="1">IFERROR(__xludf.DUMMYFUNCTION("ROUND(D1257*GOOGLEFINANCE(""RUBKZT"")*H1257)"),177537)</f>
        <v>177537</v>
      </c>
      <c r="J1257" s="26">
        <f ca="1">IFERROR(__xludf.DUMMYFUNCTION("ROUND(I1257*GOOGLEFINANCE(""KZTEUR""))"),372)</f>
        <v>372</v>
      </c>
      <c r="K1257" s="26">
        <f t="shared" ca="1" si="1052"/>
        <v>6200</v>
      </c>
      <c r="L1257" s="26">
        <f t="shared" ca="1" si="1053"/>
        <v>1178</v>
      </c>
      <c r="M1257" s="26">
        <f t="shared" ref="M1257:N1257" si="1291">M$3</f>
        <v>500</v>
      </c>
      <c r="N1257" s="26">
        <f t="shared" si="1291"/>
        <v>500</v>
      </c>
      <c r="O1257" s="26">
        <f ca="1">IFERROR(__xludf.DUMMYFUNCTION("ROUND(GOOGLEFINANCE(""Currency:EURKZT"")*K1257)"),2960932)</f>
        <v>2960932</v>
      </c>
      <c r="P1257" s="26">
        <f ca="1">IFERROR(__xludf.DUMMYFUNCTION("ROUND(GOOGLEFINANCE(""Currency:EURKZT"")*M1257)"),238785)</f>
        <v>238785</v>
      </c>
      <c r="Q1257" s="26">
        <f ca="1">IFERROR(__xludf.DUMMYFUNCTION("ROUND(GOOGLEFINANCE(""Currency:EURKZT"")*N1257)"),238785)</f>
        <v>238785</v>
      </c>
      <c r="R1257" s="26">
        <f t="shared" ca="1" si="1055"/>
        <v>355312</v>
      </c>
      <c r="S1257" s="26">
        <f t="shared" ca="1" si="1056"/>
        <v>3793814</v>
      </c>
      <c r="T1257" s="26">
        <f ca="1">IFERROR(__xludf.DUMMYFUNCTION("ROUND(GOOGLEFINANCE(""Currency:EURKZT"")*L1257+S1257)"),4356391)</f>
        <v>4356391</v>
      </c>
      <c r="U1257" s="26">
        <f ca="1">IFERROR(__xludf.DUMMYFUNCTION("D1257*GOOGLEFINANCE(""RUBKZT"")*1000/F1257"),5379904.72462584)</f>
        <v>5379904.7246258399</v>
      </c>
      <c r="V1257" s="27">
        <f t="shared" ca="1" si="1057"/>
        <v>0.23494533080842372</v>
      </c>
    </row>
    <row r="1258" spans="1:22" ht="12.75" customHeight="1" x14ac:dyDescent="0.2">
      <c r="A1258" s="6" t="s">
        <v>153</v>
      </c>
      <c r="B1258" s="6" t="s">
        <v>6</v>
      </c>
      <c r="C1258" s="7">
        <v>129076</v>
      </c>
      <c r="D1258" s="8">
        <v>25263.599999999999</v>
      </c>
      <c r="E1258" s="9" t="s">
        <v>16</v>
      </c>
      <c r="F1258" s="10">
        <v>60</v>
      </c>
      <c r="G1258" s="25"/>
      <c r="H1258" s="14">
        <f t="shared" si="1051"/>
        <v>0.55000000000000004</v>
      </c>
      <c r="I1258" s="25">
        <f ca="1">IFERROR(__xludf.DUMMYFUNCTION("ROUND(D1258*GOOGLEFINANCE(""RUBKZT"")*H1258)"),108430)</f>
        <v>108430</v>
      </c>
      <c r="J1258" s="26">
        <f ca="1">IFERROR(__xludf.DUMMYFUNCTION("ROUND(I1258*GOOGLEFINANCE(""KZTEUR""))"),227)</f>
        <v>227</v>
      </c>
      <c r="K1258" s="26">
        <f t="shared" ca="1" si="1052"/>
        <v>3783</v>
      </c>
      <c r="L1258" s="26">
        <f t="shared" ca="1" si="1053"/>
        <v>718.77</v>
      </c>
      <c r="M1258" s="26">
        <f t="shared" ref="M1258:N1258" si="1292">M$3</f>
        <v>500</v>
      </c>
      <c r="N1258" s="26">
        <f t="shared" si="1292"/>
        <v>500</v>
      </c>
      <c r="O1258" s="26">
        <f ca="1">IFERROR(__xludf.DUMMYFUNCTION("ROUND(GOOGLEFINANCE(""Currency:EURKZT"")*K1258)"),1806646)</f>
        <v>1806646</v>
      </c>
      <c r="P1258" s="26">
        <f ca="1">IFERROR(__xludf.DUMMYFUNCTION("ROUND(GOOGLEFINANCE(""Currency:EURKZT"")*M1258)"),238785)</f>
        <v>238785</v>
      </c>
      <c r="Q1258" s="26">
        <f ca="1">IFERROR(__xludf.DUMMYFUNCTION("ROUND(GOOGLEFINANCE(""Currency:EURKZT"")*N1258)"),238785)</f>
        <v>238785</v>
      </c>
      <c r="R1258" s="26">
        <f t="shared" ca="1" si="1055"/>
        <v>216798</v>
      </c>
      <c r="S1258" s="26">
        <f t="shared" ca="1" si="1056"/>
        <v>2501014</v>
      </c>
      <c r="T1258" s="26">
        <f ca="1">IFERROR(__xludf.DUMMYFUNCTION("ROUND(GOOGLEFINANCE(""Currency:EURKZT"")*L1258+S1258)"),2844277)</f>
        <v>2844277</v>
      </c>
      <c r="U1258" s="26">
        <f ca="1">IFERROR(__xludf.DUMMYFUNCTION("D1258*GOOGLEFINANCE(""RUBKZT"")*1000/F1258"),3285751.33206312)</f>
        <v>3285751.3320631199</v>
      </c>
      <c r="V1258" s="27">
        <f t="shared" ca="1" si="1057"/>
        <v>0.15521495693391321</v>
      </c>
    </row>
    <row r="1259" spans="1:22" ht="12.75" customHeight="1" x14ac:dyDescent="0.2">
      <c r="A1259" s="6" t="s">
        <v>73</v>
      </c>
      <c r="B1259" s="6" t="s">
        <v>6</v>
      </c>
      <c r="C1259" s="7">
        <v>132352</v>
      </c>
      <c r="D1259" s="8">
        <v>29232</v>
      </c>
      <c r="E1259" s="9" t="s">
        <v>16</v>
      </c>
      <c r="F1259" s="10">
        <v>60</v>
      </c>
      <c r="G1259" s="25"/>
      <c r="H1259" s="14">
        <f t="shared" si="1051"/>
        <v>0.55000000000000004</v>
      </c>
      <c r="I1259" s="25">
        <f ca="1">IFERROR(__xludf.DUMMYFUNCTION("ROUND(D1259*GOOGLEFINANCE(""RUBKZT"")*H1259)"),125462)</f>
        <v>125462</v>
      </c>
      <c r="J1259" s="26">
        <f ca="1">IFERROR(__xludf.DUMMYFUNCTION("ROUND(I1259*GOOGLEFINANCE(""KZTEUR""))"),263)</f>
        <v>263</v>
      </c>
      <c r="K1259" s="26">
        <f t="shared" ca="1" si="1052"/>
        <v>4383</v>
      </c>
      <c r="L1259" s="26">
        <f t="shared" ca="1" si="1053"/>
        <v>832.77</v>
      </c>
      <c r="M1259" s="26">
        <f t="shared" ref="M1259:N1259" si="1293">M$3</f>
        <v>500</v>
      </c>
      <c r="N1259" s="26">
        <f t="shared" si="1293"/>
        <v>500</v>
      </c>
      <c r="O1259" s="26">
        <f ca="1">IFERROR(__xludf.DUMMYFUNCTION("ROUND(GOOGLEFINANCE(""Currency:EURKZT"")*K1259)"),2093188)</f>
        <v>2093188</v>
      </c>
      <c r="P1259" s="26">
        <f ca="1">IFERROR(__xludf.DUMMYFUNCTION("ROUND(GOOGLEFINANCE(""Currency:EURKZT"")*M1259)"),238785)</f>
        <v>238785</v>
      </c>
      <c r="Q1259" s="26">
        <f ca="1">IFERROR(__xludf.DUMMYFUNCTION("ROUND(GOOGLEFINANCE(""Currency:EURKZT"")*N1259)"),238785)</f>
        <v>238785</v>
      </c>
      <c r="R1259" s="26">
        <f t="shared" ca="1" si="1055"/>
        <v>251183</v>
      </c>
      <c r="S1259" s="26">
        <f t="shared" ca="1" si="1056"/>
        <v>2821941</v>
      </c>
      <c r="T1259" s="26">
        <f ca="1">IFERROR(__xludf.DUMMYFUNCTION("ROUND(GOOGLEFINANCE(""Currency:EURKZT"")*L1259+S1259)"),3219647)</f>
        <v>3219647</v>
      </c>
      <c r="U1259" s="26">
        <f ca="1">IFERROR(__xludf.DUMMYFUNCTION("D1259*GOOGLEFINANCE(""RUBKZT"")*1000/F1259"),3801876.3334944)</f>
        <v>3801876.3334944001</v>
      </c>
      <c r="V1259" s="27">
        <f t="shared" ca="1" si="1057"/>
        <v>0.18083638780723482</v>
      </c>
    </row>
    <row r="1260" spans="1:22" ht="12.75" customHeight="1" x14ac:dyDescent="0.2">
      <c r="A1260" s="6" t="s">
        <v>70</v>
      </c>
      <c r="B1260" s="6" t="s">
        <v>6</v>
      </c>
      <c r="C1260" s="7">
        <v>132353</v>
      </c>
      <c r="D1260" s="8">
        <v>32210.399999999998</v>
      </c>
      <c r="E1260" s="9" t="s">
        <v>16</v>
      </c>
      <c r="F1260" s="10">
        <v>60</v>
      </c>
      <c r="G1260" s="25"/>
      <c r="H1260" s="14">
        <f t="shared" si="1051"/>
        <v>0.55000000000000004</v>
      </c>
      <c r="I1260" s="25">
        <f ca="1">IFERROR(__xludf.DUMMYFUNCTION("ROUND(D1260*GOOGLEFINANCE(""RUBKZT"")*H1260)"),138245)</f>
        <v>138245</v>
      </c>
      <c r="J1260" s="26">
        <f ca="1">IFERROR(__xludf.DUMMYFUNCTION("ROUND(I1260*GOOGLEFINANCE(""KZTEUR""))"),290)</f>
        <v>290</v>
      </c>
      <c r="K1260" s="26">
        <f t="shared" ca="1" si="1052"/>
        <v>4833</v>
      </c>
      <c r="L1260" s="26">
        <f t="shared" ca="1" si="1053"/>
        <v>918.27</v>
      </c>
      <c r="M1260" s="26">
        <f t="shared" ref="M1260:N1260" si="1294">M$3</f>
        <v>500</v>
      </c>
      <c r="N1260" s="26">
        <f t="shared" si="1294"/>
        <v>500</v>
      </c>
      <c r="O1260" s="26">
        <f ca="1">IFERROR(__xludf.DUMMYFUNCTION("ROUND(GOOGLEFINANCE(""Currency:EURKZT"")*K1260)"),2308094)</f>
        <v>2308094</v>
      </c>
      <c r="P1260" s="26">
        <f ca="1">IFERROR(__xludf.DUMMYFUNCTION("ROUND(GOOGLEFINANCE(""Currency:EURKZT"")*M1260)"),238785)</f>
        <v>238785</v>
      </c>
      <c r="Q1260" s="26">
        <f ca="1">IFERROR(__xludf.DUMMYFUNCTION("ROUND(GOOGLEFINANCE(""Currency:EURKZT"")*N1260)"),238785)</f>
        <v>238785</v>
      </c>
      <c r="R1260" s="26">
        <f t="shared" ca="1" si="1055"/>
        <v>276971</v>
      </c>
      <c r="S1260" s="26">
        <f t="shared" ca="1" si="1056"/>
        <v>3062635</v>
      </c>
      <c r="T1260" s="26">
        <f ca="1">IFERROR(__xludf.DUMMYFUNCTION("ROUND(GOOGLEFINANCE(""Currency:EURKZT"")*L1260+S1260)"),3501173)</f>
        <v>3501173</v>
      </c>
      <c r="U1260" s="26">
        <f ca="1">IFERROR(__xludf.DUMMYFUNCTION("D1260*GOOGLEFINANCE(""RUBKZT"")*1000/F1260"),4189243.20786768)</f>
        <v>4189243.2078676801</v>
      </c>
      <c r="V1260" s="27">
        <f t="shared" ca="1" si="1057"/>
        <v>0.19652562380313116</v>
      </c>
    </row>
    <row r="1261" spans="1:22" ht="12.75" customHeight="1" x14ac:dyDescent="0.2">
      <c r="A1261" s="6" t="s">
        <v>180</v>
      </c>
      <c r="B1261" s="6" t="s">
        <v>6</v>
      </c>
      <c r="C1261" s="7">
        <v>147624</v>
      </c>
      <c r="D1261" s="8">
        <v>26870.399999999998</v>
      </c>
      <c r="E1261" s="9" t="s">
        <v>7</v>
      </c>
      <c r="F1261" s="10">
        <v>60</v>
      </c>
      <c r="G1261" s="25"/>
      <c r="H1261" s="14">
        <f t="shared" si="1051"/>
        <v>0.55000000000000004</v>
      </c>
      <c r="I1261" s="25">
        <f ca="1">IFERROR(__xludf.DUMMYFUNCTION("ROUND(D1261*GOOGLEFINANCE(""RUBKZT"")*H1261)"),115326)</f>
        <v>115326</v>
      </c>
      <c r="J1261" s="26">
        <f ca="1">IFERROR(__xludf.DUMMYFUNCTION("ROUND(I1261*GOOGLEFINANCE(""KZTEUR""))"),242)</f>
        <v>242</v>
      </c>
      <c r="K1261" s="26">
        <f t="shared" ca="1" si="1052"/>
        <v>4033</v>
      </c>
      <c r="L1261" s="26">
        <f t="shared" ca="1" si="1053"/>
        <v>766.27</v>
      </c>
      <c r="M1261" s="26">
        <f t="shared" ref="M1261:N1261" si="1295">M$3</f>
        <v>500</v>
      </c>
      <c r="N1261" s="26">
        <f t="shared" si="1295"/>
        <v>500</v>
      </c>
      <c r="O1261" s="26">
        <f ca="1">IFERROR(__xludf.DUMMYFUNCTION("ROUND(GOOGLEFINANCE(""Currency:EURKZT"")*K1261)"),1926038)</f>
        <v>1926038</v>
      </c>
      <c r="P1261" s="26">
        <f ca="1">IFERROR(__xludf.DUMMYFUNCTION("ROUND(GOOGLEFINANCE(""Currency:EURKZT"")*M1261)"),238785)</f>
        <v>238785</v>
      </c>
      <c r="Q1261" s="26">
        <f ca="1">IFERROR(__xludf.DUMMYFUNCTION("ROUND(GOOGLEFINANCE(""Currency:EURKZT"")*N1261)"),238785)</f>
        <v>238785</v>
      </c>
      <c r="R1261" s="26">
        <f t="shared" ca="1" si="1055"/>
        <v>231125</v>
      </c>
      <c r="S1261" s="26">
        <f t="shared" ca="1" si="1056"/>
        <v>2634733</v>
      </c>
      <c r="T1261" s="26">
        <f ca="1">IFERROR(__xludf.DUMMYFUNCTION("ROUND(GOOGLEFINANCE(""Currency:EURKZT"")*L1261+S1261)"),3000680)</f>
        <v>3000680</v>
      </c>
      <c r="U1261" s="26">
        <f ca="1">IFERROR(__xludf.DUMMYFUNCTION("D1261*GOOGLEFINANCE(""RUBKZT"")*1000/F1261"),3494729.67403967)</f>
        <v>3494729.6740396698</v>
      </c>
      <c r="V1261" s="27">
        <f t="shared" ca="1" si="1057"/>
        <v>0.16464590494143655</v>
      </c>
    </row>
    <row r="1262" spans="1:22" ht="12.75" customHeight="1" x14ac:dyDescent="0.2">
      <c r="A1262" s="6" t="s">
        <v>181</v>
      </c>
      <c r="B1262" s="6" t="s">
        <v>6</v>
      </c>
      <c r="C1262" s="7">
        <v>147625</v>
      </c>
      <c r="D1262" s="8">
        <v>27393.599999999999</v>
      </c>
      <c r="E1262" s="9" t="s">
        <v>16</v>
      </c>
      <c r="F1262" s="10">
        <v>60</v>
      </c>
      <c r="G1262" s="25"/>
      <c r="H1262" s="14">
        <f t="shared" si="1051"/>
        <v>0.55000000000000004</v>
      </c>
      <c r="I1262" s="25">
        <f ca="1">IFERROR(__xludf.DUMMYFUNCTION("ROUND(D1262*GOOGLEFINANCE(""RUBKZT"")*H1262)"),117572)</f>
        <v>117572</v>
      </c>
      <c r="J1262" s="26">
        <f ca="1">IFERROR(__xludf.DUMMYFUNCTION("ROUND(I1262*GOOGLEFINANCE(""KZTEUR""))"),246)</f>
        <v>246</v>
      </c>
      <c r="K1262" s="26">
        <f t="shared" ca="1" si="1052"/>
        <v>4100</v>
      </c>
      <c r="L1262" s="26">
        <f t="shared" ca="1" si="1053"/>
        <v>779</v>
      </c>
      <c r="M1262" s="26">
        <f t="shared" ref="M1262:N1262" si="1296">M$3</f>
        <v>500</v>
      </c>
      <c r="N1262" s="26">
        <f t="shared" si="1296"/>
        <v>500</v>
      </c>
      <c r="O1262" s="26">
        <f ca="1">IFERROR(__xludf.DUMMYFUNCTION("ROUND(GOOGLEFINANCE(""Currency:EURKZT"")*K1262)"),1958035)</f>
        <v>1958035</v>
      </c>
      <c r="P1262" s="26">
        <f ca="1">IFERROR(__xludf.DUMMYFUNCTION("ROUND(GOOGLEFINANCE(""Currency:EURKZT"")*M1262)"),238785)</f>
        <v>238785</v>
      </c>
      <c r="Q1262" s="26">
        <f ca="1">IFERROR(__xludf.DUMMYFUNCTION("ROUND(GOOGLEFINANCE(""Currency:EURKZT"")*N1262)"),238785)</f>
        <v>238785</v>
      </c>
      <c r="R1262" s="26">
        <f t="shared" ca="1" si="1055"/>
        <v>234964</v>
      </c>
      <c r="S1262" s="26">
        <f t="shared" ca="1" si="1056"/>
        <v>2670569</v>
      </c>
      <c r="T1262" s="26">
        <f ca="1">IFERROR(__xludf.DUMMYFUNCTION("ROUND(GOOGLEFINANCE(""Currency:EURKZT"")*L1262+S1262)"),3042596)</f>
        <v>3042596</v>
      </c>
      <c r="U1262" s="26">
        <f ca="1">IFERROR(__xludf.DUMMYFUNCTION("D1262*GOOGLEFINANCE(""RUBKZT"")*1000/F1262"),3562776.39330912)</f>
        <v>3562776.3933091201</v>
      </c>
      <c r="V1262" s="27">
        <f t="shared" ca="1" si="1057"/>
        <v>0.17096597553836265</v>
      </c>
    </row>
    <row r="1263" spans="1:22" ht="12.75" customHeight="1" x14ac:dyDescent="0.2">
      <c r="A1263" s="6" t="s">
        <v>205</v>
      </c>
      <c r="B1263" s="6" t="s">
        <v>6</v>
      </c>
      <c r="C1263" s="7">
        <v>151521</v>
      </c>
      <c r="D1263" s="8">
        <v>42751.199999999997</v>
      </c>
      <c r="E1263" s="9" t="s">
        <v>16</v>
      </c>
      <c r="F1263" s="10">
        <v>60</v>
      </c>
      <c r="G1263" s="25"/>
      <c r="H1263" s="14">
        <f t="shared" si="1051"/>
        <v>0.55000000000000004</v>
      </c>
      <c r="I1263" s="25">
        <f ca="1">IFERROR(__xludf.DUMMYFUNCTION("ROUND(D1263*GOOGLEFINANCE(""RUBKZT"")*H1263)"),183485)</f>
        <v>183485</v>
      </c>
      <c r="J1263" s="26">
        <f ca="1">IFERROR(__xludf.DUMMYFUNCTION("ROUND(I1263*GOOGLEFINANCE(""KZTEUR""))"),384)</f>
        <v>384</v>
      </c>
      <c r="K1263" s="26">
        <f t="shared" ca="1" si="1052"/>
        <v>6400</v>
      </c>
      <c r="L1263" s="26">
        <f t="shared" ca="1" si="1053"/>
        <v>1216</v>
      </c>
      <c r="M1263" s="26">
        <f t="shared" ref="M1263:N1263" si="1297">M$3</f>
        <v>500</v>
      </c>
      <c r="N1263" s="26">
        <f t="shared" si="1297"/>
        <v>500</v>
      </c>
      <c r="O1263" s="26">
        <f ca="1">IFERROR(__xludf.DUMMYFUNCTION("ROUND(GOOGLEFINANCE(""Currency:EURKZT"")*K1263)"),3056446)</f>
        <v>3056446</v>
      </c>
      <c r="P1263" s="26">
        <f ca="1">IFERROR(__xludf.DUMMYFUNCTION("ROUND(GOOGLEFINANCE(""Currency:EURKZT"")*M1263)"),238785)</f>
        <v>238785</v>
      </c>
      <c r="Q1263" s="26">
        <f ca="1">IFERROR(__xludf.DUMMYFUNCTION("ROUND(GOOGLEFINANCE(""Currency:EURKZT"")*N1263)"),238785)</f>
        <v>238785</v>
      </c>
      <c r="R1263" s="26">
        <f t="shared" ca="1" si="1055"/>
        <v>366774</v>
      </c>
      <c r="S1263" s="26">
        <f t="shared" ca="1" si="1056"/>
        <v>3900790</v>
      </c>
      <c r="T1263" s="26">
        <f ca="1">IFERROR(__xludf.DUMMYFUNCTION("ROUND(GOOGLEFINANCE(""Currency:EURKZT"")*L1263+S1263)"),4481515)</f>
        <v>4481515</v>
      </c>
      <c r="U1263" s="26">
        <f ca="1">IFERROR(__xludf.DUMMYFUNCTION("D1263*GOOGLEFINANCE(""RUBKZT"")*1000/F1263"),5560166.10250704)</f>
        <v>5560166.1025070399</v>
      </c>
      <c r="V1263" s="27">
        <f t="shared" ca="1" si="1057"/>
        <v>0.24068894168758553</v>
      </c>
    </row>
    <row r="1264" spans="1:22" ht="12.75" customHeight="1" x14ac:dyDescent="0.2">
      <c r="A1264" s="6" t="s">
        <v>207</v>
      </c>
      <c r="B1264" s="6" t="s">
        <v>6</v>
      </c>
      <c r="C1264" s="7">
        <v>154211</v>
      </c>
      <c r="D1264" s="8">
        <v>38410.799999999996</v>
      </c>
      <c r="E1264" s="9" t="s">
        <v>16</v>
      </c>
      <c r="F1264" s="10">
        <v>60</v>
      </c>
      <c r="G1264" s="25"/>
      <c r="H1264" s="14">
        <f t="shared" si="1051"/>
        <v>0.55000000000000004</v>
      </c>
      <c r="I1264" s="25">
        <f ca="1">IFERROR(__xludf.DUMMYFUNCTION("ROUND(D1264*GOOGLEFINANCE(""RUBKZT"")*H1264)"),164857)</f>
        <v>164857</v>
      </c>
      <c r="J1264" s="26">
        <f ca="1">IFERROR(__xludf.DUMMYFUNCTION("ROUND(I1264*GOOGLEFINANCE(""KZTEUR""))"),345)</f>
        <v>345</v>
      </c>
      <c r="K1264" s="26">
        <f t="shared" ca="1" si="1052"/>
        <v>5750</v>
      </c>
      <c r="L1264" s="26">
        <f t="shared" ca="1" si="1053"/>
        <v>1092.5</v>
      </c>
      <c r="M1264" s="26">
        <f t="shared" ref="M1264:N1264" si="1298">M$3</f>
        <v>500</v>
      </c>
      <c r="N1264" s="26">
        <f t="shared" si="1298"/>
        <v>500</v>
      </c>
      <c r="O1264" s="26">
        <f ca="1">IFERROR(__xludf.DUMMYFUNCTION("ROUND(GOOGLEFINANCE(""Currency:EURKZT"")*K1264)"),2746025)</f>
        <v>2746025</v>
      </c>
      <c r="P1264" s="26">
        <f ca="1">IFERROR(__xludf.DUMMYFUNCTION("ROUND(GOOGLEFINANCE(""Currency:EURKZT"")*M1264)"),238785)</f>
        <v>238785</v>
      </c>
      <c r="Q1264" s="26">
        <f ca="1">IFERROR(__xludf.DUMMYFUNCTION("ROUND(GOOGLEFINANCE(""Currency:EURKZT"")*N1264)"),238785)</f>
        <v>238785</v>
      </c>
      <c r="R1264" s="26">
        <f t="shared" ca="1" si="1055"/>
        <v>329523</v>
      </c>
      <c r="S1264" s="26">
        <f t="shared" ca="1" si="1056"/>
        <v>3553118</v>
      </c>
      <c r="T1264" s="26">
        <f ca="1">IFERROR(__xludf.DUMMYFUNCTION("ROUND(GOOGLEFINANCE(""Currency:EURKZT"")*L1264+S1264)"),4074863)</f>
        <v>4074863</v>
      </c>
      <c r="U1264" s="26">
        <f ca="1">IFERROR(__xludf.DUMMYFUNCTION("D1264*GOOGLEFINANCE(""RUBKZT"")*1000/F1264"),4995659.25939336)</f>
        <v>4995659.2593933605</v>
      </c>
      <c r="V1264" s="27">
        <f t="shared" ca="1" si="1057"/>
        <v>0.22596986926759513</v>
      </c>
    </row>
    <row r="1265" spans="1:22" ht="12.75" customHeight="1" x14ac:dyDescent="0.2">
      <c r="A1265" s="6" t="s">
        <v>208</v>
      </c>
      <c r="B1265" s="6" t="s">
        <v>6</v>
      </c>
      <c r="C1265" s="7">
        <v>154243</v>
      </c>
      <c r="D1265" s="8">
        <v>32101.199999999997</v>
      </c>
      <c r="E1265" s="9" t="s">
        <v>16</v>
      </c>
      <c r="F1265" s="10">
        <v>60</v>
      </c>
      <c r="G1265" s="25"/>
      <c r="H1265" s="14">
        <f t="shared" si="1051"/>
        <v>0.55000000000000004</v>
      </c>
      <c r="I1265" s="25">
        <f ca="1">IFERROR(__xludf.DUMMYFUNCTION("ROUND(D1265*GOOGLEFINANCE(""RUBKZT"")*H1265)"),137776)</f>
        <v>137776</v>
      </c>
      <c r="J1265" s="26">
        <f ca="1">IFERROR(__xludf.DUMMYFUNCTION("ROUND(I1265*GOOGLEFINANCE(""KZTEUR""))"),289)</f>
        <v>289</v>
      </c>
      <c r="K1265" s="26">
        <f t="shared" ca="1" si="1052"/>
        <v>4817</v>
      </c>
      <c r="L1265" s="26">
        <f t="shared" ca="1" si="1053"/>
        <v>915.23</v>
      </c>
      <c r="M1265" s="26">
        <f t="shared" ref="M1265:N1265" si="1299">M$3</f>
        <v>500</v>
      </c>
      <c r="N1265" s="26">
        <f t="shared" si="1299"/>
        <v>500</v>
      </c>
      <c r="O1265" s="26">
        <f ca="1">IFERROR(__xludf.DUMMYFUNCTION("ROUND(GOOGLEFINANCE(""Currency:EURKZT"")*K1265)"),2300453)</f>
        <v>2300453</v>
      </c>
      <c r="P1265" s="26">
        <f ca="1">IFERROR(__xludf.DUMMYFUNCTION("ROUND(GOOGLEFINANCE(""Currency:EURKZT"")*M1265)"),238785)</f>
        <v>238785</v>
      </c>
      <c r="Q1265" s="26">
        <f ca="1">IFERROR(__xludf.DUMMYFUNCTION("ROUND(GOOGLEFINANCE(""Currency:EURKZT"")*N1265)"),238785)</f>
        <v>238785</v>
      </c>
      <c r="R1265" s="26">
        <f t="shared" ca="1" si="1055"/>
        <v>276054</v>
      </c>
      <c r="S1265" s="26">
        <f t="shared" ca="1" si="1056"/>
        <v>3054077</v>
      </c>
      <c r="T1265" s="26">
        <f ca="1">IFERROR(__xludf.DUMMYFUNCTION("ROUND(GOOGLEFINANCE(""Currency:EURKZT"")*L1265+S1265)"),3491163)</f>
        <v>3491163</v>
      </c>
      <c r="U1265" s="26">
        <f ca="1">IFERROR(__xludf.DUMMYFUNCTION("D1265*GOOGLEFINANCE(""RUBKZT"")*1000/F1265"),4175040.79627704)</f>
        <v>4175040.7962770402</v>
      </c>
      <c r="V1265" s="27">
        <f t="shared" ca="1" si="1057"/>
        <v>0.19588824591605725</v>
      </c>
    </row>
    <row r="1266" spans="1:22" ht="12.75" customHeight="1" x14ac:dyDescent="0.2">
      <c r="A1266" s="6" t="s">
        <v>210</v>
      </c>
      <c r="B1266" s="6" t="s">
        <v>6</v>
      </c>
      <c r="C1266" s="7">
        <v>154942</v>
      </c>
      <c r="D1266" s="8">
        <v>52774.799999999996</v>
      </c>
      <c r="E1266" s="9" t="s">
        <v>16</v>
      </c>
      <c r="F1266" s="10">
        <v>60</v>
      </c>
      <c r="G1266" s="25"/>
      <c r="H1266" s="14">
        <f t="shared" si="1051"/>
        <v>0.55000000000000004</v>
      </c>
      <c r="I1266" s="25">
        <f ca="1">IFERROR(__xludf.DUMMYFUNCTION("ROUND(D1266*GOOGLEFINANCE(""RUBKZT"")*H1266)"),226506)</f>
        <v>226506</v>
      </c>
      <c r="J1266" s="26">
        <f ca="1">IFERROR(__xludf.DUMMYFUNCTION("ROUND(I1266*GOOGLEFINANCE(""KZTEUR""))"),474)</f>
        <v>474</v>
      </c>
      <c r="K1266" s="26">
        <f t="shared" ca="1" si="1052"/>
        <v>7900</v>
      </c>
      <c r="L1266" s="26">
        <f t="shared" ca="1" si="1053"/>
        <v>1501</v>
      </c>
      <c r="M1266" s="26">
        <f t="shared" ref="M1266:N1266" si="1300">M$3</f>
        <v>500</v>
      </c>
      <c r="N1266" s="26">
        <f t="shared" si="1300"/>
        <v>500</v>
      </c>
      <c r="O1266" s="26">
        <f ca="1">IFERROR(__xludf.DUMMYFUNCTION("ROUND(GOOGLEFINANCE(""Currency:EURKZT"")*K1266)"),3772800)</f>
        <v>3772800</v>
      </c>
      <c r="P1266" s="26">
        <f ca="1">IFERROR(__xludf.DUMMYFUNCTION("ROUND(GOOGLEFINANCE(""Currency:EURKZT"")*M1266)"),238785)</f>
        <v>238785</v>
      </c>
      <c r="Q1266" s="26">
        <f ca="1">IFERROR(__xludf.DUMMYFUNCTION("ROUND(GOOGLEFINANCE(""Currency:EURKZT"")*N1266)"),238785)</f>
        <v>238785</v>
      </c>
      <c r="R1266" s="26">
        <f t="shared" ca="1" si="1055"/>
        <v>452736</v>
      </c>
      <c r="S1266" s="26">
        <f t="shared" ca="1" si="1056"/>
        <v>4703106</v>
      </c>
      <c r="T1266" s="26">
        <f ca="1">IFERROR(__xludf.DUMMYFUNCTION("ROUND(GOOGLEFINANCE(""Currency:EURKZT"")*L1266+S1266)"),5419938)</f>
        <v>5419938</v>
      </c>
      <c r="U1266" s="26">
        <f ca="1">IFERROR(__xludf.DUMMYFUNCTION("D1266*GOOGLEFINANCE(""RUBKZT"")*1000/F1266"),6863822.63016216)</f>
        <v>6863822.6301621599</v>
      </c>
      <c r="V1266" s="27">
        <f t="shared" ca="1" si="1057"/>
        <v>0.26640242566652239</v>
      </c>
    </row>
    <row r="1267" spans="1:22" ht="12.75" customHeight="1" x14ac:dyDescent="0.2">
      <c r="A1267" s="6" t="s">
        <v>204</v>
      </c>
      <c r="B1267" s="6" t="s">
        <v>6</v>
      </c>
      <c r="C1267" s="7">
        <v>155368</v>
      </c>
      <c r="D1267" s="8">
        <v>40692</v>
      </c>
      <c r="E1267" s="9" t="s">
        <v>16</v>
      </c>
      <c r="F1267" s="10">
        <v>60</v>
      </c>
      <c r="G1267" s="25"/>
      <c r="H1267" s="14">
        <f t="shared" si="1051"/>
        <v>0.55000000000000004</v>
      </c>
      <c r="I1267" s="25">
        <f ca="1">IFERROR(__xludf.DUMMYFUNCTION("ROUND(D1267*GOOGLEFINANCE(""RUBKZT"")*H1267)"),174648)</f>
        <v>174648</v>
      </c>
      <c r="J1267" s="26">
        <f ca="1">IFERROR(__xludf.DUMMYFUNCTION("ROUND(I1267*GOOGLEFINANCE(""KZTEUR""))"),366)</f>
        <v>366</v>
      </c>
      <c r="K1267" s="26">
        <f t="shared" ca="1" si="1052"/>
        <v>6100</v>
      </c>
      <c r="L1267" s="26">
        <f t="shared" ca="1" si="1053"/>
        <v>1159</v>
      </c>
      <c r="M1267" s="26">
        <f t="shared" ref="M1267:N1267" si="1301">M$3</f>
        <v>500</v>
      </c>
      <c r="N1267" s="26">
        <f t="shared" si="1301"/>
        <v>500</v>
      </c>
      <c r="O1267" s="26">
        <f ca="1">IFERROR(__xludf.DUMMYFUNCTION("ROUND(GOOGLEFINANCE(""Currency:EURKZT"")*K1267)"),2913175)</f>
        <v>2913175</v>
      </c>
      <c r="P1267" s="26">
        <f ca="1">IFERROR(__xludf.DUMMYFUNCTION("ROUND(GOOGLEFINANCE(""Currency:EURKZT"")*M1267)"),238785)</f>
        <v>238785</v>
      </c>
      <c r="Q1267" s="26">
        <f ca="1">IFERROR(__xludf.DUMMYFUNCTION("ROUND(GOOGLEFINANCE(""Currency:EURKZT"")*N1267)"),238785)</f>
        <v>238785</v>
      </c>
      <c r="R1267" s="26">
        <f t="shared" ca="1" si="1055"/>
        <v>349581</v>
      </c>
      <c r="S1267" s="26">
        <f t="shared" ca="1" si="1056"/>
        <v>3740326</v>
      </c>
      <c r="T1267" s="26">
        <f ca="1">IFERROR(__xludf.DUMMYFUNCTION("ROUND(GOOGLEFINANCE(""Currency:EURKZT"")*L1267+S1267)"),4293829)</f>
        <v>4293829</v>
      </c>
      <c r="U1267" s="26">
        <f ca="1">IFERROR(__xludf.DUMMYFUNCTION("D1267*GOOGLEFINANCE(""RUBKZT"")*1000/F1267"),5292349.1982264)</f>
        <v>5292349.1982263997</v>
      </c>
      <c r="V1267" s="27">
        <f t="shared" ca="1" si="1057"/>
        <v>0.23254773262428469</v>
      </c>
    </row>
    <row r="1268" spans="1:22" ht="12.75" customHeight="1" x14ac:dyDescent="0.2">
      <c r="A1268" s="6" t="s">
        <v>216</v>
      </c>
      <c r="B1268" s="6" t="s">
        <v>6</v>
      </c>
      <c r="C1268" s="7">
        <v>156691</v>
      </c>
      <c r="D1268" s="8">
        <v>21966</v>
      </c>
      <c r="E1268" s="9" t="s">
        <v>16</v>
      </c>
      <c r="F1268" s="10">
        <v>60</v>
      </c>
      <c r="G1268" s="25"/>
      <c r="H1268" s="14">
        <f t="shared" si="1051"/>
        <v>0.55000000000000004</v>
      </c>
      <c r="I1268" s="25">
        <f ca="1">IFERROR(__xludf.DUMMYFUNCTION("ROUND(D1268*GOOGLEFINANCE(""RUBKZT"")*H1268)"),94277)</f>
        <v>94277</v>
      </c>
      <c r="J1268" s="26">
        <f ca="1">IFERROR(__xludf.DUMMYFUNCTION("ROUND(I1268*GOOGLEFINANCE(""KZTEUR""))"),197)</f>
        <v>197</v>
      </c>
      <c r="K1268" s="26">
        <f t="shared" ca="1" si="1052"/>
        <v>3283</v>
      </c>
      <c r="L1268" s="26">
        <f t="shared" ca="1" si="1053"/>
        <v>623.77</v>
      </c>
      <c r="M1268" s="26">
        <f t="shared" ref="M1268:N1268" si="1302">M$3</f>
        <v>500</v>
      </c>
      <c r="N1268" s="26">
        <f t="shared" si="1302"/>
        <v>500</v>
      </c>
      <c r="O1268" s="26">
        <f ca="1">IFERROR(__xludf.DUMMYFUNCTION("ROUND(GOOGLEFINANCE(""Currency:EURKZT"")*K1268)"),1567861)</f>
        <v>1567861</v>
      </c>
      <c r="P1268" s="26">
        <f ca="1">IFERROR(__xludf.DUMMYFUNCTION("ROUND(GOOGLEFINANCE(""Currency:EURKZT"")*M1268)"),238785)</f>
        <v>238785</v>
      </c>
      <c r="Q1268" s="26">
        <f ca="1">IFERROR(__xludf.DUMMYFUNCTION("ROUND(GOOGLEFINANCE(""Currency:EURKZT"")*N1268)"),238785)</f>
        <v>238785</v>
      </c>
      <c r="R1268" s="26">
        <f t="shared" ca="1" si="1055"/>
        <v>188143</v>
      </c>
      <c r="S1268" s="26">
        <f t="shared" ca="1" si="1056"/>
        <v>2233574</v>
      </c>
      <c r="T1268" s="26">
        <f ca="1">IFERROR(__xludf.DUMMYFUNCTION("ROUND(GOOGLEFINANCE(""Currency:EURKZT"")*L1268+S1268)"),2531468)</f>
        <v>2531468</v>
      </c>
      <c r="U1268" s="26">
        <f ca="1">IFERROR(__xludf.DUMMYFUNCTION("D1268*GOOGLEFINANCE(""RUBKZT"")*1000/F1268"),2856869.7161172)</f>
        <v>2856869.7161172</v>
      </c>
      <c r="V1268" s="27">
        <f t="shared" ca="1" si="1057"/>
        <v>0.12854269385084069</v>
      </c>
    </row>
    <row r="1269" spans="1:22" ht="12.75" customHeight="1" x14ac:dyDescent="0.2">
      <c r="A1269" s="6" t="s">
        <v>217</v>
      </c>
      <c r="B1269" s="6" t="s">
        <v>6</v>
      </c>
      <c r="C1269" s="7">
        <v>156715</v>
      </c>
      <c r="D1269" s="8">
        <v>35736</v>
      </c>
      <c r="E1269" s="9" t="s">
        <v>16</v>
      </c>
      <c r="F1269" s="10">
        <v>60</v>
      </c>
      <c r="G1269" s="25"/>
      <c r="H1269" s="14">
        <f t="shared" si="1051"/>
        <v>0.55000000000000004</v>
      </c>
      <c r="I1269" s="25">
        <f ca="1">IFERROR(__xludf.DUMMYFUNCTION("ROUND(D1269*GOOGLEFINANCE(""RUBKZT"")*H1269)"),153377)</f>
        <v>153377</v>
      </c>
      <c r="J1269" s="26">
        <f ca="1">IFERROR(__xludf.DUMMYFUNCTION("ROUND(I1269*GOOGLEFINANCE(""KZTEUR""))"),321)</f>
        <v>321</v>
      </c>
      <c r="K1269" s="26">
        <f t="shared" ca="1" si="1052"/>
        <v>5350</v>
      </c>
      <c r="L1269" s="26">
        <f t="shared" ca="1" si="1053"/>
        <v>1016.5</v>
      </c>
      <c r="M1269" s="26">
        <f t="shared" ref="M1269:N1269" si="1303">M$3</f>
        <v>500</v>
      </c>
      <c r="N1269" s="26">
        <f t="shared" si="1303"/>
        <v>500</v>
      </c>
      <c r="O1269" s="26">
        <f ca="1">IFERROR(__xludf.DUMMYFUNCTION("ROUND(GOOGLEFINANCE(""Currency:EURKZT"")*K1269)"),2554997)</f>
        <v>2554997</v>
      </c>
      <c r="P1269" s="26">
        <f ca="1">IFERROR(__xludf.DUMMYFUNCTION("ROUND(GOOGLEFINANCE(""Currency:EURKZT"")*M1269)"),238785)</f>
        <v>238785</v>
      </c>
      <c r="Q1269" s="26">
        <f ca="1">IFERROR(__xludf.DUMMYFUNCTION("ROUND(GOOGLEFINANCE(""Currency:EURKZT"")*N1269)"),238785)</f>
        <v>238785</v>
      </c>
      <c r="R1269" s="26">
        <f t="shared" ca="1" si="1055"/>
        <v>306600</v>
      </c>
      <c r="S1269" s="26">
        <f t="shared" ca="1" si="1056"/>
        <v>3339167</v>
      </c>
      <c r="T1269" s="26">
        <f ca="1">IFERROR(__xludf.DUMMYFUNCTION("ROUND(GOOGLEFINANCE(""Currency:EURKZT"")*L1269+S1269)"),3824617)</f>
        <v>3824617</v>
      </c>
      <c r="U1269" s="26">
        <f ca="1">IFERROR(__xludf.DUMMYFUNCTION("D1269*GOOGLEFINANCE(""RUBKZT"")*1000/F1269"),4647778.2106512)</f>
        <v>4647778.2106512003</v>
      </c>
      <c r="V1269" s="27">
        <f t="shared" ca="1" si="1057"/>
        <v>0.21522709611215979</v>
      </c>
    </row>
    <row r="1270" spans="1:22" ht="12.75" customHeight="1" x14ac:dyDescent="0.2">
      <c r="A1270" s="6" t="s">
        <v>199</v>
      </c>
      <c r="B1270" s="6" t="s">
        <v>6</v>
      </c>
      <c r="C1270" s="7">
        <v>156851</v>
      </c>
      <c r="D1270" s="8">
        <v>30793.199999999997</v>
      </c>
      <c r="E1270" s="9" t="s">
        <v>16</v>
      </c>
      <c r="F1270" s="10">
        <v>60</v>
      </c>
      <c r="G1270" s="25"/>
      <c r="H1270" s="14">
        <f t="shared" si="1051"/>
        <v>0.55000000000000004</v>
      </c>
      <c r="I1270" s="25">
        <f ca="1">IFERROR(__xludf.DUMMYFUNCTION("ROUND(D1270*GOOGLEFINANCE(""RUBKZT"")*H1270)"),132162)</f>
        <v>132162</v>
      </c>
      <c r="J1270" s="26">
        <f ca="1">IFERROR(__xludf.DUMMYFUNCTION("ROUND(I1270*GOOGLEFINANCE(""KZTEUR""))"),277)</f>
        <v>277</v>
      </c>
      <c r="K1270" s="26">
        <f t="shared" ca="1" si="1052"/>
        <v>4617</v>
      </c>
      <c r="L1270" s="26">
        <f t="shared" ca="1" si="1053"/>
        <v>877.23</v>
      </c>
      <c r="M1270" s="26">
        <f t="shared" ref="M1270:N1270" si="1304">M$3</f>
        <v>500</v>
      </c>
      <c r="N1270" s="26">
        <f t="shared" si="1304"/>
        <v>500</v>
      </c>
      <c r="O1270" s="26">
        <f ca="1">IFERROR(__xludf.DUMMYFUNCTION("ROUND(GOOGLEFINANCE(""Currency:EURKZT"")*K1270)"),2204939)</f>
        <v>2204939</v>
      </c>
      <c r="P1270" s="26">
        <f ca="1">IFERROR(__xludf.DUMMYFUNCTION("ROUND(GOOGLEFINANCE(""Currency:EURKZT"")*M1270)"),238785)</f>
        <v>238785</v>
      </c>
      <c r="Q1270" s="26">
        <f ca="1">IFERROR(__xludf.DUMMYFUNCTION("ROUND(GOOGLEFINANCE(""Currency:EURKZT"")*N1270)"),238785)</f>
        <v>238785</v>
      </c>
      <c r="R1270" s="26">
        <f t="shared" ca="1" si="1055"/>
        <v>264593</v>
      </c>
      <c r="S1270" s="26">
        <f t="shared" ca="1" si="1056"/>
        <v>2947102</v>
      </c>
      <c r="T1270" s="26">
        <f ca="1">IFERROR(__xludf.DUMMYFUNCTION("ROUND(GOOGLEFINANCE(""Currency:EURKZT"")*L1270+S1270)"),3366040)</f>
        <v>3366040</v>
      </c>
      <c r="U1270" s="26">
        <f ca="1">IFERROR(__xludf.DUMMYFUNCTION("D1270*GOOGLEFINANCE(""RUBKZT"")*1000/F1270"),4004923.99810344)</f>
        <v>4004923.9981034398</v>
      </c>
      <c r="V1270" s="27">
        <f t="shared" ca="1" si="1057"/>
        <v>0.18980285382925924</v>
      </c>
    </row>
    <row r="1271" spans="1:22" ht="12.75" customHeight="1" x14ac:dyDescent="0.2">
      <c r="A1271" s="6" t="s">
        <v>193</v>
      </c>
      <c r="B1271" s="6" t="s">
        <v>6</v>
      </c>
      <c r="C1271" s="7">
        <v>157520</v>
      </c>
      <c r="D1271" s="8">
        <v>28822.799999999999</v>
      </c>
      <c r="E1271" s="9" t="s">
        <v>16</v>
      </c>
      <c r="F1271" s="10">
        <v>60</v>
      </c>
      <c r="G1271" s="25"/>
      <c r="H1271" s="14">
        <f t="shared" si="1051"/>
        <v>0.55000000000000004</v>
      </c>
      <c r="I1271" s="25">
        <f ca="1">IFERROR(__xludf.DUMMYFUNCTION("ROUND(D1271*GOOGLEFINANCE(""RUBKZT"")*H1271)"),123706)</f>
        <v>123706</v>
      </c>
      <c r="J1271" s="26">
        <f ca="1">IFERROR(__xludf.DUMMYFUNCTION("ROUND(I1271*GOOGLEFINANCE(""KZTEUR""))"),259)</f>
        <v>259</v>
      </c>
      <c r="K1271" s="26">
        <f t="shared" ca="1" si="1052"/>
        <v>4317</v>
      </c>
      <c r="L1271" s="26">
        <f t="shared" ca="1" si="1053"/>
        <v>820.23</v>
      </c>
      <c r="M1271" s="26">
        <f t="shared" ref="M1271:N1271" si="1305">M$3</f>
        <v>500</v>
      </c>
      <c r="N1271" s="26">
        <f t="shared" si="1305"/>
        <v>500</v>
      </c>
      <c r="O1271" s="26">
        <f ca="1">IFERROR(__xludf.DUMMYFUNCTION("ROUND(GOOGLEFINANCE(""Currency:EURKZT"")*K1271)"),2061668)</f>
        <v>2061668</v>
      </c>
      <c r="P1271" s="26">
        <f ca="1">IFERROR(__xludf.DUMMYFUNCTION("ROUND(GOOGLEFINANCE(""Currency:EURKZT"")*M1271)"),238785)</f>
        <v>238785</v>
      </c>
      <c r="Q1271" s="26">
        <f ca="1">IFERROR(__xludf.DUMMYFUNCTION("ROUND(GOOGLEFINANCE(""Currency:EURKZT"")*N1271)"),238785)</f>
        <v>238785</v>
      </c>
      <c r="R1271" s="26">
        <f t="shared" ca="1" si="1055"/>
        <v>247400</v>
      </c>
      <c r="S1271" s="26">
        <f t="shared" ca="1" si="1056"/>
        <v>2786638</v>
      </c>
      <c r="T1271" s="26">
        <f ca="1">IFERROR(__xludf.DUMMYFUNCTION("ROUND(GOOGLEFINANCE(""Currency:EURKZT"")*L1271+S1271)"),3178355)</f>
        <v>3178355</v>
      </c>
      <c r="U1271" s="26">
        <f ca="1">IFERROR(__xludf.DUMMYFUNCTION("D1271*GOOGLEFINANCE(""RUBKZT"")*1000/F1271"),3748656.30764376)</f>
        <v>3748656.30764376</v>
      </c>
      <c r="V1271" s="27">
        <f t="shared" ca="1" si="1057"/>
        <v>0.17943285367548936</v>
      </c>
    </row>
    <row r="1272" spans="1:22" ht="12.75" customHeight="1" x14ac:dyDescent="0.2">
      <c r="A1272" s="6" t="s">
        <v>188</v>
      </c>
      <c r="B1272" s="6" t="s">
        <v>6</v>
      </c>
      <c r="C1272" s="7">
        <v>159114</v>
      </c>
      <c r="D1272" s="8">
        <v>24830.399999999998</v>
      </c>
      <c r="E1272" s="9" t="s">
        <v>16</v>
      </c>
      <c r="F1272" s="10">
        <v>60</v>
      </c>
      <c r="G1272" s="25"/>
      <c r="H1272" s="14">
        <f t="shared" si="1051"/>
        <v>0.55000000000000004</v>
      </c>
      <c r="I1272" s="25">
        <f ca="1">IFERROR(__xludf.DUMMYFUNCTION("ROUND(D1272*GOOGLEFINANCE(""RUBKZT"")*H1272)"),106571)</f>
        <v>106571</v>
      </c>
      <c r="J1272" s="26">
        <f ca="1">IFERROR(__xludf.DUMMYFUNCTION("ROUND(I1272*GOOGLEFINANCE(""KZTEUR""))"),223)</f>
        <v>223</v>
      </c>
      <c r="K1272" s="26">
        <f t="shared" ca="1" si="1052"/>
        <v>3717</v>
      </c>
      <c r="L1272" s="26">
        <f t="shared" ca="1" si="1053"/>
        <v>706.23</v>
      </c>
      <c r="M1272" s="26">
        <f t="shared" ref="M1272:N1272" si="1306">M$3</f>
        <v>500</v>
      </c>
      <c r="N1272" s="26">
        <f t="shared" si="1306"/>
        <v>500</v>
      </c>
      <c r="O1272" s="26">
        <f ca="1">IFERROR(__xludf.DUMMYFUNCTION("ROUND(GOOGLEFINANCE(""Currency:EURKZT"")*K1272)"),1775126)</f>
        <v>1775126</v>
      </c>
      <c r="P1272" s="26">
        <f ca="1">IFERROR(__xludf.DUMMYFUNCTION("ROUND(GOOGLEFINANCE(""Currency:EURKZT"")*M1272)"),238785)</f>
        <v>238785</v>
      </c>
      <c r="Q1272" s="26">
        <f ca="1">IFERROR(__xludf.DUMMYFUNCTION("ROUND(GOOGLEFINANCE(""Currency:EURKZT"")*N1272)"),238785)</f>
        <v>238785</v>
      </c>
      <c r="R1272" s="26">
        <f t="shared" ca="1" si="1055"/>
        <v>213015</v>
      </c>
      <c r="S1272" s="26">
        <f t="shared" ca="1" si="1056"/>
        <v>2465711</v>
      </c>
      <c r="T1272" s="26">
        <f ca="1">IFERROR(__xludf.DUMMYFUNCTION("ROUND(GOOGLEFINANCE(""Currency:EURKZT"")*L1272+S1272)"),2802985)</f>
        <v>2802985</v>
      </c>
      <c r="U1272" s="26">
        <f ca="1">IFERROR(__xludf.DUMMYFUNCTION("D1272*GOOGLEFINANCE(""RUBKZT"")*1000/F1272"),3229409.89707168)</f>
        <v>3229409.8970716801</v>
      </c>
      <c r="V1272" s="27">
        <f t="shared" ca="1" si="1057"/>
        <v>0.152132422068502</v>
      </c>
    </row>
    <row r="1273" spans="1:22" ht="12.75" customHeight="1" x14ac:dyDescent="0.2">
      <c r="A1273" s="6" t="s">
        <v>254</v>
      </c>
      <c r="B1273" s="6" t="s">
        <v>6</v>
      </c>
      <c r="C1273" s="7">
        <v>164792</v>
      </c>
      <c r="D1273" s="8">
        <v>39012</v>
      </c>
      <c r="E1273" s="9" t="s">
        <v>16</v>
      </c>
      <c r="F1273" s="10">
        <v>60</v>
      </c>
      <c r="G1273" s="25"/>
      <c r="H1273" s="14">
        <f t="shared" si="1051"/>
        <v>0.55000000000000004</v>
      </c>
      <c r="I1273" s="25">
        <f ca="1">IFERROR(__xludf.DUMMYFUNCTION("ROUND(D1273*GOOGLEFINANCE(""RUBKZT"")*H1273)"),167437)</f>
        <v>167437</v>
      </c>
      <c r="J1273" s="26">
        <f ca="1">IFERROR(__xludf.DUMMYFUNCTION("ROUND(I1273*GOOGLEFINANCE(""KZTEUR""))"),351)</f>
        <v>351</v>
      </c>
      <c r="K1273" s="26">
        <f t="shared" ca="1" si="1052"/>
        <v>5850</v>
      </c>
      <c r="L1273" s="26">
        <f t="shared" ca="1" si="1053"/>
        <v>1111.5</v>
      </c>
      <c r="M1273" s="26">
        <f t="shared" ref="M1273:N1273" si="1307">M$3</f>
        <v>500</v>
      </c>
      <c r="N1273" s="26">
        <f t="shared" si="1307"/>
        <v>500</v>
      </c>
      <c r="O1273" s="26">
        <f ca="1">IFERROR(__xludf.DUMMYFUNCTION("ROUND(GOOGLEFINANCE(""Currency:EURKZT"")*K1273)"),2793782)</f>
        <v>2793782</v>
      </c>
      <c r="P1273" s="26">
        <f ca="1">IFERROR(__xludf.DUMMYFUNCTION("ROUND(GOOGLEFINANCE(""Currency:EURKZT"")*M1273)"),238785)</f>
        <v>238785</v>
      </c>
      <c r="Q1273" s="26">
        <f ca="1">IFERROR(__xludf.DUMMYFUNCTION("ROUND(GOOGLEFINANCE(""Currency:EURKZT"")*N1273)"),238785)</f>
        <v>238785</v>
      </c>
      <c r="R1273" s="26">
        <f t="shared" ca="1" si="1055"/>
        <v>335254</v>
      </c>
      <c r="S1273" s="26">
        <f t="shared" ca="1" si="1056"/>
        <v>3606606</v>
      </c>
      <c r="T1273" s="26">
        <f ca="1">IFERROR(__xludf.DUMMYFUNCTION("ROUND(GOOGLEFINANCE(""Currency:EURKZT"")*L1273+S1273)"),4137425)</f>
        <v>4137425</v>
      </c>
      <c r="U1273" s="26">
        <f ca="1">IFERROR(__xludf.DUMMYFUNCTION("D1273*GOOGLEFINANCE(""RUBKZT"")*1000/F1273"),5073850.5583704)</f>
        <v>5073850.5583704002</v>
      </c>
      <c r="V1273" s="27">
        <f t="shared" ca="1" si="1057"/>
        <v>0.22633052160955189</v>
      </c>
    </row>
    <row r="1274" spans="1:22" ht="12.75" customHeight="1" x14ac:dyDescent="0.2">
      <c r="A1274" s="6" t="s">
        <v>255</v>
      </c>
      <c r="B1274" s="6" t="s">
        <v>6</v>
      </c>
      <c r="C1274" s="7">
        <v>164841</v>
      </c>
      <c r="D1274" s="8">
        <v>45409.2</v>
      </c>
      <c r="E1274" s="9" t="s">
        <v>16</v>
      </c>
      <c r="F1274" s="10">
        <v>60</v>
      </c>
      <c r="G1274" s="25"/>
      <c r="H1274" s="14">
        <f t="shared" si="1051"/>
        <v>0.55000000000000004</v>
      </c>
      <c r="I1274" s="25">
        <f ca="1">IFERROR(__xludf.DUMMYFUNCTION("ROUND(D1274*GOOGLEFINANCE(""RUBKZT"")*H1274)"),194893)</f>
        <v>194893</v>
      </c>
      <c r="J1274" s="26">
        <f ca="1">IFERROR(__xludf.DUMMYFUNCTION("ROUND(I1274*GOOGLEFINANCE(""KZTEUR""))"),408)</f>
        <v>408</v>
      </c>
      <c r="K1274" s="26">
        <f t="shared" ca="1" si="1052"/>
        <v>6800</v>
      </c>
      <c r="L1274" s="26">
        <f t="shared" ca="1" si="1053"/>
        <v>1292</v>
      </c>
      <c r="M1274" s="26">
        <f t="shared" ref="M1274:N1274" si="1308">M$3</f>
        <v>500</v>
      </c>
      <c r="N1274" s="26">
        <f t="shared" si="1308"/>
        <v>500</v>
      </c>
      <c r="O1274" s="26">
        <f ca="1">IFERROR(__xludf.DUMMYFUNCTION("ROUND(GOOGLEFINANCE(""Currency:EURKZT"")*K1274)"),3247473)</f>
        <v>3247473</v>
      </c>
      <c r="P1274" s="26">
        <f ca="1">IFERROR(__xludf.DUMMYFUNCTION("ROUND(GOOGLEFINANCE(""Currency:EURKZT"")*M1274)"),238785)</f>
        <v>238785</v>
      </c>
      <c r="Q1274" s="26">
        <f ca="1">IFERROR(__xludf.DUMMYFUNCTION("ROUND(GOOGLEFINANCE(""Currency:EURKZT"")*N1274)"),238785)</f>
        <v>238785</v>
      </c>
      <c r="R1274" s="26">
        <f t="shared" ca="1" si="1055"/>
        <v>389697</v>
      </c>
      <c r="S1274" s="26">
        <f t="shared" ca="1" si="1056"/>
        <v>4114740</v>
      </c>
      <c r="T1274" s="26">
        <f ca="1">IFERROR(__xludf.DUMMYFUNCTION("ROUND(GOOGLEFINANCE(""Currency:EURKZT"")*L1274+S1274)"),4731760)</f>
        <v>4731760</v>
      </c>
      <c r="U1274" s="26">
        <f ca="1">IFERROR(__xludf.DUMMYFUNCTION("D1274*GOOGLEFINANCE(""RUBKZT"")*1000/F1274"),5905862.16485063)</f>
        <v>5905862.1648506299</v>
      </c>
      <c r="V1274" s="27">
        <f t="shared" ca="1" si="1057"/>
        <v>0.24813223089307782</v>
      </c>
    </row>
    <row r="1275" spans="1:22" ht="12.75" customHeight="1" x14ac:dyDescent="0.2">
      <c r="A1275" s="6" t="s">
        <v>259</v>
      </c>
      <c r="B1275" s="6" t="s">
        <v>6</v>
      </c>
      <c r="C1275" s="7">
        <v>167311</v>
      </c>
      <c r="D1275" s="8">
        <v>26856</v>
      </c>
      <c r="E1275" s="9" t="s">
        <v>16</v>
      </c>
      <c r="F1275" s="10">
        <v>60</v>
      </c>
      <c r="G1275" s="25"/>
      <c r="H1275" s="14">
        <f t="shared" si="1051"/>
        <v>0.55000000000000004</v>
      </c>
      <c r="I1275" s="25">
        <f ca="1">IFERROR(__xludf.DUMMYFUNCTION("ROUND(D1275*GOOGLEFINANCE(""RUBKZT"")*H1275)"),115264)</f>
        <v>115264</v>
      </c>
      <c r="J1275" s="26">
        <f ca="1">IFERROR(__xludf.DUMMYFUNCTION("ROUND(I1275*GOOGLEFINANCE(""KZTEUR""))"),241)</f>
        <v>241</v>
      </c>
      <c r="K1275" s="26">
        <f t="shared" ca="1" si="1052"/>
        <v>4017</v>
      </c>
      <c r="L1275" s="26">
        <f t="shared" ca="1" si="1053"/>
        <v>763.23</v>
      </c>
      <c r="M1275" s="26">
        <f t="shared" ref="M1275:N1275" si="1309">M$3</f>
        <v>500</v>
      </c>
      <c r="N1275" s="26">
        <f t="shared" si="1309"/>
        <v>500</v>
      </c>
      <c r="O1275" s="26">
        <f ca="1">IFERROR(__xludf.DUMMYFUNCTION("ROUND(GOOGLEFINANCE(""Currency:EURKZT"")*K1275)"),1918397)</f>
        <v>1918397</v>
      </c>
      <c r="P1275" s="26">
        <f ca="1">IFERROR(__xludf.DUMMYFUNCTION("ROUND(GOOGLEFINANCE(""Currency:EURKZT"")*M1275)"),238785)</f>
        <v>238785</v>
      </c>
      <c r="Q1275" s="26">
        <f ca="1">IFERROR(__xludf.DUMMYFUNCTION("ROUND(GOOGLEFINANCE(""Currency:EURKZT"")*N1275)"),238785)</f>
        <v>238785</v>
      </c>
      <c r="R1275" s="26">
        <f t="shared" ca="1" si="1055"/>
        <v>230208</v>
      </c>
      <c r="S1275" s="26">
        <f t="shared" ca="1" si="1056"/>
        <v>2626175</v>
      </c>
      <c r="T1275" s="26">
        <f ca="1">IFERROR(__xludf.DUMMYFUNCTION("ROUND(GOOGLEFINANCE(""Currency:EURKZT"")*L1275+S1275)"),2990670)</f>
        <v>2990670</v>
      </c>
      <c r="U1275" s="26">
        <f ca="1">IFERROR(__xludf.DUMMYFUNCTION("D1275*GOOGLEFINANCE(""RUBKZT"")*1000/F1275"),3492856.8285552)</f>
        <v>3492856.8285551998</v>
      </c>
      <c r="V1275" s="27">
        <f t="shared" ca="1" si="1057"/>
        <v>0.16791783398208421</v>
      </c>
    </row>
    <row r="1276" spans="1:22" ht="12.75" customHeight="1" x14ac:dyDescent="0.2">
      <c r="A1276" s="6" t="s">
        <v>261</v>
      </c>
      <c r="B1276" s="6" t="s">
        <v>6</v>
      </c>
      <c r="C1276" s="7">
        <v>168307</v>
      </c>
      <c r="D1276" s="8">
        <v>56774.400000000001</v>
      </c>
      <c r="E1276" s="9" t="s">
        <v>16</v>
      </c>
      <c r="F1276" s="10">
        <v>60</v>
      </c>
      <c r="G1276" s="25"/>
      <c r="H1276" s="14">
        <f t="shared" si="1051"/>
        <v>0.55000000000000004</v>
      </c>
      <c r="I1276" s="25">
        <f ca="1">IFERROR(__xludf.DUMMYFUNCTION("ROUND(D1276*GOOGLEFINANCE(""RUBKZT"")*H1276)"),243672)</f>
        <v>243672</v>
      </c>
      <c r="J1276" s="26">
        <f ca="1">IFERROR(__xludf.DUMMYFUNCTION("ROUND(I1276*GOOGLEFINANCE(""KZTEUR""))"),510)</f>
        <v>510</v>
      </c>
      <c r="K1276" s="26">
        <f t="shared" ca="1" si="1052"/>
        <v>8500</v>
      </c>
      <c r="L1276" s="26">
        <f t="shared" ca="1" si="1053"/>
        <v>1615</v>
      </c>
      <c r="M1276" s="26">
        <f t="shared" ref="M1276:N1276" si="1310">M$3</f>
        <v>500</v>
      </c>
      <c r="N1276" s="26">
        <f t="shared" si="1310"/>
        <v>500</v>
      </c>
      <c r="O1276" s="26">
        <f ca="1">IFERROR(__xludf.DUMMYFUNCTION("ROUND(GOOGLEFINANCE(""Currency:EURKZT"")*K1276)"),4059342)</f>
        <v>4059342</v>
      </c>
      <c r="P1276" s="26">
        <f ca="1">IFERROR(__xludf.DUMMYFUNCTION("ROUND(GOOGLEFINANCE(""Currency:EURKZT"")*M1276)"),238785)</f>
        <v>238785</v>
      </c>
      <c r="Q1276" s="26">
        <f ca="1">IFERROR(__xludf.DUMMYFUNCTION("ROUND(GOOGLEFINANCE(""Currency:EURKZT"")*N1276)"),238785)</f>
        <v>238785</v>
      </c>
      <c r="R1276" s="26">
        <f t="shared" ca="1" si="1055"/>
        <v>487121</v>
      </c>
      <c r="S1276" s="26">
        <f t="shared" ca="1" si="1056"/>
        <v>5024033</v>
      </c>
      <c r="T1276" s="26">
        <f ca="1">IFERROR(__xludf.DUMMYFUNCTION("ROUND(GOOGLEFINANCE(""Currency:EURKZT"")*L1276+S1276)"),5795308)</f>
        <v>5795308</v>
      </c>
      <c r="U1276" s="26">
        <f ca="1">IFERROR(__xludf.DUMMYFUNCTION("D1276*GOOGLEFINANCE(""RUBKZT"")*1000/F1276"),7384005.46347648)</f>
        <v>7384005.46347648</v>
      </c>
      <c r="V1276" s="27">
        <f t="shared" ca="1" si="1057"/>
        <v>0.27413512163227216</v>
      </c>
    </row>
    <row r="1277" spans="1:22" ht="12.75" customHeight="1" x14ac:dyDescent="0.2">
      <c r="A1277" s="6" t="s">
        <v>285</v>
      </c>
      <c r="B1277" s="6" t="s">
        <v>6</v>
      </c>
      <c r="C1277" s="7">
        <v>180859</v>
      </c>
      <c r="D1277" s="8">
        <v>40844.400000000001</v>
      </c>
      <c r="E1277" s="9" t="s">
        <v>16</v>
      </c>
      <c r="F1277" s="10">
        <v>60</v>
      </c>
      <c r="G1277" s="25"/>
      <c r="H1277" s="14">
        <f t="shared" si="1051"/>
        <v>0.55000000000000004</v>
      </c>
      <c r="I1277" s="25">
        <f ca="1">IFERROR(__xludf.DUMMYFUNCTION("ROUND(D1277*GOOGLEFINANCE(""RUBKZT"")*H1277)"),175302)</f>
        <v>175302</v>
      </c>
      <c r="J1277" s="26">
        <f ca="1">IFERROR(__xludf.DUMMYFUNCTION("ROUND(I1277*GOOGLEFINANCE(""KZTEUR""))"),367)</f>
        <v>367</v>
      </c>
      <c r="K1277" s="26">
        <f t="shared" ca="1" si="1052"/>
        <v>6117</v>
      </c>
      <c r="L1277" s="26">
        <f t="shared" ca="1" si="1053"/>
        <v>1162.23</v>
      </c>
      <c r="M1277" s="26">
        <f t="shared" ref="M1277:N1277" si="1311">M$3</f>
        <v>500</v>
      </c>
      <c r="N1277" s="26">
        <f t="shared" si="1311"/>
        <v>500</v>
      </c>
      <c r="O1277" s="26">
        <f ca="1">IFERROR(__xludf.DUMMYFUNCTION("ROUND(GOOGLEFINANCE(""Currency:EURKZT"")*K1277)"),2921293)</f>
        <v>2921293</v>
      </c>
      <c r="P1277" s="26">
        <f ca="1">IFERROR(__xludf.DUMMYFUNCTION("ROUND(GOOGLEFINANCE(""Currency:EURKZT"")*M1277)"),238785)</f>
        <v>238785</v>
      </c>
      <c r="Q1277" s="26">
        <f ca="1">IFERROR(__xludf.DUMMYFUNCTION("ROUND(GOOGLEFINANCE(""Currency:EURKZT"")*N1277)"),238785)</f>
        <v>238785</v>
      </c>
      <c r="R1277" s="26">
        <f t="shared" ca="1" si="1055"/>
        <v>350555</v>
      </c>
      <c r="S1277" s="26">
        <f t="shared" ca="1" si="1056"/>
        <v>3749418</v>
      </c>
      <c r="T1277" s="26">
        <f ca="1">IFERROR(__xludf.DUMMYFUNCTION("ROUND(GOOGLEFINANCE(""Currency:EURKZT"")*L1277+S1277)"),4304464)</f>
        <v>4304464</v>
      </c>
      <c r="U1277" s="26">
        <f ca="1">IFERROR(__xludf.DUMMYFUNCTION("D1277*GOOGLEFINANCE(""RUBKZT"")*1000/F1277"),5312170.14627048)</f>
        <v>5312170.14627048</v>
      </c>
      <c r="V1277" s="27">
        <f t="shared" ca="1" si="1057"/>
        <v>0.23410723060303909</v>
      </c>
    </row>
    <row r="1278" spans="1:22" ht="12.75" customHeight="1" x14ac:dyDescent="0.2">
      <c r="A1278" s="6" t="s">
        <v>290</v>
      </c>
      <c r="B1278" s="6" t="s">
        <v>6</v>
      </c>
      <c r="C1278" s="7">
        <v>182163</v>
      </c>
      <c r="D1278" s="8">
        <v>43303.199999999997</v>
      </c>
      <c r="E1278" s="9" t="s">
        <v>16</v>
      </c>
      <c r="F1278" s="10">
        <v>60</v>
      </c>
      <c r="G1278" s="25"/>
      <c r="H1278" s="14">
        <f t="shared" si="1051"/>
        <v>0.55000000000000004</v>
      </c>
      <c r="I1278" s="25">
        <f ca="1">IFERROR(__xludf.DUMMYFUNCTION("ROUND(D1278*GOOGLEFINANCE(""RUBKZT"")*H1278)"),185855)</f>
        <v>185855</v>
      </c>
      <c r="J1278" s="26">
        <f ca="1">IFERROR(__xludf.DUMMYFUNCTION("ROUND(I1278*GOOGLEFINANCE(""KZTEUR""))"),389)</f>
        <v>389</v>
      </c>
      <c r="K1278" s="26">
        <f t="shared" ca="1" si="1052"/>
        <v>6483</v>
      </c>
      <c r="L1278" s="26">
        <f t="shared" ca="1" si="1053"/>
        <v>1231.77</v>
      </c>
      <c r="M1278" s="26">
        <f t="shared" ref="M1278:N1278" si="1312">M$3</f>
        <v>500</v>
      </c>
      <c r="N1278" s="26">
        <f t="shared" si="1312"/>
        <v>500</v>
      </c>
      <c r="O1278" s="26">
        <f ca="1">IFERROR(__xludf.DUMMYFUNCTION("ROUND(GOOGLEFINANCE(""Currency:EURKZT"")*K1278)"),3096084)</f>
        <v>3096084</v>
      </c>
      <c r="P1278" s="26">
        <f ca="1">IFERROR(__xludf.DUMMYFUNCTION("ROUND(GOOGLEFINANCE(""Currency:EURKZT"")*M1278)"),238785)</f>
        <v>238785</v>
      </c>
      <c r="Q1278" s="26">
        <f ca="1">IFERROR(__xludf.DUMMYFUNCTION("ROUND(GOOGLEFINANCE(""Currency:EURKZT"")*N1278)"),238785)</f>
        <v>238785</v>
      </c>
      <c r="R1278" s="26">
        <f t="shared" ca="1" si="1055"/>
        <v>371530</v>
      </c>
      <c r="S1278" s="26">
        <f t="shared" ca="1" si="1056"/>
        <v>3945184</v>
      </c>
      <c r="T1278" s="26">
        <f ca="1">IFERROR(__xludf.DUMMYFUNCTION("ROUND(GOOGLEFINANCE(""Currency:EURKZT"")*L1278+S1278)"),4533440)</f>
        <v>4533440</v>
      </c>
      <c r="U1278" s="26">
        <f ca="1">IFERROR(__xludf.DUMMYFUNCTION("D1278*GOOGLEFINANCE(""RUBKZT"")*1000/F1278"),5631958.51274544)</f>
        <v>5631958.51274544</v>
      </c>
      <c r="V1278" s="27">
        <f t="shared" ca="1" si="1057"/>
        <v>0.24231455864540835</v>
      </c>
    </row>
    <row r="1279" spans="1:22" ht="12.75" customHeight="1" x14ac:dyDescent="0.2">
      <c r="A1279" s="6" t="s">
        <v>203</v>
      </c>
      <c r="B1279" s="6" t="s">
        <v>6</v>
      </c>
      <c r="C1279" s="7">
        <v>182883</v>
      </c>
      <c r="D1279" s="8">
        <v>36594</v>
      </c>
      <c r="E1279" s="9" t="s">
        <v>16</v>
      </c>
      <c r="F1279" s="10">
        <v>60</v>
      </c>
      <c r="G1279" s="25"/>
      <c r="H1279" s="14">
        <f t="shared" si="1051"/>
        <v>0.55000000000000004</v>
      </c>
      <c r="I1279" s="25">
        <f ca="1">IFERROR(__xludf.DUMMYFUNCTION("ROUND(D1279*GOOGLEFINANCE(""RUBKZT"")*H1279)"),157059)</f>
        <v>157059</v>
      </c>
      <c r="J1279" s="26">
        <f ca="1">IFERROR(__xludf.DUMMYFUNCTION("ROUND(I1279*GOOGLEFINANCE(""KZTEUR""))"),329)</f>
        <v>329</v>
      </c>
      <c r="K1279" s="26">
        <f t="shared" ca="1" si="1052"/>
        <v>5483</v>
      </c>
      <c r="L1279" s="26">
        <f t="shared" ca="1" si="1053"/>
        <v>1041.77</v>
      </c>
      <c r="M1279" s="26">
        <f t="shared" ref="M1279:N1279" si="1313">M$3</f>
        <v>500</v>
      </c>
      <c r="N1279" s="26">
        <f t="shared" si="1313"/>
        <v>500</v>
      </c>
      <c r="O1279" s="26">
        <f ca="1">IFERROR(__xludf.DUMMYFUNCTION("ROUND(GOOGLEFINANCE(""Currency:EURKZT"")*K1279)"),2618514)</f>
        <v>2618514</v>
      </c>
      <c r="P1279" s="26">
        <f ca="1">IFERROR(__xludf.DUMMYFUNCTION("ROUND(GOOGLEFINANCE(""Currency:EURKZT"")*M1279)"),238785)</f>
        <v>238785</v>
      </c>
      <c r="Q1279" s="26">
        <f ca="1">IFERROR(__xludf.DUMMYFUNCTION("ROUND(GOOGLEFINANCE(""Currency:EURKZT"")*N1279)"),238785)</f>
        <v>238785</v>
      </c>
      <c r="R1279" s="26">
        <f t="shared" ca="1" si="1055"/>
        <v>314222</v>
      </c>
      <c r="S1279" s="26">
        <f t="shared" ca="1" si="1056"/>
        <v>3410306</v>
      </c>
      <c r="T1279" s="26">
        <f ca="1">IFERROR(__xludf.DUMMYFUNCTION("ROUND(GOOGLEFINANCE(""Currency:EURKZT"")*L1279+S1279)"),3907824)</f>
        <v>3907824</v>
      </c>
      <c r="U1279" s="26">
        <f ca="1">IFERROR(__xludf.DUMMYFUNCTION("D1279*GOOGLEFINANCE(""RUBKZT"")*1000/F1279"),4759368.5874348)</f>
        <v>4759368.5874348003</v>
      </c>
      <c r="V1279" s="27">
        <f t="shared" ca="1" si="1057"/>
        <v>0.21790760981937782</v>
      </c>
    </row>
    <row r="1280" spans="1:22" ht="12.75" customHeight="1" x14ac:dyDescent="0.2">
      <c r="A1280" s="6" t="s">
        <v>291</v>
      </c>
      <c r="B1280" s="6" t="s">
        <v>6</v>
      </c>
      <c r="C1280" s="7">
        <v>183087</v>
      </c>
      <c r="D1280" s="8">
        <v>28790.399999999998</v>
      </c>
      <c r="E1280" s="9" t="s">
        <v>7</v>
      </c>
      <c r="F1280" s="10">
        <v>60</v>
      </c>
      <c r="G1280" s="25"/>
      <c r="H1280" s="14">
        <f t="shared" ref="H1280:H1355" si="1314">H$3+G1280</f>
        <v>0.55000000000000004</v>
      </c>
      <c r="I1280" s="25">
        <f ca="1">IFERROR(__xludf.DUMMYFUNCTION("ROUND(D1280*GOOGLEFINANCE(""RUBKZT"")*H1280)"),123567)</f>
        <v>123567</v>
      </c>
      <c r="J1280" s="26">
        <f ca="1">IFERROR(__xludf.DUMMYFUNCTION("ROUND(I1280*GOOGLEFINANCE(""KZTEUR""))"),259)</f>
        <v>259</v>
      </c>
      <c r="K1280" s="26">
        <f t="shared" ref="K1280:K1355" ca="1" si="1315">ROUND(J1280/F1280*1000,0)</f>
        <v>4317</v>
      </c>
      <c r="L1280" s="26">
        <f t="shared" ref="L1280:L1355" ca="1" si="1316">K1280*L$3</f>
        <v>820.23</v>
      </c>
      <c r="M1280" s="26">
        <f t="shared" ref="M1280:N1280" si="1317">M$3</f>
        <v>500</v>
      </c>
      <c r="N1280" s="26">
        <f t="shared" si="1317"/>
        <v>500</v>
      </c>
      <c r="O1280" s="26">
        <f ca="1">IFERROR(__xludf.DUMMYFUNCTION("ROUND(GOOGLEFINANCE(""Currency:EURKZT"")*K1280)"),2061668)</f>
        <v>2061668</v>
      </c>
      <c r="P1280" s="26">
        <f ca="1">IFERROR(__xludf.DUMMYFUNCTION("ROUND(GOOGLEFINANCE(""Currency:EURKZT"")*M1280)"),238785)</f>
        <v>238785</v>
      </c>
      <c r="Q1280" s="26">
        <f ca="1">IFERROR(__xludf.DUMMYFUNCTION("ROUND(GOOGLEFINANCE(""Currency:EURKZT"")*N1280)"),238785)</f>
        <v>238785</v>
      </c>
      <c r="R1280" s="26">
        <f t="shared" ref="R1280:R1355" ca="1" si="1318">ROUND(O1280*R$3,0)</f>
        <v>247400</v>
      </c>
      <c r="S1280" s="26">
        <f t="shared" ref="S1280:S1355" ca="1" si="1319">SUM(O1280:R1280)</f>
        <v>2786638</v>
      </c>
      <c r="T1280" s="26">
        <f ca="1">IFERROR(__xludf.DUMMYFUNCTION("ROUND(GOOGLEFINANCE(""Currency:EURKZT"")*L1280+S1280)"),3178355)</f>
        <v>3178355</v>
      </c>
      <c r="U1280" s="26">
        <f ca="1">IFERROR(__xludf.DUMMYFUNCTION("D1280*GOOGLEFINANCE(""RUBKZT"")*1000/F1280"),3744442.40530368)</f>
        <v>3744442.4053036799</v>
      </c>
      <c r="V1280" s="27">
        <f t="shared" ref="V1280:V1355" ca="1" si="1320">(U1280-T1280)/T1280</f>
        <v>0.17810704131655522</v>
      </c>
    </row>
    <row r="1281" spans="1:22" ht="12.75" customHeight="1" x14ac:dyDescent="0.2">
      <c r="A1281" s="6" t="s">
        <v>293</v>
      </c>
      <c r="B1281" s="6" t="s">
        <v>6</v>
      </c>
      <c r="C1281" s="7">
        <v>183133</v>
      </c>
      <c r="D1281" s="8">
        <v>44048.4</v>
      </c>
      <c r="E1281" s="9" t="s">
        <v>7</v>
      </c>
      <c r="F1281" s="10">
        <v>60</v>
      </c>
      <c r="G1281" s="25"/>
      <c r="H1281" s="14">
        <f t="shared" si="1314"/>
        <v>0.55000000000000004</v>
      </c>
      <c r="I1281" s="25">
        <f ca="1">IFERROR(__xludf.DUMMYFUNCTION("ROUND(D1281*GOOGLEFINANCE(""RUBKZT"")*H1281)"),189053)</f>
        <v>189053</v>
      </c>
      <c r="J1281" s="26">
        <f ca="1">IFERROR(__xludf.DUMMYFUNCTION("ROUND(I1281*GOOGLEFINANCE(""KZTEUR""))"),396)</f>
        <v>396</v>
      </c>
      <c r="K1281" s="26">
        <f t="shared" ca="1" si="1315"/>
        <v>6600</v>
      </c>
      <c r="L1281" s="26">
        <f t="shared" ca="1" si="1316"/>
        <v>1254</v>
      </c>
      <c r="M1281" s="26">
        <f t="shared" ref="M1281:N1281" si="1321">M$3</f>
        <v>500</v>
      </c>
      <c r="N1281" s="26">
        <f t="shared" si="1321"/>
        <v>500</v>
      </c>
      <c r="O1281" s="26">
        <f ca="1">IFERROR(__xludf.DUMMYFUNCTION("ROUND(GOOGLEFINANCE(""Currency:EURKZT"")*K1281)"),3151959)</f>
        <v>3151959</v>
      </c>
      <c r="P1281" s="26">
        <f ca="1">IFERROR(__xludf.DUMMYFUNCTION("ROUND(GOOGLEFINANCE(""Currency:EURKZT"")*M1281)"),238785)</f>
        <v>238785</v>
      </c>
      <c r="Q1281" s="26">
        <f ca="1">IFERROR(__xludf.DUMMYFUNCTION("ROUND(GOOGLEFINANCE(""Currency:EURKZT"")*N1281)"),238785)</f>
        <v>238785</v>
      </c>
      <c r="R1281" s="26">
        <f t="shared" ca="1" si="1318"/>
        <v>378235</v>
      </c>
      <c r="S1281" s="26">
        <f t="shared" ca="1" si="1319"/>
        <v>4007764</v>
      </c>
      <c r="T1281" s="26">
        <f ca="1">IFERROR(__xludf.DUMMYFUNCTION("ROUND(GOOGLEFINANCE(""Currency:EURKZT"")*L1281+S1281)"),4606636)</f>
        <v>4606636</v>
      </c>
      <c r="U1281" s="26">
        <f ca="1">IFERROR(__xludf.DUMMYFUNCTION("D1281*GOOGLEFINANCE(""RUBKZT"")*1000/F1281"),5728878.26656728)</f>
        <v>5728878.2665672796</v>
      </c>
      <c r="V1281" s="27">
        <f t="shared" ca="1" si="1320"/>
        <v>0.24361427005894964</v>
      </c>
    </row>
    <row r="1282" spans="1:22" ht="12.75" customHeight="1" x14ac:dyDescent="0.2">
      <c r="A1282" s="6" t="s">
        <v>250</v>
      </c>
      <c r="B1282" s="6" t="s">
        <v>6</v>
      </c>
      <c r="C1282" s="7">
        <v>183173</v>
      </c>
      <c r="D1282" s="8">
        <v>49610.400000000001</v>
      </c>
      <c r="E1282" s="9" t="s">
        <v>16</v>
      </c>
      <c r="F1282" s="10">
        <v>60</v>
      </c>
      <c r="G1282" s="25"/>
      <c r="H1282" s="14">
        <f t="shared" si="1314"/>
        <v>0.55000000000000004</v>
      </c>
      <c r="I1282" s="25">
        <f ca="1">IFERROR(__xludf.DUMMYFUNCTION("ROUND(D1282*GOOGLEFINANCE(""RUBKZT"")*H1282)"),212925)</f>
        <v>212925</v>
      </c>
      <c r="J1282" s="26">
        <f ca="1">IFERROR(__xludf.DUMMYFUNCTION("ROUND(I1282*GOOGLEFINANCE(""KZTEUR""))"),446)</f>
        <v>446</v>
      </c>
      <c r="K1282" s="26">
        <f t="shared" ca="1" si="1315"/>
        <v>7433</v>
      </c>
      <c r="L1282" s="26">
        <f t="shared" ca="1" si="1316"/>
        <v>1412.27</v>
      </c>
      <c r="M1282" s="26">
        <f t="shared" ref="M1282:N1282" si="1322">M$3</f>
        <v>500</v>
      </c>
      <c r="N1282" s="26">
        <f t="shared" si="1322"/>
        <v>500</v>
      </c>
      <c r="O1282" s="26">
        <f ca="1">IFERROR(__xludf.DUMMYFUNCTION("ROUND(GOOGLEFINANCE(""Currency:EURKZT"")*K1282)"),3549775)</f>
        <v>3549775</v>
      </c>
      <c r="P1282" s="26">
        <f ca="1">IFERROR(__xludf.DUMMYFUNCTION("ROUND(GOOGLEFINANCE(""Currency:EURKZT"")*M1282)"),238785)</f>
        <v>238785</v>
      </c>
      <c r="Q1282" s="26">
        <f ca="1">IFERROR(__xludf.DUMMYFUNCTION("ROUND(GOOGLEFINANCE(""Currency:EURKZT"")*N1282)"),238785)</f>
        <v>238785</v>
      </c>
      <c r="R1282" s="26">
        <f t="shared" ca="1" si="1318"/>
        <v>425973</v>
      </c>
      <c r="S1282" s="26">
        <f t="shared" ca="1" si="1319"/>
        <v>4453318</v>
      </c>
      <c r="T1282" s="26">
        <f ca="1">IFERROR(__xludf.DUMMYFUNCTION("ROUND(GOOGLEFINANCE(""Currency:EURKZT"")*L1282+S1282)"),5127775)</f>
        <v>5127775</v>
      </c>
      <c r="U1282" s="26">
        <f ca="1">IFERROR(__xludf.DUMMYFUNCTION("D1282*GOOGLEFINANCE(""RUBKZT"")*1000/F1282"),6452264.83494768)</f>
        <v>6452264.8349476801</v>
      </c>
      <c r="V1282" s="27">
        <f t="shared" ca="1" si="1320"/>
        <v>0.25829718249097905</v>
      </c>
    </row>
    <row r="1283" spans="1:22" ht="12.75" customHeight="1" x14ac:dyDescent="0.2">
      <c r="A1283" s="6" t="s">
        <v>295</v>
      </c>
      <c r="B1283" s="6" t="s">
        <v>6</v>
      </c>
      <c r="C1283" s="7">
        <v>183266</v>
      </c>
      <c r="D1283" s="8">
        <v>31633.199999999997</v>
      </c>
      <c r="E1283" s="9" t="s">
        <v>7</v>
      </c>
      <c r="F1283" s="10">
        <v>60</v>
      </c>
      <c r="G1283" s="25"/>
      <c r="H1283" s="14">
        <f t="shared" si="1314"/>
        <v>0.55000000000000004</v>
      </c>
      <c r="I1283" s="25">
        <f ca="1">IFERROR(__xludf.DUMMYFUNCTION("ROUND(D1283*GOOGLEFINANCE(""RUBKZT"")*H1283)"),135768)</f>
        <v>135768</v>
      </c>
      <c r="J1283" s="26">
        <f ca="1">IFERROR(__xludf.DUMMYFUNCTION("ROUND(I1283*GOOGLEFINANCE(""KZTEUR""))"),284)</f>
        <v>284</v>
      </c>
      <c r="K1283" s="26">
        <f t="shared" ca="1" si="1315"/>
        <v>4733</v>
      </c>
      <c r="L1283" s="26">
        <f t="shared" ca="1" si="1316"/>
        <v>899.27</v>
      </c>
      <c r="M1283" s="26">
        <f t="shared" ref="M1283:N1283" si="1323">M$3</f>
        <v>500</v>
      </c>
      <c r="N1283" s="26">
        <f t="shared" si="1323"/>
        <v>500</v>
      </c>
      <c r="O1283" s="26">
        <f ca="1">IFERROR(__xludf.DUMMYFUNCTION("ROUND(GOOGLEFINANCE(""Currency:EURKZT"")*K1283)"),2260337)</f>
        <v>2260337</v>
      </c>
      <c r="P1283" s="26">
        <f ca="1">IFERROR(__xludf.DUMMYFUNCTION("ROUND(GOOGLEFINANCE(""Currency:EURKZT"")*M1283)"),238785)</f>
        <v>238785</v>
      </c>
      <c r="Q1283" s="26">
        <f ca="1">IFERROR(__xludf.DUMMYFUNCTION("ROUND(GOOGLEFINANCE(""Currency:EURKZT"")*N1283)"),238785)</f>
        <v>238785</v>
      </c>
      <c r="R1283" s="26">
        <f t="shared" ca="1" si="1318"/>
        <v>271240</v>
      </c>
      <c r="S1283" s="26">
        <f t="shared" ca="1" si="1319"/>
        <v>3009147</v>
      </c>
      <c r="T1283" s="26">
        <f ca="1">IFERROR(__xludf.DUMMYFUNCTION("ROUND(GOOGLEFINANCE(""Currency:EURKZT"")*L1283+S1283)"),3438611)</f>
        <v>3438611</v>
      </c>
      <c r="U1283" s="26">
        <f ca="1">IFERROR(__xludf.DUMMYFUNCTION("D1283*GOOGLEFINANCE(""RUBKZT"")*1000/F1283"),4114173.31803144)</f>
        <v>4114173.31803144</v>
      </c>
      <c r="V1283" s="27">
        <f t="shared" ca="1" si="1320"/>
        <v>0.19646372271578263</v>
      </c>
    </row>
    <row r="1284" spans="1:22" ht="12.75" customHeight="1" x14ac:dyDescent="0.2">
      <c r="A1284" s="6" t="s">
        <v>297</v>
      </c>
      <c r="B1284" s="6" t="s">
        <v>6</v>
      </c>
      <c r="C1284" s="7">
        <v>183294</v>
      </c>
      <c r="D1284" s="8">
        <v>30226.799999999999</v>
      </c>
      <c r="E1284" s="9" t="s">
        <v>7</v>
      </c>
      <c r="F1284" s="10">
        <v>60</v>
      </c>
      <c r="G1284" s="25"/>
      <c r="H1284" s="14">
        <f t="shared" si="1314"/>
        <v>0.55000000000000004</v>
      </c>
      <c r="I1284" s="25">
        <f ca="1">IFERROR(__xludf.DUMMYFUNCTION("ROUND(D1284*GOOGLEFINANCE(""RUBKZT"")*H1284)"),129732)</f>
        <v>129732</v>
      </c>
      <c r="J1284" s="26">
        <f ca="1">IFERROR(__xludf.DUMMYFUNCTION("ROUND(I1284*GOOGLEFINANCE(""KZTEUR""))"),272)</f>
        <v>272</v>
      </c>
      <c r="K1284" s="26">
        <f t="shared" ca="1" si="1315"/>
        <v>4533</v>
      </c>
      <c r="L1284" s="26">
        <f t="shared" ca="1" si="1316"/>
        <v>861.27</v>
      </c>
      <c r="M1284" s="26">
        <f t="shared" ref="M1284:N1284" si="1324">M$3</f>
        <v>500</v>
      </c>
      <c r="N1284" s="26">
        <f t="shared" si="1324"/>
        <v>500</v>
      </c>
      <c r="O1284" s="26">
        <f ca="1">IFERROR(__xludf.DUMMYFUNCTION("ROUND(GOOGLEFINANCE(""Currency:EURKZT"")*K1284)"),2164823)</f>
        <v>2164823</v>
      </c>
      <c r="P1284" s="26">
        <f ca="1">IFERROR(__xludf.DUMMYFUNCTION("ROUND(GOOGLEFINANCE(""Currency:EURKZT"")*M1284)"),238785)</f>
        <v>238785</v>
      </c>
      <c r="Q1284" s="26">
        <f ca="1">IFERROR(__xludf.DUMMYFUNCTION("ROUND(GOOGLEFINANCE(""Currency:EURKZT"")*N1284)"),238785)</f>
        <v>238785</v>
      </c>
      <c r="R1284" s="26">
        <f t="shared" ca="1" si="1318"/>
        <v>259779</v>
      </c>
      <c r="S1284" s="26">
        <f t="shared" ca="1" si="1319"/>
        <v>2902172</v>
      </c>
      <c r="T1284" s="26">
        <f ca="1">IFERROR(__xludf.DUMMYFUNCTION("ROUND(GOOGLEFINANCE(""Currency:EURKZT"")*L1284+S1284)"),3313488)</f>
        <v>3313488</v>
      </c>
      <c r="U1284" s="26">
        <f ca="1">IFERROR(__xludf.DUMMYFUNCTION("D1284*GOOGLEFINANCE(""RUBKZT"")*1000/F1284"),3931258.74238056)</f>
        <v>3931258.7423805599</v>
      </c>
      <c r="V1284" s="27">
        <f t="shared" ca="1" si="1320"/>
        <v>0.18644121915653833</v>
      </c>
    </row>
    <row r="1285" spans="1:22" ht="12.75" customHeight="1" x14ac:dyDescent="0.2">
      <c r="A1285" s="6" t="s">
        <v>298</v>
      </c>
      <c r="B1285" s="6" t="s">
        <v>6</v>
      </c>
      <c r="C1285" s="7">
        <v>183301</v>
      </c>
      <c r="D1285" s="8">
        <v>31022.399999999998</v>
      </c>
      <c r="E1285" s="9" t="s">
        <v>7</v>
      </c>
      <c r="F1285" s="10">
        <v>60</v>
      </c>
      <c r="G1285" s="25"/>
      <c r="H1285" s="14">
        <f t="shared" si="1314"/>
        <v>0.55000000000000004</v>
      </c>
      <c r="I1285" s="25">
        <f ca="1">IFERROR(__xludf.DUMMYFUNCTION("ROUND(D1285*GOOGLEFINANCE(""RUBKZT"")*H1285)"),133146)</f>
        <v>133146</v>
      </c>
      <c r="J1285" s="26">
        <f ca="1">IFERROR(__xludf.DUMMYFUNCTION("ROUND(I1285*GOOGLEFINANCE(""KZTEUR""))"),279)</f>
        <v>279</v>
      </c>
      <c r="K1285" s="26">
        <f t="shared" ca="1" si="1315"/>
        <v>4650</v>
      </c>
      <c r="L1285" s="26">
        <f t="shared" ca="1" si="1316"/>
        <v>883.5</v>
      </c>
      <c r="M1285" s="26">
        <f t="shared" ref="M1285:N1285" si="1325">M$3</f>
        <v>500</v>
      </c>
      <c r="N1285" s="26">
        <f t="shared" si="1325"/>
        <v>500</v>
      </c>
      <c r="O1285" s="26">
        <f ca="1">IFERROR(__xludf.DUMMYFUNCTION("ROUND(GOOGLEFINANCE(""Currency:EURKZT"")*K1285)"),2220699)</f>
        <v>2220699</v>
      </c>
      <c r="P1285" s="26">
        <f ca="1">IFERROR(__xludf.DUMMYFUNCTION("ROUND(GOOGLEFINANCE(""Currency:EURKZT"")*M1285)"),238785)</f>
        <v>238785</v>
      </c>
      <c r="Q1285" s="26">
        <f ca="1">IFERROR(__xludf.DUMMYFUNCTION("ROUND(GOOGLEFINANCE(""Currency:EURKZT"")*N1285)"),238785)</f>
        <v>238785</v>
      </c>
      <c r="R1285" s="26">
        <f t="shared" ca="1" si="1318"/>
        <v>266484</v>
      </c>
      <c r="S1285" s="26">
        <f t="shared" ca="1" si="1319"/>
        <v>2964753</v>
      </c>
      <c r="T1285" s="26">
        <f ca="1">IFERROR(__xludf.DUMMYFUNCTION("ROUND(GOOGLEFINANCE(""Currency:EURKZT"")*L1285+S1285)"),3386686)</f>
        <v>3386686</v>
      </c>
      <c r="U1285" s="26">
        <f ca="1">IFERROR(__xludf.DUMMYFUNCTION("D1285*GOOGLEFINANCE(""RUBKZT"")*1000/F1285"),4034733.45539808)</f>
        <v>4034733.4553980799</v>
      </c>
      <c r="V1285" s="27">
        <f t="shared" ca="1" si="1320"/>
        <v>0.19135150273691742</v>
      </c>
    </row>
    <row r="1286" spans="1:22" ht="12.75" customHeight="1" x14ac:dyDescent="0.2">
      <c r="A1286" s="6" t="s">
        <v>299</v>
      </c>
      <c r="B1286" s="6" t="s">
        <v>6</v>
      </c>
      <c r="C1286" s="7">
        <v>183305</v>
      </c>
      <c r="D1286" s="8">
        <v>31718.399999999998</v>
      </c>
      <c r="E1286" s="9" t="s">
        <v>7</v>
      </c>
      <c r="F1286" s="10">
        <v>60</v>
      </c>
      <c r="G1286" s="25"/>
      <c r="H1286" s="14">
        <f t="shared" si="1314"/>
        <v>0.55000000000000004</v>
      </c>
      <c r="I1286" s="25">
        <f ca="1">IFERROR(__xludf.DUMMYFUNCTION("ROUND(D1286*GOOGLEFINANCE(""RUBKZT"")*H1286)"),136133)</f>
        <v>136133</v>
      </c>
      <c r="J1286" s="26">
        <f ca="1">IFERROR(__xludf.DUMMYFUNCTION("ROUND(I1286*GOOGLEFINANCE(""KZTEUR""))"),285)</f>
        <v>285</v>
      </c>
      <c r="K1286" s="26">
        <f t="shared" ca="1" si="1315"/>
        <v>4750</v>
      </c>
      <c r="L1286" s="26">
        <f t="shared" ca="1" si="1316"/>
        <v>902.5</v>
      </c>
      <c r="M1286" s="26">
        <f t="shared" ref="M1286:N1286" si="1326">M$3</f>
        <v>500</v>
      </c>
      <c r="N1286" s="26">
        <f t="shared" si="1326"/>
        <v>500</v>
      </c>
      <c r="O1286" s="26">
        <f ca="1">IFERROR(__xludf.DUMMYFUNCTION("ROUND(GOOGLEFINANCE(""Currency:EURKZT"")*K1286)"),2268456)</f>
        <v>2268456</v>
      </c>
      <c r="P1286" s="26">
        <f ca="1">IFERROR(__xludf.DUMMYFUNCTION("ROUND(GOOGLEFINANCE(""Currency:EURKZT"")*M1286)"),238785)</f>
        <v>238785</v>
      </c>
      <c r="Q1286" s="26">
        <f ca="1">IFERROR(__xludf.DUMMYFUNCTION("ROUND(GOOGLEFINANCE(""Currency:EURKZT"")*N1286)"),238785)</f>
        <v>238785</v>
      </c>
      <c r="R1286" s="26">
        <f t="shared" ca="1" si="1318"/>
        <v>272215</v>
      </c>
      <c r="S1286" s="26">
        <f t="shared" ca="1" si="1319"/>
        <v>3018241</v>
      </c>
      <c r="T1286" s="26">
        <f ca="1">IFERROR(__xludf.DUMMYFUNCTION("ROUND(GOOGLEFINANCE(""Currency:EURKZT"")*L1286+S1286)"),3449248)</f>
        <v>3449248</v>
      </c>
      <c r="U1286" s="26">
        <f ca="1">IFERROR(__xludf.DUMMYFUNCTION("D1286*GOOGLEFINANCE(""RUBKZT"")*1000/F1286"),4125254.32048128)</f>
        <v>4125254.3204812799</v>
      </c>
      <c r="V1286" s="27">
        <f t="shared" ca="1" si="1320"/>
        <v>0.19598658040282399</v>
      </c>
    </row>
    <row r="1287" spans="1:22" ht="12.75" customHeight="1" x14ac:dyDescent="0.2">
      <c r="A1287" s="6" t="s">
        <v>300</v>
      </c>
      <c r="B1287" s="6" t="s">
        <v>6</v>
      </c>
      <c r="C1287" s="7">
        <v>183313</v>
      </c>
      <c r="D1287" s="8">
        <v>27105.599999999999</v>
      </c>
      <c r="E1287" s="9" t="s">
        <v>7</v>
      </c>
      <c r="F1287" s="10">
        <v>60</v>
      </c>
      <c r="G1287" s="25"/>
      <c r="H1287" s="14">
        <f t="shared" si="1314"/>
        <v>0.55000000000000004</v>
      </c>
      <c r="I1287" s="25">
        <f ca="1">IFERROR(__xludf.DUMMYFUNCTION("ROUND(D1287*GOOGLEFINANCE(""RUBKZT"")*H1287)"),116336)</f>
        <v>116336</v>
      </c>
      <c r="J1287" s="26">
        <f ca="1">IFERROR(__xludf.DUMMYFUNCTION("ROUND(I1287*GOOGLEFINANCE(""KZTEUR""))"),244)</f>
        <v>244</v>
      </c>
      <c r="K1287" s="26">
        <f t="shared" ca="1" si="1315"/>
        <v>4067</v>
      </c>
      <c r="L1287" s="26">
        <f t="shared" ca="1" si="1316"/>
        <v>772.73</v>
      </c>
      <c r="M1287" s="26">
        <f t="shared" ref="M1287:N1287" si="1327">M$3</f>
        <v>500</v>
      </c>
      <c r="N1287" s="26">
        <f t="shared" si="1327"/>
        <v>500</v>
      </c>
      <c r="O1287" s="26">
        <f ca="1">IFERROR(__xludf.DUMMYFUNCTION("ROUND(GOOGLEFINANCE(""Currency:EURKZT"")*K1287)"),1942276)</f>
        <v>1942276</v>
      </c>
      <c r="P1287" s="26">
        <f ca="1">IFERROR(__xludf.DUMMYFUNCTION("ROUND(GOOGLEFINANCE(""Currency:EURKZT"")*M1287)"),238785)</f>
        <v>238785</v>
      </c>
      <c r="Q1287" s="26">
        <f ca="1">IFERROR(__xludf.DUMMYFUNCTION("ROUND(GOOGLEFINANCE(""Currency:EURKZT"")*N1287)"),238785)</f>
        <v>238785</v>
      </c>
      <c r="R1287" s="26">
        <f t="shared" ca="1" si="1318"/>
        <v>233073</v>
      </c>
      <c r="S1287" s="26">
        <f t="shared" ca="1" si="1319"/>
        <v>2652919</v>
      </c>
      <c r="T1287" s="26">
        <f ca="1">IFERROR(__xludf.DUMMYFUNCTION("ROUND(GOOGLEFINANCE(""Currency:EURKZT"")*L1287+S1287)"),3021951)</f>
        <v>3021951</v>
      </c>
      <c r="U1287" s="26">
        <f ca="1">IFERROR(__xludf.DUMMYFUNCTION("D1287*GOOGLEFINANCE(""RUBKZT"")*1000/F1287"),3525319.48361952)</f>
        <v>3525319.48361952</v>
      </c>
      <c r="V1287" s="27">
        <f t="shared" ca="1" si="1320"/>
        <v>0.16657069675170774</v>
      </c>
    </row>
    <row r="1288" spans="1:22" ht="12.75" customHeight="1" x14ac:dyDescent="0.2">
      <c r="A1288" s="6" t="s">
        <v>301</v>
      </c>
      <c r="B1288" s="6" t="s">
        <v>6</v>
      </c>
      <c r="C1288" s="7">
        <v>183332</v>
      </c>
      <c r="D1288" s="8">
        <v>30602.399999999998</v>
      </c>
      <c r="E1288" s="9" t="s">
        <v>7</v>
      </c>
      <c r="F1288" s="10">
        <v>60</v>
      </c>
      <c r="G1288" s="25"/>
      <c r="H1288" s="14">
        <f t="shared" si="1314"/>
        <v>0.55000000000000004</v>
      </c>
      <c r="I1288" s="25">
        <f ca="1">IFERROR(__xludf.DUMMYFUNCTION("ROUND(D1288*GOOGLEFINANCE(""RUBKZT"")*H1288)"),131344)</f>
        <v>131344</v>
      </c>
      <c r="J1288" s="26">
        <f ca="1">IFERROR(__xludf.DUMMYFUNCTION("ROUND(I1288*GOOGLEFINANCE(""KZTEUR""))"),275)</f>
        <v>275</v>
      </c>
      <c r="K1288" s="26">
        <f t="shared" ca="1" si="1315"/>
        <v>4583</v>
      </c>
      <c r="L1288" s="26">
        <f t="shared" ca="1" si="1316"/>
        <v>870.77</v>
      </c>
      <c r="M1288" s="26">
        <f t="shared" ref="M1288:N1288" si="1328">M$3</f>
        <v>500</v>
      </c>
      <c r="N1288" s="26">
        <f t="shared" si="1328"/>
        <v>500</v>
      </c>
      <c r="O1288" s="26">
        <f ca="1">IFERROR(__xludf.DUMMYFUNCTION("ROUND(GOOGLEFINANCE(""Currency:EURKZT"")*K1288)"),2188702)</f>
        <v>2188702</v>
      </c>
      <c r="P1288" s="26">
        <f ca="1">IFERROR(__xludf.DUMMYFUNCTION("ROUND(GOOGLEFINANCE(""Currency:EURKZT"")*M1288)"),238785)</f>
        <v>238785</v>
      </c>
      <c r="Q1288" s="26">
        <f ca="1">IFERROR(__xludf.DUMMYFUNCTION("ROUND(GOOGLEFINANCE(""Currency:EURKZT"")*N1288)"),238785)</f>
        <v>238785</v>
      </c>
      <c r="R1288" s="26">
        <f t="shared" ca="1" si="1318"/>
        <v>262644</v>
      </c>
      <c r="S1288" s="26">
        <f t="shared" ca="1" si="1319"/>
        <v>2928916</v>
      </c>
      <c r="T1288" s="26">
        <f ca="1">IFERROR(__xludf.DUMMYFUNCTION("ROUND(GOOGLEFINANCE(""Currency:EURKZT"")*L1288+S1288)"),3344769)</f>
        <v>3344769</v>
      </c>
      <c r="U1288" s="26">
        <f ca="1">IFERROR(__xludf.DUMMYFUNCTION("D1288*GOOGLEFINANCE(""RUBKZT"")*1000/F1288"),3980108.79543408)</f>
        <v>3980108.7954340801</v>
      </c>
      <c r="V1288" s="27">
        <f t="shared" ca="1" si="1320"/>
        <v>0.1899502762176043</v>
      </c>
    </row>
    <row r="1289" spans="1:22" ht="12.75" customHeight="1" x14ac:dyDescent="0.2">
      <c r="A1289" s="6" t="s">
        <v>302</v>
      </c>
      <c r="B1289" s="6" t="s">
        <v>6</v>
      </c>
      <c r="C1289" s="7">
        <v>183631</v>
      </c>
      <c r="D1289" s="8">
        <v>29112</v>
      </c>
      <c r="E1289" s="9" t="s">
        <v>16</v>
      </c>
      <c r="F1289" s="10">
        <v>60</v>
      </c>
      <c r="G1289" s="25"/>
      <c r="H1289" s="14">
        <f t="shared" si="1314"/>
        <v>0.55000000000000004</v>
      </c>
      <c r="I1289" s="25">
        <f ca="1">IFERROR(__xludf.DUMMYFUNCTION("ROUND(D1289*GOOGLEFINANCE(""RUBKZT"")*H1289)"),124947)</f>
        <v>124947</v>
      </c>
      <c r="J1289" s="26">
        <f ca="1">IFERROR(__xludf.DUMMYFUNCTION("ROUND(I1289*GOOGLEFINANCE(""KZTEUR""))"),262)</f>
        <v>262</v>
      </c>
      <c r="K1289" s="26">
        <f t="shared" ca="1" si="1315"/>
        <v>4367</v>
      </c>
      <c r="L1289" s="26">
        <f t="shared" ca="1" si="1316"/>
        <v>829.73</v>
      </c>
      <c r="M1289" s="26">
        <f t="shared" ref="M1289:N1289" si="1329">M$3</f>
        <v>500</v>
      </c>
      <c r="N1289" s="26">
        <f t="shared" si="1329"/>
        <v>500</v>
      </c>
      <c r="O1289" s="26">
        <f ca="1">IFERROR(__xludf.DUMMYFUNCTION("ROUND(GOOGLEFINANCE(""Currency:EURKZT"")*K1289)"),2085547)</f>
        <v>2085547</v>
      </c>
      <c r="P1289" s="26">
        <f ca="1">IFERROR(__xludf.DUMMYFUNCTION("ROUND(GOOGLEFINANCE(""Currency:EURKZT"")*M1289)"),238785)</f>
        <v>238785</v>
      </c>
      <c r="Q1289" s="26">
        <f ca="1">IFERROR(__xludf.DUMMYFUNCTION("ROUND(GOOGLEFINANCE(""Currency:EURKZT"")*N1289)"),238785)</f>
        <v>238785</v>
      </c>
      <c r="R1289" s="26">
        <f t="shared" ca="1" si="1318"/>
        <v>250266</v>
      </c>
      <c r="S1289" s="26">
        <f t="shared" ca="1" si="1319"/>
        <v>2813383</v>
      </c>
      <c r="T1289" s="26">
        <f ca="1">IFERROR(__xludf.DUMMYFUNCTION("ROUND(GOOGLEFINANCE(""Currency:EURKZT"")*L1289+S1289)"),3209637)</f>
        <v>3209637</v>
      </c>
      <c r="U1289" s="26">
        <f ca="1">IFERROR(__xludf.DUMMYFUNCTION("D1289*GOOGLEFINANCE(""RUBKZT"")*1000/F1289"),3786269.2877904)</f>
        <v>3786269.2877904</v>
      </c>
      <c r="V1289" s="27">
        <f t="shared" ca="1" si="1320"/>
        <v>0.17965654302664133</v>
      </c>
    </row>
    <row r="1290" spans="1:22" ht="12.75" customHeight="1" x14ac:dyDescent="0.2">
      <c r="A1290" s="6" t="s">
        <v>323</v>
      </c>
      <c r="B1290" s="6" t="s">
        <v>6</v>
      </c>
      <c r="C1290" s="7">
        <v>189238</v>
      </c>
      <c r="D1290" s="8">
        <v>30020.399999999998</v>
      </c>
      <c r="E1290" s="9" t="s">
        <v>16</v>
      </c>
      <c r="F1290" s="10">
        <v>60</v>
      </c>
      <c r="G1290" s="25"/>
      <c r="H1290" s="14">
        <f t="shared" si="1314"/>
        <v>0.55000000000000004</v>
      </c>
      <c r="I1290" s="25">
        <f ca="1">IFERROR(__xludf.DUMMYFUNCTION("ROUND(D1290*GOOGLEFINANCE(""RUBKZT"")*H1290)"),128846)</f>
        <v>128846</v>
      </c>
      <c r="J1290" s="26">
        <f ca="1">IFERROR(__xludf.DUMMYFUNCTION("ROUND(I1290*GOOGLEFINANCE(""KZTEUR""))"),270)</f>
        <v>270</v>
      </c>
      <c r="K1290" s="26">
        <f t="shared" ca="1" si="1315"/>
        <v>4500</v>
      </c>
      <c r="L1290" s="26">
        <f t="shared" ca="1" si="1316"/>
        <v>855</v>
      </c>
      <c r="M1290" s="26">
        <f t="shared" ref="M1290:N1290" si="1330">M$3</f>
        <v>500</v>
      </c>
      <c r="N1290" s="26">
        <f t="shared" si="1330"/>
        <v>500</v>
      </c>
      <c r="O1290" s="26">
        <f ca="1">IFERROR(__xludf.DUMMYFUNCTION("ROUND(GOOGLEFINANCE(""Currency:EURKZT"")*K1290)"),2149063)</f>
        <v>2149063</v>
      </c>
      <c r="P1290" s="26">
        <f ca="1">IFERROR(__xludf.DUMMYFUNCTION("ROUND(GOOGLEFINANCE(""Currency:EURKZT"")*M1290)"),238785)</f>
        <v>238785</v>
      </c>
      <c r="Q1290" s="26">
        <f ca="1">IFERROR(__xludf.DUMMYFUNCTION("ROUND(GOOGLEFINANCE(""Currency:EURKZT"")*N1290)"),238785)</f>
        <v>238785</v>
      </c>
      <c r="R1290" s="26">
        <f t="shared" ca="1" si="1318"/>
        <v>257888</v>
      </c>
      <c r="S1290" s="26">
        <f t="shared" ca="1" si="1319"/>
        <v>2884521</v>
      </c>
      <c r="T1290" s="26">
        <f ca="1">IFERROR(__xludf.DUMMYFUNCTION("ROUND(GOOGLEFINANCE(""Currency:EURKZT"")*L1290+S1290)"),3292843)</f>
        <v>3292843</v>
      </c>
      <c r="U1290" s="26">
        <f ca="1">IFERROR(__xludf.DUMMYFUNCTION("D1290*GOOGLEFINANCE(""RUBKZT"")*1000/F1290"),3904414.62376967)</f>
        <v>3904414.6237696698</v>
      </c>
      <c r="V1290" s="27">
        <f t="shared" ca="1" si="1320"/>
        <v>0.18572753810906556</v>
      </c>
    </row>
    <row r="1291" spans="1:22" ht="12.75" customHeight="1" x14ac:dyDescent="0.2">
      <c r="A1291" s="6" t="s">
        <v>355</v>
      </c>
      <c r="B1291" s="6" t="s">
        <v>6</v>
      </c>
      <c r="C1291" s="7">
        <v>194776</v>
      </c>
      <c r="D1291" s="8">
        <v>34599.599999999999</v>
      </c>
      <c r="E1291" s="9" t="s">
        <v>7</v>
      </c>
      <c r="F1291" s="10">
        <v>60</v>
      </c>
      <c r="G1291" s="25"/>
      <c r="H1291" s="14">
        <f t="shared" si="1314"/>
        <v>0.55000000000000004</v>
      </c>
      <c r="I1291" s="25">
        <f ca="1">IFERROR(__xludf.DUMMYFUNCTION("ROUND(D1291*GOOGLEFINANCE(""RUBKZT"")*H1291)"),148499)</f>
        <v>148499</v>
      </c>
      <c r="J1291" s="26">
        <f ca="1">IFERROR(__xludf.DUMMYFUNCTION("ROUND(I1291*GOOGLEFINANCE(""KZTEUR""))"),311)</f>
        <v>311</v>
      </c>
      <c r="K1291" s="26">
        <f t="shared" ca="1" si="1315"/>
        <v>5183</v>
      </c>
      <c r="L1291" s="26">
        <f t="shared" ca="1" si="1316"/>
        <v>984.77</v>
      </c>
      <c r="M1291" s="26">
        <f t="shared" ref="M1291:N1291" si="1331">M$3</f>
        <v>500</v>
      </c>
      <c r="N1291" s="26">
        <f t="shared" si="1331"/>
        <v>500</v>
      </c>
      <c r="O1291" s="26">
        <f ca="1">IFERROR(__xludf.DUMMYFUNCTION("ROUND(GOOGLEFINANCE(""Currency:EURKZT"")*K1291)"),2475243)</f>
        <v>2475243</v>
      </c>
      <c r="P1291" s="26">
        <f ca="1">IFERROR(__xludf.DUMMYFUNCTION("ROUND(GOOGLEFINANCE(""Currency:EURKZT"")*M1291)"),238785)</f>
        <v>238785</v>
      </c>
      <c r="Q1291" s="26">
        <f ca="1">IFERROR(__xludf.DUMMYFUNCTION("ROUND(GOOGLEFINANCE(""Currency:EURKZT"")*N1291)"),238785)</f>
        <v>238785</v>
      </c>
      <c r="R1291" s="26">
        <f t="shared" ca="1" si="1318"/>
        <v>297029</v>
      </c>
      <c r="S1291" s="26">
        <f t="shared" ca="1" si="1319"/>
        <v>3249842</v>
      </c>
      <c r="T1291" s="26">
        <f ca="1">IFERROR(__xludf.DUMMYFUNCTION("ROUND(GOOGLEFINANCE(""Currency:EURKZT"")*L1291+S1291)"),3720138)</f>
        <v>3720138</v>
      </c>
      <c r="U1291" s="26">
        <f ca="1">IFERROR(__xludf.DUMMYFUNCTION("D1291*GOOGLEFINANCE(""RUBKZT"")*1000/F1291"),4499979.48783431)</f>
        <v>4499979.4878343102</v>
      </c>
      <c r="V1291" s="27">
        <f t="shared" ca="1" si="1320"/>
        <v>0.20962703207093666</v>
      </c>
    </row>
    <row r="1292" spans="1:22" ht="12.75" customHeight="1" x14ac:dyDescent="0.2">
      <c r="A1292" s="6" t="s">
        <v>356</v>
      </c>
      <c r="B1292" s="6" t="s">
        <v>6</v>
      </c>
      <c r="C1292" s="7">
        <v>194780</v>
      </c>
      <c r="D1292" s="8">
        <v>34366.799999999996</v>
      </c>
      <c r="E1292" s="9" t="s">
        <v>7</v>
      </c>
      <c r="F1292" s="10">
        <v>60</v>
      </c>
      <c r="G1292" s="25"/>
      <c r="H1292" s="14">
        <f t="shared" si="1314"/>
        <v>0.55000000000000004</v>
      </c>
      <c r="I1292" s="25">
        <f ca="1">IFERROR(__xludf.DUMMYFUNCTION("ROUND(D1292*GOOGLEFINANCE(""RUBKZT"")*H1292)"),147500)</f>
        <v>147500</v>
      </c>
      <c r="J1292" s="26">
        <f ca="1">IFERROR(__xludf.DUMMYFUNCTION("ROUND(I1292*GOOGLEFINANCE(""KZTEUR""))"),309)</f>
        <v>309</v>
      </c>
      <c r="K1292" s="26">
        <f t="shared" ca="1" si="1315"/>
        <v>5150</v>
      </c>
      <c r="L1292" s="26">
        <f t="shared" ca="1" si="1316"/>
        <v>978.5</v>
      </c>
      <c r="M1292" s="26">
        <f t="shared" ref="M1292:N1292" si="1332">M$3</f>
        <v>500</v>
      </c>
      <c r="N1292" s="26">
        <f t="shared" si="1332"/>
        <v>500</v>
      </c>
      <c r="O1292" s="26">
        <f ca="1">IFERROR(__xludf.DUMMYFUNCTION("ROUND(GOOGLEFINANCE(""Currency:EURKZT"")*K1292)"),2459484)</f>
        <v>2459484</v>
      </c>
      <c r="P1292" s="26">
        <f ca="1">IFERROR(__xludf.DUMMYFUNCTION("ROUND(GOOGLEFINANCE(""Currency:EURKZT"")*M1292)"),238785)</f>
        <v>238785</v>
      </c>
      <c r="Q1292" s="26">
        <f ca="1">IFERROR(__xludf.DUMMYFUNCTION("ROUND(GOOGLEFINANCE(""Currency:EURKZT"")*N1292)"),238785)</f>
        <v>238785</v>
      </c>
      <c r="R1292" s="26">
        <f t="shared" ca="1" si="1318"/>
        <v>295138</v>
      </c>
      <c r="S1292" s="26">
        <f t="shared" ca="1" si="1319"/>
        <v>3232192</v>
      </c>
      <c r="T1292" s="26">
        <f ca="1">IFERROR(__xludf.DUMMYFUNCTION("ROUND(GOOGLEFINANCE(""Currency:EURKZT"")*L1292+S1292)"),3699494)</f>
        <v>3699494</v>
      </c>
      <c r="U1292" s="26">
        <f ca="1">IFERROR(__xludf.DUMMYFUNCTION("D1292*GOOGLEFINANCE(""RUBKZT"")*1000/F1292"),4469701.81916855)</f>
        <v>4469701.81916855</v>
      </c>
      <c r="V1292" s="27">
        <f t="shared" ca="1" si="1320"/>
        <v>0.20819274721584896</v>
      </c>
    </row>
    <row r="1293" spans="1:22" ht="12.75" customHeight="1" x14ac:dyDescent="0.2">
      <c r="A1293" s="6" t="s">
        <v>357</v>
      </c>
      <c r="B1293" s="6" t="s">
        <v>6</v>
      </c>
      <c r="C1293" s="7">
        <v>194783</v>
      </c>
      <c r="D1293" s="8">
        <v>39337.199999999997</v>
      </c>
      <c r="E1293" s="9" t="s">
        <v>7</v>
      </c>
      <c r="F1293" s="10">
        <v>60</v>
      </c>
      <c r="G1293" s="25"/>
      <c r="H1293" s="14">
        <f t="shared" si="1314"/>
        <v>0.55000000000000004</v>
      </c>
      <c r="I1293" s="25">
        <f ca="1">IFERROR(__xludf.DUMMYFUNCTION("ROUND(D1293*GOOGLEFINANCE(""RUBKZT"")*H1293)"),168833)</f>
        <v>168833</v>
      </c>
      <c r="J1293" s="26">
        <f ca="1">IFERROR(__xludf.DUMMYFUNCTION("ROUND(I1293*GOOGLEFINANCE(""KZTEUR""))"),354)</f>
        <v>354</v>
      </c>
      <c r="K1293" s="26">
        <f t="shared" ca="1" si="1315"/>
        <v>5900</v>
      </c>
      <c r="L1293" s="26">
        <f t="shared" ca="1" si="1316"/>
        <v>1121</v>
      </c>
      <c r="M1293" s="26">
        <f t="shared" ref="M1293:N1293" si="1333">M$3</f>
        <v>500</v>
      </c>
      <c r="N1293" s="26">
        <f t="shared" si="1333"/>
        <v>500</v>
      </c>
      <c r="O1293" s="26">
        <f ca="1">IFERROR(__xludf.DUMMYFUNCTION("ROUND(GOOGLEFINANCE(""Currency:EURKZT"")*K1293)"),2817661)</f>
        <v>2817661</v>
      </c>
      <c r="P1293" s="26">
        <f ca="1">IFERROR(__xludf.DUMMYFUNCTION("ROUND(GOOGLEFINANCE(""Currency:EURKZT"")*M1293)"),238785)</f>
        <v>238785</v>
      </c>
      <c r="Q1293" s="26">
        <f ca="1">IFERROR(__xludf.DUMMYFUNCTION("ROUND(GOOGLEFINANCE(""Currency:EURKZT"")*N1293)"),238785)</f>
        <v>238785</v>
      </c>
      <c r="R1293" s="26">
        <f t="shared" ca="1" si="1318"/>
        <v>338119</v>
      </c>
      <c r="S1293" s="26">
        <f t="shared" ca="1" si="1319"/>
        <v>3633350</v>
      </c>
      <c r="T1293" s="26">
        <f ca="1">IFERROR(__xludf.DUMMYFUNCTION("ROUND(GOOGLEFINANCE(""Currency:EURKZT"")*L1293+S1293)"),4168706)</f>
        <v>4168706</v>
      </c>
      <c r="U1293" s="26">
        <f ca="1">IFERROR(__xludf.DUMMYFUNCTION("D1293*GOOGLEFINANCE(""RUBKZT"")*1000/F1293"),5116145.65222824)</f>
        <v>5116145.6522282399</v>
      </c>
      <c r="V1293" s="27">
        <f t="shared" ca="1" si="1320"/>
        <v>0.22727427941146244</v>
      </c>
    </row>
    <row r="1294" spans="1:22" ht="12.75" customHeight="1" x14ac:dyDescent="0.2">
      <c r="A1294" s="6" t="s">
        <v>358</v>
      </c>
      <c r="B1294" s="6" t="s">
        <v>6</v>
      </c>
      <c r="C1294" s="7">
        <v>194785</v>
      </c>
      <c r="D1294" s="8">
        <v>32991.599999999999</v>
      </c>
      <c r="E1294" s="9" t="s">
        <v>7</v>
      </c>
      <c r="F1294" s="10">
        <v>60</v>
      </c>
      <c r="G1294" s="25"/>
      <c r="H1294" s="14">
        <f t="shared" si="1314"/>
        <v>0.55000000000000004</v>
      </c>
      <c r="I1294" s="25">
        <f ca="1">IFERROR(__xludf.DUMMYFUNCTION("ROUND(D1294*GOOGLEFINANCE(""RUBKZT"")*H1294)"),141598)</f>
        <v>141598</v>
      </c>
      <c r="J1294" s="26">
        <f ca="1">IFERROR(__xludf.DUMMYFUNCTION("ROUND(I1294*GOOGLEFINANCE(""KZTEUR""))"),297)</f>
        <v>297</v>
      </c>
      <c r="K1294" s="26">
        <f t="shared" ca="1" si="1315"/>
        <v>4950</v>
      </c>
      <c r="L1294" s="26">
        <f t="shared" ca="1" si="1316"/>
        <v>940.5</v>
      </c>
      <c r="M1294" s="26">
        <f t="shared" ref="M1294:N1294" si="1334">M$3</f>
        <v>500</v>
      </c>
      <c r="N1294" s="26">
        <f t="shared" si="1334"/>
        <v>500</v>
      </c>
      <c r="O1294" s="26">
        <f ca="1">IFERROR(__xludf.DUMMYFUNCTION("ROUND(GOOGLEFINANCE(""Currency:EURKZT"")*K1294)"),2363970)</f>
        <v>2363970</v>
      </c>
      <c r="P1294" s="26">
        <f ca="1">IFERROR(__xludf.DUMMYFUNCTION("ROUND(GOOGLEFINANCE(""Currency:EURKZT"")*M1294)"),238785)</f>
        <v>238785</v>
      </c>
      <c r="Q1294" s="26">
        <f ca="1">IFERROR(__xludf.DUMMYFUNCTION("ROUND(GOOGLEFINANCE(""Currency:EURKZT"")*N1294)"),238785)</f>
        <v>238785</v>
      </c>
      <c r="R1294" s="26">
        <f t="shared" ca="1" si="1318"/>
        <v>283676</v>
      </c>
      <c r="S1294" s="26">
        <f t="shared" ca="1" si="1319"/>
        <v>3125216</v>
      </c>
      <c r="T1294" s="26">
        <f ca="1">IFERROR(__xludf.DUMMYFUNCTION("ROUND(GOOGLEFINANCE(""Currency:EURKZT"")*L1294+S1294)"),3574370)</f>
        <v>3574370</v>
      </c>
      <c r="U1294" s="26">
        <f ca="1">IFERROR(__xludf.DUMMYFUNCTION("D1294*GOOGLEFINANCE(""RUBKZT"")*1000/F1294"),4290845.07540072)</f>
        <v>4290845.0754007204</v>
      </c>
      <c r="V1294" s="27">
        <f t="shared" ca="1" si="1320"/>
        <v>0.2004479321952457</v>
      </c>
    </row>
    <row r="1295" spans="1:22" ht="12.75" customHeight="1" x14ac:dyDescent="0.2">
      <c r="A1295" s="6" t="s">
        <v>360</v>
      </c>
      <c r="B1295" s="6" t="s">
        <v>6</v>
      </c>
      <c r="C1295" s="7">
        <v>194798</v>
      </c>
      <c r="D1295" s="8">
        <v>35691.599999999999</v>
      </c>
      <c r="E1295" s="9" t="s">
        <v>7</v>
      </c>
      <c r="F1295" s="10">
        <v>60</v>
      </c>
      <c r="G1295" s="25"/>
      <c r="H1295" s="14">
        <f t="shared" si="1314"/>
        <v>0.55000000000000004</v>
      </c>
      <c r="I1295" s="25">
        <f ca="1">IFERROR(__xludf.DUMMYFUNCTION("ROUND(D1295*GOOGLEFINANCE(""RUBKZT"")*H1295)"),153186)</f>
        <v>153186</v>
      </c>
      <c r="J1295" s="26">
        <f ca="1">IFERROR(__xludf.DUMMYFUNCTION("ROUND(I1295*GOOGLEFINANCE(""KZTEUR""))"),321)</f>
        <v>321</v>
      </c>
      <c r="K1295" s="26">
        <f t="shared" ca="1" si="1315"/>
        <v>5350</v>
      </c>
      <c r="L1295" s="26">
        <f t="shared" ca="1" si="1316"/>
        <v>1016.5</v>
      </c>
      <c r="M1295" s="26">
        <f t="shared" ref="M1295:N1295" si="1335">M$3</f>
        <v>500</v>
      </c>
      <c r="N1295" s="26">
        <f t="shared" si="1335"/>
        <v>500</v>
      </c>
      <c r="O1295" s="26">
        <f ca="1">IFERROR(__xludf.DUMMYFUNCTION("ROUND(GOOGLEFINANCE(""Currency:EURKZT"")*K1295)"),2554997)</f>
        <v>2554997</v>
      </c>
      <c r="P1295" s="26">
        <f ca="1">IFERROR(__xludf.DUMMYFUNCTION("ROUND(GOOGLEFINANCE(""Currency:EURKZT"")*M1295)"),238785)</f>
        <v>238785</v>
      </c>
      <c r="Q1295" s="26">
        <f ca="1">IFERROR(__xludf.DUMMYFUNCTION("ROUND(GOOGLEFINANCE(""Currency:EURKZT"")*N1295)"),238785)</f>
        <v>238785</v>
      </c>
      <c r="R1295" s="26">
        <f t="shared" ca="1" si="1318"/>
        <v>306600</v>
      </c>
      <c r="S1295" s="26">
        <f t="shared" ca="1" si="1319"/>
        <v>3339167</v>
      </c>
      <c r="T1295" s="26">
        <f ca="1">IFERROR(__xludf.DUMMYFUNCTION("ROUND(GOOGLEFINANCE(""Currency:EURKZT"")*L1295+S1295)"),3824617)</f>
        <v>3824617</v>
      </c>
      <c r="U1295" s="26">
        <f ca="1">IFERROR(__xludf.DUMMYFUNCTION("D1295*GOOGLEFINANCE(""RUBKZT"")*1000/F1295"),4642003.60374072)</f>
        <v>4642003.6037407201</v>
      </c>
      <c r="V1295" s="27">
        <f t="shared" ca="1" si="1320"/>
        <v>0.2137172437764932</v>
      </c>
    </row>
    <row r="1296" spans="1:22" ht="12.75" customHeight="1" x14ac:dyDescent="0.2">
      <c r="A1296" s="6" t="s">
        <v>363</v>
      </c>
      <c r="B1296" s="6" t="s">
        <v>6</v>
      </c>
      <c r="C1296" s="7">
        <v>194806</v>
      </c>
      <c r="D1296" s="8">
        <v>37984.799999999996</v>
      </c>
      <c r="E1296" s="9" t="s">
        <v>7</v>
      </c>
      <c r="F1296" s="10">
        <v>60</v>
      </c>
      <c r="G1296" s="25"/>
      <c r="H1296" s="14">
        <f t="shared" si="1314"/>
        <v>0.55000000000000004</v>
      </c>
      <c r="I1296" s="25">
        <f ca="1">IFERROR(__xludf.DUMMYFUNCTION("ROUND(D1296*GOOGLEFINANCE(""RUBKZT"")*H1296)"),163028)</f>
        <v>163028</v>
      </c>
      <c r="J1296" s="26">
        <f ca="1">IFERROR(__xludf.DUMMYFUNCTION("ROUND(I1296*GOOGLEFINANCE(""KZTEUR""))"),341)</f>
        <v>341</v>
      </c>
      <c r="K1296" s="26">
        <f t="shared" ca="1" si="1315"/>
        <v>5683</v>
      </c>
      <c r="L1296" s="26">
        <f t="shared" ca="1" si="1316"/>
        <v>1079.77</v>
      </c>
      <c r="M1296" s="26">
        <f t="shared" ref="M1296:N1296" si="1336">M$3</f>
        <v>500</v>
      </c>
      <c r="N1296" s="26">
        <f t="shared" si="1336"/>
        <v>500</v>
      </c>
      <c r="O1296" s="26">
        <f ca="1">IFERROR(__xludf.DUMMYFUNCTION("ROUND(GOOGLEFINANCE(""Currency:EURKZT"")*K1296)"),2714028)</f>
        <v>2714028</v>
      </c>
      <c r="P1296" s="26">
        <f ca="1">IFERROR(__xludf.DUMMYFUNCTION("ROUND(GOOGLEFINANCE(""Currency:EURKZT"")*M1296)"),238785)</f>
        <v>238785</v>
      </c>
      <c r="Q1296" s="26">
        <f ca="1">IFERROR(__xludf.DUMMYFUNCTION("ROUND(GOOGLEFINANCE(""Currency:EURKZT"")*N1296)"),238785)</f>
        <v>238785</v>
      </c>
      <c r="R1296" s="26">
        <f t="shared" ca="1" si="1318"/>
        <v>325683</v>
      </c>
      <c r="S1296" s="26">
        <f t="shared" ca="1" si="1319"/>
        <v>3517281</v>
      </c>
      <c r="T1296" s="26">
        <f ca="1">IFERROR(__xludf.DUMMYFUNCTION("ROUND(GOOGLEFINANCE(""Currency:EURKZT"")*L1296+S1296)"),4032946)</f>
        <v>4032946</v>
      </c>
      <c r="U1296" s="26">
        <f ca="1">IFERROR(__xludf.DUMMYFUNCTION("D1296*GOOGLEFINANCE(""RUBKZT"")*1000/F1296"),4940254.24714416)</f>
        <v>4940254.2471441599</v>
      </c>
      <c r="V1296" s="27">
        <f t="shared" ca="1" si="1320"/>
        <v>0.22497406291682553</v>
      </c>
    </row>
    <row r="1297" spans="1:22" ht="12.75" customHeight="1" x14ac:dyDescent="0.2">
      <c r="A1297" s="6" t="s">
        <v>364</v>
      </c>
      <c r="B1297" s="6" t="s">
        <v>6</v>
      </c>
      <c r="C1297" s="7">
        <v>194810</v>
      </c>
      <c r="D1297" s="8">
        <v>35724</v>
      </c>
      <c r="E1297" s="9" t="s">
        <v>7</v>
      </c>
      <c r="F1297" s="10">
        <v>60</v>
      </c>
      <c r="G1297" s="25"/>
      <c r="H1297" s="14">
        <f t="shared" si="1314"/>
        <v>0.55000000000000004</v>
      </c>
      <c r="I1297" s="25">
        <f ca="1">IFERROR(__xludf.DUMMYFUNCTION("ROUND(D1297*GOOGLEFINANCE(""RUBKZT"")*H1297)"),153325)</f>
        <v>153325</v>
      </c>
      <c r="J1297" s="26">
        <f ca="1">IFERROR(__xludf.DUMMYFUNCTION("ROUND(I1297*GOOGLEFINANCE(""KZTEUR""))"),321)</f>
        <v>321</v>
      </c>
      <c r="K1297" s="26">
        <f t="shared" ca="1" si="1315"/>
        <v>5350</v>
      </c>
      <c r="L1297" s="26">
        <f t="shared" ca="1" si="1316"/>
        <v>1016.5</v>
      </c>
      <c r="M1297" s="26">
        <f t="shared" ref="M1297:N1297" si="1337">M$3</f>
        <v>500</v>
      </c>
      <c r="N1297" s="26">
        <f t="shared" si="1337"/>
        <v>500</v>
      </c>
      <c r="O1297" s="26">
        <f ca="1">IFERROR(__xludf.DUMMYFUNCTION("ROUND(GOOGLEFINANCE(""Currency:EURKZT"")*K1297)"),2554997)</f>
        <v>2554997</v>
      </c>
      <c r="P1297" s="26">
        <f ca="1">IFERROR(__xludf.DUMMYFUNCTION("ROUND(GOOGLEFINANCE(""Currency:EURKZT"")*M1297)"),238785)</f>
        <v>238785</v>
      </c>
      <c r="Q1297" s="26">
        <f ca="1">IFERROR(__xludf.DUMMYFUNCTION("ROUND(GOOGLEFINANCE(""Currency:EURKZT"")*N1297)"),238785)</f>
        <v>238785</v>
      </c>
      <c r="R1297" s="26">
        <f t="shared" ca="1" si="1318"/>
        <v>306600</v>
      </c>
      <c r="S1297" s="26">
        <f t="shared" ca="1" si="1319"/>
        <v>3339167</v>
      </c>
      <c r="T1297" s="26">
        <f ca="1">IFERROR(__xludf.DUMMYFUNCTION("ROUND(GOOGLEFINANCE(""Currency:EURKZT"")*L1297+S1297)"),3824617)</f>
        <v>3824617</v>
      </c>
      <c r="U1297" s="26">
        <f ca="1">IFERROR(__xludf.DUMMYFUNCTION("D1297*GOOGLEFINANCE(""RUBKZT"")*1000/F1297"),4646217.5060808)</f>
        <v>4646217.5060807997</v>
      </c>
      <c r="V1297" s="27">
        <f t="shared" ca="1" si="1320"/>
        <v>0.21481902791333085</v>
      </c>
    </row>
    <row r="1298" spans="1:22" ht="12.75" customHeight="1" x14ac:dyDescent="0.2">
      <c r="A1298" s="6" t="s">
        <v>370</v>
      </c>
      <c r="B1298" s="6" t="s">
        <v>6</v>
      </c>
      <c r="C1298" s="7">
        <v>195437</v>
      </c>
      <c r="D1298" s="8">
        <v>62980.799999999996</v>
      </c>
      <c r="E1298" s="9" t="s">
        <v>16</v>
      </c>
      <c r="F1298" s="10">
        <v>60</v>
      </c>
      <c r="G1298" s="25"/>
      <c r="H1298" s="14">
        <f t="shared" si="1314"/>
        <v>0.55000000000000004</v>
      </c>
      <c r="I1298" s="25">
        <f ca="1">IFERROR(__xludf.DUMMYFUNCTION("ROUND(D1298*GOOGLEFINANCE(""RUBKZT"")*H1298)"),270310)</f>
        <v>270310</v>
      </c>
      <c r="J1298" s="26">
        <f ca="1">IFERROR(__xludf.DUMMYFUNCTION("ROUND(I1298*GOOGLEFINANCE(""KZTEUR""))"),566)</f>
        <v>566</v>
      </c>
      <c r="K1298" s="26">
        <f t="shared" ca="1" si="1315"/>
        <v>9433</v>
      </c>
      <c r="L1298" s="26">
        <f t="shared" ca="1" si="1316"/>
        <v>1792.27</v>
      </c>
      <c r="M1298" s="26">
        <f t="shared" ref="M1298:N1298" si="1338">M$3</f>
        <v>500</v>
      </c>
      <c r="N1298" s="26">
        <f t="shared" si="1338"/>
        <v>500</v>
      </c>
      <c r="O1298" s="26">
        <f ca="1">IFERROR(__xludf.DUMMYFUNCTION("ROUND(GOOGLEFINANCE(""Currency:EURKZT"")*K1298)"),4504914)</f>
        <v>4504914</v>
      </c>
      <c r="P1298" s="26">
        <f ca="1">IFERROR(__xludf.DUMMYFUNCTION("ROUND(GOOGLEFINANCE(""Currency:EURKZT"")*M1298)"),238785)</f>
        <v>238785</v>
      </c>
      <c r="Q1298" s="26">
        <f ca="1">IFERROR(__xludf.DUMMYFUNCTION("ROUND(GOOGLEFINANCE(""Currency:EURKZT"")*N1298)"),238785)</f>
        <v>238785</v>
      </c>
      <c r="R1298" s="26">
        <f t="shared" ca="1" si="1318"/>
        <v>540590</v>
      </c>
      <c r="S1298" s="26">
        <f t="shared" ca="1" si="1319"/>
        <v>5523074</v>
      </c>
      <c r="T1298" s="26">
        <f ca="1">IFERROR(__xludf.DUMMYFUNCTION("ROUND(GOOGLEFINANCE(""Currency:EURKZT"")*L1298+S1298)"),6379008)</f>
        <v>6379008</v>
      </c>
      <c r="U1298" s="26">
        <f ca="1">IFERROR(__xludf.DUMMYFUNCTION("D1298*GOOGLEFINANCE(""RUBKZT"")*1000/F1298"),8191201.86728735)</f>
        <v>8191201.8672873499</v>
      </c>
      <c r="V1298" s="27">
        <f t="shared" ca="1" si="1320"/>
        <v>0.28408709744326233</v>
      </c>
    </row>
    <row r="1299" spans="1:22" ht="12.75" customHeight="1" x14ac:dyDescent="0.2">
      <c r="A1299" s="6" t="s">
        <v>288</v>
      </c>
      <c r="B1299" s="6" t="s">
        <v>6</v>
      </c>
      <c r="C1299" s="7">
        <v>196162</v>
      </c>
      <c r="D1299" s="8">
        <v>29341.200000000001</v>
      </c>
      <c r="E1299" s="9" t="s">
        <v>16</v>
      </c>
      <c r="F1299" s="10">
        <v>60</v>
      </c>
      <c r="G1299" s="25"/>
      <c r="H1299" s="14">
        <f t="shared" si="1314"/>
        <v>0.55000000000000004</v>
      </c>
      <c r="I1299" s="25">
        <f ca="1">IFERROR(__xludf.DUMMYFUNCTION("ROUND(D1299*GOOGLEFINANCE(""RUBKZT"")*H1299)"),125931)</f>
        <v>125931</v>
      </c>
      <c r="J1299" s="26">
        <f ca="1">IFERROR(__xludf.DUMMYFUNCTION("ROUND(I1299*GOOGLEFINANCE(""KZTEUR""))"),264)</f>
        <v>264</v>
      </c>
      <c r="K1299" s="26">
        <f t="shared" ca="1" si="1315"/>
        <v>4400</v>
      </c>
      <c r="L1299" s="26">
        <f t="shared" ca="1" si="1316"/>
        <v>836</v>
      </c>
      <c r="M1299" s="26">
        <f t="shared" ref="M1299:N1299" si="1339">M$3</f>
        <v>500</v>
      </c>
      <c r="N1299" s="26">
        <f t="shared" si="1339"/>
        <v>500</v>
      </c>
      <c r="O1299" s="26">
        <f ca="1">IFERROR(__xludf.DUMMYFUNCTION("ROUND(GOOGLEFINANCE(""Currency:EURKZT"")*K1299)"),2101306)</f>
        <v>2101306</v>
      </c>
      <c r="P1299" s="26">
        <f ca="1">IFERROR(__xludf.DUMMYFUNCTION("ROUND(GOOGLEFINANCE(""Currency:EURKZT"")*M1299)"),238785)</f>
        <v>238785</v>
      </c>
      <c r="Q1299" s="26">
        <f ca="1">IFERROR(__xludf.DUMMYFUNCTION("ROUND(GOOGLEFINANCE(""Currency:EURKZT"")*N1299)"),238785)</f>
        <v>238785</v>
      </c>
      <c r="R1299" s="26">
        <f t="shared" ca="1" si="1318"/>
        <v>252157</v>
      </c>
      <c r="S1299" s="26">
        <f t="shared" ca="1" si="1319"/>
        <v>2831033</v>
      </c>
      <c r="T1299" s="26">
        <f ca="1">IFERROR(__xludf.DUMMYFUNCTION("ROUND(GOOGLEFINANCE(""Currency:EURKZT"")*L1299+S1299)"),3230281)</f>
        <v>3230281</v>
      </c>
      <c r="U1299" s="26">
        <f ca="1">IFERROR(__xludf.DUMMYFUNCTION("D1299*GOOGLEFINANCE(""RUBKZT"")*1000/F1299"),3816078.74508504)</f>
        <v>3816078.7450850401</v>
      </c>
      <c r="V1299" s="27">
        <f t="shared" ca="1" si="1320"/>
        <v>0.18134575446688386</v>
      </c>
    </row>
    <row r="1300" spans="1:22" ht="12.75" customHeight="1" x14ac:dyDescent="0.2">
      <c r="A1300" s="6" t="s">
        <v>385</v>
      </c>
      <c r="B1300" s="6" t="s">
        <v>6</v>
      </c>
      <c r="C1300" s="7">
        <v>198713</v>
      </c>
      <c r="D1300" s="8">
        <v>38696.400000000001</v>
      </c>
      <c r="E1300" s="9" t="s">
        <v>16</v>
      </c>
      <c r="F1300" s="10">
        <v>60</v>
      </c>
      <c r="G1300" s="25"/>
      <c r="H1300" s="14">
        <f t="shared" si="1314"/>
        <v>0.55000000000000004</v>
      </c>
      <c r="I1300" s="25">
        <f ca="1">IFERROR(__xludf.DUMMYFUNCTION("ROUND(D1300*GOOGLEFINANCE(""RUBKZT"")*H1300)"),166083)</f>
        <v>166083</v>
      </c>
      <c r="J1300" s="26">
        <f ca="1">IFERROR(__xludf.DUMMYFUNCTION("ROUND(I1300*GOOGLEFINANCE(""KZTEUR""))"),348)</f>
        <v>348</v>
      </c>
      <c r="K1300" s="26">
        <f t="shared" ca="1" si="1315"/>
        <v>5800</v>
      </c>
      <c r="L1300" s="26">
        <f t="shared" ca="1" si="1316"/>
        <v>1102</v>
      </c>
      <c r="M1300" s="26">
        <f t="shared" ref="M1300:N1300" si="1340">M$3</f>
        <v>500</v>
      </c>
      <c r="N1300" s="26">
        <f t="shared" si="1340"/>
        <v>500</v>
      </c>
      <c r="O1300" s="26">
        <f ca="1">IFERROR(__xludf.DUMMYFUNCTION("ROUND(GOOGLEFINANCE(""Currency:EURKZT"")*K1300)"),2769904)</f>
        <v>2769904</v>
      </c>
      <c r="P1300" s="26">
        <f ca="1">IFERROR(__xludf.DUMMYFUNCTION("ROUND(GOOGLEFINANCE(""Currency:EURKZT"")*M1300)"),238785)</f>
        <v>238785</v>
      </c>
      <c r="Q1300" s="26">
        <f ca="1">IFERROR(__xludf.DUMMYFUNCTION("ROUND(GOOGLEFINANCE(""Currency:EURKZT"")*N1300)"),238785)</f>
        <v>238785</v>
      </c>
      <c r="R1300" s="26">
        <f t="shared" ca="1" si="1318"/>
        <v>332388</v>
      </c>
      <c r="S1300" s="26">
        <f t="shared" ca="1" si="1319"/>
        <v>3579862</v>
      </c>
      <c r="T1300" s="26">
        <f ca="1">IFERROR(__xludf.DUMMYFUNCTION("ROUND(GOOGLEFINANCE(""Currency:EURKZT"")*L1300+S1300)"),4106144)</f>
        <v>4106144</v>
      </c>
      <c r="U1300" s="26">
        <f ca="1">IFERROR(__xludf.DUMMYFUNCTION("D1300*GOOGLEFINANCE(""RUBKZT"")*1000/F1300"),5032804.02816888)</f>
        <v>5032804.0281688804</v>
      </c>
      <c r="V1300" s="27">
        <f t="shared" ca="1" si="1320"/>
        <v>0.22567645659014404</v>
      </c>
    </row>
    <row r="1301" spans="1:22" ht="12.75" customHeight="1" x14ac:dyDescent="0.2">
      <c r="A1301" s="6" t="s">
        <v>386</v>
      </c>
      <c r="B1301" s="6" t="s">
        <v>6</v>
      </c>
      <c r="C1301" s="7">
        <v>198858</v>
      </c>
      <c r="D1301" s="8">
        <v>37124.400000000001</v>
      </c>
      <c r="E1301" s="9" t="s">
        <v>16</v>
      </c>
      <c r="F1301" s="10">
        <v>60</v>
      </c>
      <c r="G1301" s="25"/>
      <c r="H1301" s="14">
        <f t="shared" si="1314"/>
        <v>0.55000000000000004</v>
      </c>
      <c r="I1301" s="25">
        <f ca="1">IFERROR(__xludf.DUMMYFUNCTION("ROUND(D1301*GOOGLEFINANCE(""RUBKZT"")*H1301)"),159336)</f>
        <v>159336</v>
      </c>
      <c r="J1301" s="26">
        <f ca="1">IFERROR(__xludf.DUMMYFUNCTION("ROUND(I1301*GOOGLEFINANCE(""KZTEUR""))"),334)</f>
        <v>334</v>
      </c>
      <c r="K1301" s="26">
        <f t="shared" ca="1" si="1315"/>
        <v>5567</v>
      </c>
      <c r="L1301" s="26">
        <f t="shared" ca="1" si="1316"/>
        <v>1057.73</v>
      </c>
      <c r="M1301" s="26">
        <f t="shared" ref="M1301:N1301" si="1341">M$3</f>
        <v>500</v>
      </c>
      <c r="N1301" s="26">
        <f t="shared" si="1341"/>
        <v>500</v>
      </c>
      <c r="O1301" s="26">
        <f ca="1">IFERROR(__xludf.DUMMYFUNCTION("ROUND(GOOGLEFINANCE(""Currency:EURKZT"")*K1301)"),2658630)</f>
        <v>2658630</v>
      </c>
      <c r="P1301" s="26">
        <f ca="1">IFERROR(__xludf.DUMMYFUNCTION("ROUND(GOOGLEFINANCE(""Currency:EURKZT"")*M1301)"),238785)</f>
        <v>238785</v>
      </c>
      <c r="Q1301" s="26">
        <f ca="1">IFERROR(__xludf.DUMMYFUNCTION("ROUND(GOOGLEFINANCE(""Currency:EURKZT"")*N1301)"),238785)</f>
        <v>238785</v>
      </c>
      <c r="R1301" s="26">
        <f t="shared" ca="1" si="1318"/>
        <v>319036</v>
      </c>
      <c r="S1301" s="26">
        <f t="shared" ca="1" si="1319"/>
        <v>3455236</v>
      </c>
      <c r="T1301" s="26">
        <f ca="1">IFERROR(__xludf.DUMMYFUNCTION("ROUND(GOOGLEFINANCE(""Currency:EURKZT"")*L1301+S1301)"),3960376)</f>
        <v>3960376</v>
      </c>
      <c r="U1301" s="26">
        <f ca="1">IFERROR(__xludf.DUMMYFUNCTION("D1301*GOOGLEFINANCE(""RUBKZT"")*1000/F1301"),4828351.72944648)</f>
        <v>4828351.7294464801</v>
      </c>
      <c r="V1301" s="27">
        <f t="shared" ca="1" si="1320"/>
        <v>0.21916498066003834</v>
      </c>
    </row>
    <row r="1302" spans="1:22" ht="12.75" customHeight="1" x14ac:dyDescent="0.2">
      <c r="A1302" s="6" t="s">
        <v>294</v>
      </c>
      <c r="B1302" s="6" t="s">
        <v>6</v>
      </c>
      <c r="C1302" s="7">
        <v>198899</v>
      </c>
      <c r="D1302" s="8">
        <v>40932</v>
      </c>
      <c r="E1302" s="9" t="s">
        <v>16</v>
      </c>
      <c r="F1302" s="10">
        <v>60</v>
      </c>
      <c r="G1302" s="25"/>
      <c r="H1302" s="14">
        <f t="shared" si="1314"/>
        <v>0.55000000000000004</v>
      </c>
      <c r="I1302" s="25">
        <f ca="1">IFERROR(__xludf.DUMMYFUNCTION("ROUND(D1302*GOOGLEFINANCE(""RUBKZT"")*H1302)"),175678)</f>
        <v>175678</v>
      </c>
      <c r="J1302" s="26">
        <f ca="1">IFERROR(__xludf.DUMMYFUNCTION("ROUND(I1302*GOOGLEFINANCE(""KZTEUR""))"),368)</f>
        <v>368</v>
      </c>
      <c r="K1302" s="26">
        <f t="shared" ca="1" si="1315"/>
        <v>6133</v>
      </c>
      <c r="L1302" s="26">
        <f t="shared" ca="1" si="1316"/>
        <v>1165.27</v>
      </c>
      <c r="M1302" s="26">
        <f t="shared" ref="M1302:N1302" si="1342">M$3</f>
        <v>500</v>
      </c>
      <c r="N1302" s="26">
        <f t="shared" si="1342"/>
        <v>500</v>
      </c>
      <c r="O1302" s="26">
        <f ca="1">IFERROR(__xludf.DUMMYFUNCTION("ROUND(GOOGLEFINANCE(""Currency:EURKZT"")*K1302)"),2928934)</f>
        <v>2928934</v>
      </c>
      <c r="P1302" s="26">
        <f ca="1">IFERROR(__xludf.DUMMYFUNCTION("ROUND(GOOGLEFINANCE(""Currency:EURKZT"")*M1302)"),238785)</f>
        <v>238785</v>
      </c>
      <c r="Q1302" s="26">
        <f ca="1">IFERROR(__xludf.DUMMYFUNCTION("ROUND(GOOGLEFINANCE(""Currency:EURKZT"")*N1302)"),238785)</f>
        <v>238785</v>
      </c>
      <c r="R1302" s="26">
        <f t="shared" ca="1" si="1318"/>
        <v>351472</v>
      </c>
      <c r="S1302" s="26">
        <f t="shared" ca="1" si="1319"/>
        <v>3757976</v>
      </c>
      <c r="T1302" s="26">
        <f ca="1">IFERROR(__xludf.DUMMYFUNCTION("ROUND(GOOGLEFINANCE(""Currency:EURKZT"")*L1302+S1302)"),4314474)</f>
        <v>4314474</v>
      </c>
      <c r="U1302" s="26">
        <f ca="1">IFERROR(__xludf.DUMMYFUNCTION("D1302*GOOGLEFINANCE(""RUBKZT"")*1000/F1302"),5323563.2896344)</f>
        <v>5323563.2896344</v>
      </c>
      <c r="V1302" s="27">
        <f t="shared" ca="1" si="1320"/>
        <v>0.23388466117408518</v>
      </c>
    </row>
    <row r="1303" spans="1:22" ht="12.75" customHeight="1" x14ac:dyDescent="0.2">
      <c r="A1303" s="6" t="s">
        <v>260</v>
      </c>
      <c r="B1303" s="6" t="s">
        <v>6</v>
      </c>
      <c r="C1303" s="7">
        <v>199792</v>
      </c>
      <c r="D1303" s="8">
        <v>35338.799999999996</v>
      </c>
      <c r="E1303" s="9" t="s">
        <v>7</v>
      </c>
      <c r="F1303" s="10">
        <v>60</v>
      </c>
      <c r="G1303" s="25"/>
      <c r="H1303" s="14">
        <f t="shared" si="1314"/>
        <v>0.55000000000000004</v>
      </c>
      <c r="I1303" s="25">
        <f ca="1">IFERROR(__xludf.DUMMYFUNCTION("ROUND(D1303*GOOGLEFINANCE(""RUBKZT"")*H1303)"),151672)</f>
        <v>151672</v>
      </c>
      <c r="J1303" s="26">
        <f ca="1">IFERROR(__xludf.DUMMYFUNCTION("ROUND(I1303*GOOGLEFINANCE(""KZTEUR""))"),318)</f>
        <v>318</v>
      </c>
      <c r="K1303" s="26">
        <f t="shared" ca="1" si="1315"/>
        <v>5300</v>
      </c>
      <c r="L1303" s="26">
        <f t="shared" ca="1" si="1316"/>
        <v>1007</v>
      </c>
      <c r="M1303" s="26">
        <f t="shared" ref="M1303:N1303" si="1343">M$3</f>
        <v>500</v>
      </c>
      <c r="N1303" s="26">
        <f t="shared" si="1343"/>
        <v>500</v>
      </c>
      <c r="O1303" s="26">
        <f ca="1">IFERROR(__xludf.DUMMYFUNCTION("ROUND(GOOGLEFINANCE(""Currency:EURKZT"")*K1303)"),2531119)</f>
        <v>2531119</v>
      </c>
      <c r="P1303" s="26">
        <f ca="1">IFERROR(__xludf.DUMMYFUNCTION("ROUND(GOOGLEFINANCE(""Currency:EURKZT"")*M1303)"),238785)</f>
        <v>238785</v>
      </c>
      <c r="Q1303" s="26">
        <f ca="1">IFERROR(__xludf.DUMMYFUNCTION("ROUND(GOOGLEFINANCE(""Currency:EURKZT"")*N1303)"),238785)</f>
        <v>238785</v>
      </c>
      <c r="R1303" s="26">
        <f t="shared" ca="1" si="1318"/>
        <v>303734</v>
      </c>
      <c r="S1303" s="26">
        <f t="shared" ca="1" si="1319"/>
        <v>3312423</v>
      </c>
      <c r="T1303" s="26">
        <f ca="1">IFERROR(__xludf.DUMMYFUNCTION("ROUND(GOOGLEFINANCE(""Currency:EURKZT"")*L1303+S1303)"),3793336)</f>
        <v>3793336</v>
      </c>
      <c r="U1303" s="26">
        <f ca="1">IFERROR(__xludf.DUMMYFUNCTION("D1303*GOOGLEFINANCE(""RUBKZT"")*1000/F1303"),4596118.88937095)</f>
        <v>4596118.8893709499</v>
      </c>
      <c r="V1303" s="27">
        <f t="shared" ca="1" si="1320"/>
        <v>0.2116297869134055</v>
      </c>
    </row>
    <row r="1304" spans="1:22" ht="12.75" customHeight="1" x14ac:dyDescent="0.2">
      <c r="A1304" s="6" t="s">
        <v>413</v>
      </c>
      <c r="B1304" s="6" t="s">
        <v>6</v>
      </c>
      <c r="C1304" s="7">
        <v>201516</v>
      </c>
      <c r="D1304" s="8">
        <v>23042.399999999998</v>
      </c>
      <c r="E1304" s="9" t="s">
        <v>16</v>
      </c>
      <c r="F1304" s="10">
        <v>60</v>
      </c>
      <c r="G1304" s="25"/>
      <c r="H1304" s="14">
        <f t="shared" si="1314"/>
        <v>0.55000000000000004</v>
      </c>
      <c r="I1304" s="25">
        <f ca="1">IFERROR(__xludf.DUMMYFUNCTION("ROUND(D1304*GOOGLEFINANCE(""RUBKZT"")*H1304)"),98897)</f>
        <v>98897</v>
      </c>
      <c r="J1304" s="26">
        <f ca="1">IFERROR(__xludf.DUMMYFUNCTION("ROUND(I1304*GOOGLEFINANCE(""KZTEUR""))"),207)</f>
        <v>207</v>
      </c>
      <c r="K1304" s="26">
        <f t="shared" ca="1" si="1315"/>
        <v>3450</v>
      </c>
      <c r="L1304" s="26">
        <f t="shared" ca="1" si="1316"/>
        <v>655.5</v>
      </c>
      <c r="M1304" s="26">
        <f t="shared" ref="M1304:N1304" si="1344">M$3</f>
        <v>500</v>
      </c>
      <c r="N1304" s="26">
        <f t="shared" si="1344"/>
        <v>500</v>
      </c>
      <c r="O1304" s="26">
        <f ca="1">IFERROR(__xludf.DUMMYFUNCTION("ROUND(GOOGLEFINANCE(""Currency:EURKZT"")*K1304)"),1647615)</f>
        <v>1647615</v>
      </c>
      <c r="P1304" s="26">
        <f ca="1">IFERROR(__xludf.DUMMYFUNCTION("ROUND(GOOGLEFINANCE(""Currency:EURKZT"")*M1304)"),238785)</f>
        <v>238785</v>
      </c>
      <c r="Q1304" s="26">
        <f ca="1">IFERROR(__xludf.DUMMYFUNCTION("ROUND(GOOGLEFINANCE(""Currency:EURKZT"")*N1304)"),238785)</f>
        <v>238785</v>
      </c>
      <c r="R1304" s="26">
        <f t="shared" ca="1" si="1318"/>
        <v>197714</v>
      </c>
      <c r="S1304" s="26">
        <f t="shared" ca="1" si="1319"/>
        <v>2322899</v>
      </c>
      <c r="T1304" s="26">
        <f ca="1">IFERROR(__xludf.DUMMYFUNCTION("ROUND(GOOGLEFINANCE(""Currency:EURKZT"")*L1304+S1304)"),2635946)</f>
        <v>2635946</v>
      </c>
      <c r="U1304" s="26">
        <f ca="1">IFERROR(__xludf.DUMMYFUNCTION("D1304*GOOGLEFINANCE(""RUBKZT"")*1000/F1304"),2996864.91608207)</f>
        <v>2996864.9160820702</v>
      </c>
      <c r="V1304" s="27">
        <f t="shared" ca="1" si="1320"/>
        <v>0.13692196884233221</v>
      </c>
    </row>
    <row r="1305" spans="1:22" ht="12.75" customHeight="1" x14ac:dyDescent="0.2">
      <c r="A1305" s="6" t="s">
        <v>414</v>
      </c>
      <c r="B1305" s="6" t="s">
        <v>6</v>
      </c>
      <c r="C1305" s="7">
        <v>201520</v>
      </c>
      <c r="D1305" s="8">
        <v>27435.599999999999</v>
      </c>
      <c r="E1305" s="9" t="s">
        <v>16</v>
      </c>
      <c r="F1305" s="10">
        <v>60</v>
      </c>
      <c r="G1305" s="25"/>
      <c r="H1305" s="14">
        <f t="shared" si="1314"/>
        <v>0.55000000000000004</v>
      </c>
      <c r="I1305" s="25">
        <f ca="1">IFERROR(__xludf.DUMMYFUNCTION("ROUND(D1305*GOOGLEFINANCE(""RUBKZT"")*H1305)"),117752)</f>
        <v>117752</v>
      </c>
      <c r="J1305" s="26">
        <f ca="1">IFERROR(__xludf.DUMMYFUNCTION("ROUND(I1305*GOOGLEFINANCE(""KZTEUR""))"),247)</f>
        <v>247</v>
      </c>
      <c r="K1305" s="26">
        <f t="shared" ca="1" si="1315"/>
        <v>4117</v>
      </c>
      <c r="L1305" s="26">
        <f t="shared" ca="1" si="1316"/>
        <v>782.23</v>
      </c>
      <c r="M1305" s="26">
        <f t="shared" ref="M1305:N1305" si="1345">M$3</f>
        <v>500</v>
      </c>
      <c r="N1305" s="26">
        <f t="shared" si="1345"/>
        <v>500</v>
      </c>
      <c r="O1305" s="26">
        <f ca="1">IFERROR(__xludf.DUMMYFUNCTION("ROUND(GOOGLEFINANCE(""Currency:EURKZT"")*K1305)"),1966154)</f>
        <v>1966154</v>
      </c>
      <c r="P1305" s="26">
        <f ca="1">IFERROR(__xludf.DUMMYFUNCTION("ROUND(GOOGLEFINANCE(""Currency:EURKZT"")*M1305)"),238785)</f>
        <v>238785</v>
      </c>
      <c r="Q1305" s="26">
        <f ca="1">IFERROR(__xludf.DUMMYFUNCTION("ROUND(GOOGLEFINANCE(""Currency:EURKZT"")*N1305)"),238785)</f>
        <v>238785</v>
      </c>
      <c r="R1305" s="26">
        <f t="shared" ca="1" si="1318"/>
        <v>235938</v>
      </c>
      <c r="S1305" s="26">
        <f t="shared" ca="1" si="1319"/>
        <v>2679662</v>
      </c>
      <c r="T1305" s="26">
        <f ca="1">IFERROR(__xludf.DUMMYFUNCTION("ROUND(GOOGLEFINANCE(""Currency:EURKZT"")*L1305+S1305)"),3053231)</f>
        <v>3053231</v>
      </c>
      <c r="U1305" s="26">
        <f ca="1">IFERROR(__xludf.DUMMYFUNCTION("D1305*GOOGLEFINANCE(""RUBKZT"")*1000/F1305"),3568238.85930552)</f>
        <v>3568238.8593055201</v>
      </c>
      <c r="V1305" s="27">
        <f t="shared" ca="1" si="1320"/>
        <v>0.16867634951483201</v>
      </c>
    </row>
    <row r="1306" spans="1:22" ht="12.75" customHeight="1" x14ac:dyDescent="0.2">
      <c r="A1306" s="6" t="s">
        <v>415</v>
      </c>
      <c r="B1306" s="6" t="s">
        <v>6</v>
      </c>
      <c r="C1306" s="7">
        <v>201530</v>
      </c>
      <c r="D1306" s="8">
        <v>6957.5999999999995</v>
      </c>
      <c r="E1306" s="9" t="s">
        <v>16</v>
      </c>
      <c r="F1306" s="10">
        <v>60</v>
      </c>
      <c r="G1306" s="25"/>
      <c r="H1306" s="14">
        <f t="shared" si="1314"/>
        <v>0.55000000000000004</v>
      </c>
      <c r="I1306" s="25">
        <f ca="1">IFERROR(__xludf.DUMMYFUNCTION("ROUND(D1306*GOOGLEFINANCE(""RUBKZT"")*H1306)"),29862)</f>
        <v>29862</v>
      </c>
      <c r="J1306" s="26">
        <f ca="1">IFERROR(__xludf.DUMMYFUNCTION("ROUND(I1306*GOOGLEFINANCE(""KZTEUR""))"),63)</f>
        <v>63</v>
      </c>
      <c r="K1306" s="26">
        <f t="shared" ca="1" si="1315"/>
        <v>1050</v>
      </c>
      <c r="L1306" s="26">
        <f t="shared" ca="1" si="1316"/>
        <v>199.5</v>
      </c>
      <c r="M1306" s="26">
        <f t="shared" ref="M1306:N1306" si="1346">M$3</f>
        <v>500</v>
      </c>
      <c r="N1306" s="26">
        <f t="shared" si="1346"/>
        <v>500</v>
      </c>
      <c r="O1306" s="26">
        <f ca="1">IFERROR(__xludf.DUMMYFUNCTION("ROUND(GOOGLEFINANCE(""Currency:EURKZT"")*K1306)"),501448)</f>
        <v>501448</v>
      </c>
      <c r="P1306" s="26">
        <f ca="1">IFERROR(__xludf.DUMMYFUNCTION("ROUND(GOOGLEFINANCE(""Currency:EURKZT"")*M1306)"),238785)</f>
        <v>238785</v>
      </c>
      <c r="Q1306" s="26">
        <f ca="1">IFERROR(__xludf.DUMMYFUNCTION("ROUND(GOOGLEFINANCE(""Currency:EURKZT"")*N1306)"),238785)</f>
        <v>238785</v>
      </c>
      <c r="R1306" s="26">
        <f t="shared" ca="1" si="1318"/>
        <v>60174</v>
      </c>
      <c r="S1306" s="26">
        <f t="shared" ca="1" si="1319"/>
        <v>1039192</v>
      </c>
      <c r="T1306" s="26">
        <f ca="1">IFERROR(__xludf.DUMMYFUNCTION("ROUND(GOOGLEFINANCE(""Currency:EURKZT"")*L1306+S1306)"),1134467)</f>
        <v>1134467</v>
      </c>
      <c r="U1306" s="26">
        <f ca="1">IFERROR(__xludf.DUMMYFUNCTION("D1306*GOOGLEFINANCE(""RUBKZT"")*1000/F1306"),904896.50991792)</f>
        <v>904896.50991791999</v>
      </c>
      <c r="V1306" s="27">
        <f t="shared" ca="1" si="1320"/>
        <v>-0.20235977783582954</v>
      </c>
    </row>
    <row r="1307" spans="1:22" ht="12.75" customHeight="1" x14ac:dyDescent="0.2">
      <c r="A1307" s="6" t="s">
        <v>416</v>
      </c>
      <c r="B1307" s="6" t="s">
        <v>6</v>
      </c>
      <c r="C1307" s="7">
        <v>201541</v>
      </c>
      <c r="D1307" s="8">
        <v>22660.799999999999</v>
      </c>
      <c r="E1307" s="9" t="s">
        <v>7</v>
      </c>
      <c r="F1307" s="10">
        <v>60</v>
      </c>
      <c r="G1307" s="25"/>
      <c r="H1307" s="14">
        <f t="shared" si="1314"/>
        <v>0.55000000000000004</v>
      </c>
      <c r="I1307" s="25">
        <f ca="1">IFERROR(__xludf.DUMMYFUNCTION("ROUND(D1307*GOOGLEFINANCE(""RUBKZT"")*H1307)"),97259)</f>
        <v>97259</v>
      </c>
      <c r="J1307" s="26">
        <f ca="1">IFERROR(__xludf.DUMMYFUNCTION("ROUND(I1307*GOOGLEFINANCE(""KZTEUR""))"),204)</f>
        <v>204</v>
      </c>
      <c r="K1307" s="26">
        <f t="shared" ca="1" si="1315"/>
        <v>3400</v>
      </c>
      <c r="L1307" s="26">
        <f t="shared" ca="1" si="1316"/>
        <v>646</v>
      </c>
      <c r="M1307" s="26">
        <f t="shared" ref="M1307:N1307" si="1347">M$3</f>
        <v>500</v>
      </c>
      <c r="N1307" s="26">
        <f t="shared" si="1347"/>
        <v>500</v>
      </c>
      <c r="O1307" s="26">
        <f ca="1">IFERROR(__xludf.DUMMYFUNCTION("ROUND(GOOGLEFINANCE(""Currency:EURKZT"")*K1307)"),1623737)</f>
        <v>1623737</v>
      </c>
      <c r="P1307" s="26">
        <f ca="1">IFERROR(__xludf.DUMMYFUNCTION("ROUND(GOOGLEFINANCE(""Currency:EURKZT"")*M1307)"),238785)</f>
        <v>238785</v>
      </c>
      <c r="Q1307" s="26">
        <f ca="1">IFERROR(__xludf.DUMMYFUNCTION("ROUND(GOOGLEFINANCE(""Currency:EURKZT"")*N1307)"),238785)</f>
        <v>238785</v>
      </c>
      <c r="R1307" s="26">
        <f t="shared" ca="1" si="1318"/>
        <v>194848</v>
      </c>
      <c r="S1307" s="26">
        <f t="shared" ca="1" si="1319"/>
        <v>2296155</v>
      </c>
      <c r="T1307" s="26">
        <f ca="1">IFERROR(__xludf.DUMMYFUNCTION("ROUND(GOOGLEFINANCE(""Currency:EURKZT"")*L1307+S1307)"),2604665)</f>
        <v>2604665</v>
      </c>
      <c r="U1307" s="26">
        <f ca="1">IFERROR(__xludf.DUMMYFUNCTION("D1307*GOOGLEFINANCE(""RUBKZT"")*1000/F1307"),2947234.51074335)</f>
        <v>2947234.5107433498</v>
      </c>
      <c r="V1307" s="27">
        <f t="shared" ca="1" si="1320"/>
        <v>0.1315215241665818</v>
      </c>
    </row>
    <row r="1308" spans="1:22" ht="12.75" customHeight="1" x14ac:dyDescent="0.2">
      <c r="A1308" s="6" t="s">
        <v>417</v>
      </c>
      <c r="B1308" s="6" t="s">
        <v>6</v>
      </c>
      <c r="C1308" s="7">
        <v>201544</v>
      </c>
      <c r="D1308" s="8">
        <v>33540</v>
      </c>
      <c r="E1308" s="9" t="s">
        <v>7</v>
      </c>
      <c r="F1308" s="10">
        <v>60</v>
      </c>
      <c r="G1308" s="25"/>
      <c r="H1308" s="14">
        <f t="shared" si="1314"/>
        <v>0.55000000000000004</v>
      </c>
      <c r="I1308" s="25">
        <f ca="1">IFERROR(__xludf.DUMMYFUNCTION("ROUND(D1308*GOOGLEFINANCE(""RUBKZT"")*H1308)"),143952)</f>
        <v>143952</v>
      </c>
      <c r="J1308" s="26">
        <f ca="1">IFERROR(__xludf.DUMMYFUNCTION("ROUND(I1308*GOOGLEFINANCE(""KZTEUR""))"),301)</f>
        <v>301</v>
      </c>
      <c r="K1308" s="26">
        <f t="shared" ca="1" si="1315"/>
        <v>5017</v>
      </c>
      <c r="L1308" s="26">
        <f t="shared" ca="1" si="1316"/>
        <v>953.23</v>
      </c>
      <c r="M1308" s="26">
        <f t="shared" ref="M1308:N1308" si="1348">M$3</f>
        <v>500</v>
      </c>
      <c r="N1308" s="26">
        <f t="shared" si="1348"/>
        <v>500</v>
      </c>
      <c r="O1308" s="26">
        <f ca="1">IFERROR(__xludf.DUMMYFUNCTION("ROUND(GOOGLEFINANCE(""Currency:EURKZT"")*K1308)"),2395967)</f>
        <v>2395967</v>
      </c>
      <c r="P1308" s="26">
        <f ca="1">IFERROR(__xludf.DUMMYFUNCTION("ROUND(GOOGLEFINANCE(""Currency:EURKZT"")*M1308)"),238785)</f>
        <v>238785</v>
      </c>
      <c r="Q1308" s="26">
        <f ca="1">IFERROR(__xludf.DUMMYFUNCTION("ROUND(GOOGLEFINANCE(""Currency:EURKZT"")*N1308)"),238785)</f>
        <v>238785</v>
      </c>
      <c r="R1308" s="26">
        <f t="shared" ca="1" si="1318"/>
        <v>287516</v>
      </c>
      <c r="S1308" s="26">
        <f t="shared" ca="1" si="1319"/>
        <v>3161053</v>
      </c>
      <c r="T1308" s="26">
        <f ca="1">IFERROR(__xludf.DUMMYFUNCTION("ROUND(GOOGLEFINANCE(""Currency:EURKZT"")*L1308+S1308)"),3616287)</f>
        <v>3616287</v>
      </c>
      <c r="U1308" s="26">
        <f ca="1">IFERROR(__xludf.DUMMYFUNCTION("D1308*GOOGLEFINANCE(""RUBKZT"")*1000/F1308"),4362169.27426799)</f>
        <v>4362169.2742679901</v>
      </c>
      <c r="V1308" s="27">
        <f t="shared" ca="1" si="1320"/>
        <v>0.2062563823800462</v>
      </c>
    </row>
    <row r="1309" spans="1:22" ht="12.75" customHeight="1" x14ac:dyDescent="0.2">
      <c r="A1309" s="6" t="s">
        <v>428</v>
      </c>
      <c r="B1309" s="6" t="s">
        <v>6</v>
      </c>
      <c r="C1309" s="7">
        <v>205742</v>
      </c>
      <c r="D1309" s="8">
        <v>42990</v>
      </c>
      <c r="E1309" s="9" t="s">
        <v>7</v>
      </c>
      <c r="F1309" s="10">
        <v>60</v>
      </c>
      <c r="G1309" s="25"/>
      <c r="H1309" s="14">
        <f t="shared" si="1314"/>
        <v>0.55000000000000004</v>
      </c>
      <c r="I1309" s="25">
        <f ca="1">IFERROR(__xludf.DUMMYFUNCTION("ROUND(D1309*GOOGLEFINANCE(""RUBKZT"")*H1309)"),184510)</f>
        <v>184510</v>
      </c>
      <c r="J1309" s="26">
        <f ca="1">IFERROR(__xludf.DUMMYFUNCTION("ROUND(I1309*GOOGLEFINANCE(""KZTEUR""))"),386)</f>
        <v>386</v>
      </c>
      <c r="K1309" s="26">
        <f t="shared" ca="1" si="1315"/>
        <v>6433</v>
      </c>
      <c r="L1309" s="26">
        <f t="shared" ca="1" si="1316"/>
        <v>1222.27</v>
      </c>
      <c r="M1309" s="26">
        <f t="shared" ref="M1309:N1309" si="1349">M$3</f>
        <v>500</v>
      </c>
      <c r="N1309" s="26">
        <f t="shared" si="1349"/>
        <v>500</v>
      </c>
      <c r="O1309" s="26">
        <f ca="1">IFERROR(__xludf.DUMMYFUNCTION("ROUND(GOOGLEFINANCE(""Currency:EURKZT"")*K1309)"),3072205)</f>
        <v>3072205</v>
      </c>
      <c r="P1309" s="26">
        <f ca="1">IFERROR(__xludf.DUMMYFUNCTION("ROUND(GOOGLEFINANCE(""Currency:EURKZT"")*M1309)"),238785)</f>
        <v>238785</v>
      </c>
      <c r="Q1309" s="26">
        <f ca="1">IFERROR(__xludf.DUMMYFUNCTION("ROUND(GOOGLEFINANCE(""Currency:EURKZT"")*N1309)"),238785)</f>
        <v>238785</v>
      </c>
      <c r="R1309" s="26">
        <f t="shared" ca="1" si="1318"/>
        <v>368665</v>
      </c>
      <c r="S1309" s="26">
        <f t="shared" ca="1" si="1319"/>
        <v>3918440</v>
      </c>
      <c r="T1309" s="26">
        <f ca="1">IFERROR(__xludf.DUMMYFUNCTION("ROUND(GOOGLEFINANCE(""Currency:EURKZT"")*L1309+S1309)"),4502159)</f>
        <v>4502159</v>
      </c>
      <c r="U1309" s="26">
        <f ca="1">IFERROR(__xludf.DUMMYFUNCTION("D1309*GOOGLEFINANCE(""RUBKZT"")*1000/F1309"),5591224.123458)</f>
        <v>5591224.1234579999</v>
      </c>
      <c r="V1309" s="27">
        <f t="shared" ca="1" si="1320"/>
        <v>0.24189841439584872</v>
      </c>
    </row>
    <row r="1310" spans="1:22" ht="12.75" customHeight="1" x14ac:dyDescent="0.2">
      <c r="A1310" s="6" t="s">
        <v>429</v>
      </c>
      <c r="B1310" s="6" t="s">
        <v>6</v>
      </c>
      <c r="C1310" s="7">
        <v>205744</v>
      </c>
      <c r="D1310" s="8">
        <v>29731.199999999997</v>
      </c>
      <c r="E1310" s="9" t="s">
        <v>7</v>
      </c>
      <c r="F1310" s="10">
        <v>60</v>
      </c>
      <c r="G1310" s="25"/>
      <c r="H1310" s="14">
        <f t="shared" si="1314"/>
        <v>0.55000000000000004</v>
      </c>
      <c r="I1310" s="25">
        <f ca="1">IFERROR(__xludf.DUMMYFUNCTION("ROUND(D1310*GOOGLEFINANCE(""RUBKZT"")*H1310)"),127604)</f>
        <v>127604</v>
      </c>
      <c r="J1310" s="26">
        <f ca="1">IFERROR(__xludf.DUMMYFUNCTION("ROUND(I1310*GOOGLEFINANCE(""KZTEUR""))"),267)</f>
        <v>267</v>
      </c>
      <c r="K1310" s="26">
        <f t="shared" ca="1" si="1315"/>
        <v>4450</v>
      </c>
      <c r="L1310" s="26">
        <f t="shared" ca="1" si="1316"/>
        <v>845.5</v>
      </c>
      <c r="M1310" s="26">
        <f t="shared" ref="M1310:N1310" si="1350">M$3</f>
        <v>500</v>
      </c>
      <c r="N1310" s="26">
        <f t="shared" si="1350"/>
        <v>500</v>
      </c>
      <c r="O1310" s="26">
        <f ca="1">IFERROR(__xludf.DUMMYFUNCTION("ROUND(GOOGLEFINANCE(""Currency:EURKZT"")*K1310)"),2125185)</f>
        <v>2125185</v>
      </c>
      <c r="P1310" s="26">
        <f ca="1">IFERROR(__xludf.DUMMYFUNCTION("ROUND(GOOGLEFINANCE(""Currency:EURKZT"")*M1310)"),238785)</f>
        <v>238785</v>
      </c>
      <c r="Q1310" s="26">
        <f ca="1">IFERROR(__xludf.DUMMYFUNCTION("ROUND(GOOGLEFINANCE(""Currency:EURKZT"")*N1310)"),238785)</f>
        <v>238785</v>
      </c>
      <c r="R1310" s="26">
        <f t="shared" ca="1" si="1318"/>
        <v>255022</v>
      </c>
      <c r="S1310" s="26">
        <f t="shared" ca="1" si="1319"/>
        <v>2857777</v>
      </c>
      <c r="T1310" s="26">
        <f ca="1">IFERROR(__xludf.DUMMYFUNCTION("ROUND(GOOGLEFINANCE(""Currency:EURKZT"")*L1310+S1310)"),3261562)</f>
        <v>3261562</v>
      </c>
      <c r="U1310" s="26">
        <f ca="1">IFERROR(__xludf.DUMMYFUNCTION("D1310*GOOGLEFINANCE(""RUBKZT"")*1000/F1310"),3866801.64362303)</f>
        <v>3866801.6436230298</v>
      </c>
      <c r="V1310" s="27">
        <f t="shared" ca="1" si="1320"/>
        <v>0.18556741942143973</v>
      </c>
    </row>
    <row r="1311" spans="1:22" ht="12.75" customHeight="1" x14ac:dyDescent="0.2">
      <c r="A1311" s="6" t="s">
        <v>430</v>
      </c>
      <c r="B1311" s="6" t="s">
        <v>6</v>
      </c>
      <c r="C1311" s="7">
        <v>205745</v>
      </c>
      <c r="D1311" s="8">
        <v>29731.199999999997</v>
      </c>
      <c r="E1311" s="9" t="s">
        <v>7</v>
      </c>
      <c r="F1311" s="10">
        <v>60</v>
      </c>
      <c r="G1311" s="25"/>
      <c r="H1311" s="14">
        <f t="shared" si="1314"/>
        <v>0.55000000000000004</v>
      </c>
      <c r="I1311" s="25">
        <f ca="1">IFERROR(__xludf.DUMMYFUNCTION("ROUND(D1311*GOOGLEFINANCE(""RUBKZT"")*H1311)"),127604)</f>
        <v>127604</v>
      </c>
      <c r="J1311" s="26">
        <f ca="1">IFERROR(__xludf.DUMMYFUNCTION("ROUND(I1311*GOOGLEFINANCE(""KZTEUR""))"),267)</f>
        <v>267</v>
      </c>
      <c r="K1311" s="26">
        <f t="shared" ca="1" si="1315"/>
        <v>4450</v>
      </c>
      <c r="L1311" s="26">
        <f t="shared" ca="1" si="1316"/>
        <v>845.5</v>
      </c>
      <c r="M1311" s="26">
        <f t="shared" ref="M1311:N1311" si="1351">M$3</f>
        <v>500</v>
      </c>
      <c r="N1311" s="26">
        <f t="shared" si="1351"/>
        <v>500</v>
      </c>
      <c r="O1311" s="26">
        <f ca="1">IFERROR(__xludf.DUMMYFUNCTION("ROUND(GOOGLEFINANCE(""Currency:EURKZT"")*K1311)"),2125185)</f>
        <v>2125185</v>
      </c>
      <c r="P1311" s="26">
        <f ca="1">IFERROR(__xludf.DUMMYFUNCTION("ROUND(GOOGLEFINANCE(""Currency:EURKZT"")*M1311)"),238785)</f>
        <v>238785</v>
      </c>
      <c r="Q1311" s="26">
        <f ca="1">IFERROR(__xludf.DUMMYFUNCTION("ROUND(GOOGLEFINANCE(""Currency:EURKZT"")*N1311)"),238785)</f>
        <v>238785</v>
      </c>
      <c r="R1311" s="26">
        <f t="shared" ca="1" si="1318"/>
        <v>255022</v>
      </c>
      <c r="S1311" s="26">
        <f t="shared" ca="1" si="1319"/>
        <v>2857777</v>
      </c>
      <c r="T1311" s="26">
        <f ca="1">IFERROR(__xludf.DUMMYFUNCTION("ROUND(GOOGLEFINANCE(""Currency:EURKZT"")*L1311+S1311)"),3261562)</f>
        <v>3261562</v>
      </c>
      <c r="U1311" s="26">
        <f ca="1">IFERROR(__xludf.DUMMYFUNCTION("D1311*GOOGLEFINANCE(""RUBKZT"")*1000/F1311"),3866801.64362303)</f>
        <v>3866801.6436230298</v>
      </c>
      <c r="V1311" s="27">
        <f t="shared" ca="1" si="1320"/>
        <v>0.18556741942143973</v>
      </c>
    </row>
    <row r="1312" spans="1:22" ht="12.75" customHeight="1" x14ac:dyDescent="0.2">
      <c r="A1312" s="6" t="s">
        <v>431</v>
      </c>
      <c r="B1312" s="6" t="s">
        <v>6</v>
      </c>
      <c r="C1312" s="7">
        <v>205817</v>
      </c>
      <c r="D1312" s="8">
        <v>42453.599999999999</v>
      </c>
      <c r="E1312" s="9" t="s">
        <v>16</v>
      </c>
      <c r="F1312" s="10">
        <v>60</v>
      </c>
      <c r="G1312" s="25"/>
      <c r="H1312" s="14">
        <f t="shared" si="1314"/>
        <v>0.55000000000000004</v>
      </c>
      <c r="I1312" s="25">
        <f ca="1">IFERROR(__xludf.DUMMYFUNCTION("ROUND(D1312*GOOGLEFINANCE(""RUBKZT"")*H1312)"),182208)</f>
        <v>182208</v>
      </c>
      <c r="J1312" s="26">
        <f ca="1">IFERROR(__xludf.DUMMYFUNCTION("ROUND(I1312*GOOGLEFINANCE(""KZTEUR""))"),382)</f>
        <v>382</v>
      </c>
      <c r="K1312" s="26">
        <f t="shared" ca="1" si="1315"/>
        <v>6367</v>
      </c>
      <c r="L1312" s="26">
        <f t="shared" ca="1" si="1316"/>
        <v>1209.73</v>
      </c>
      <c r="M1312" s="26">
        <f t="shared" ref="M1312:N1312" si="1352">M$3</f>
        <v>500</v>
      </c>
      <c r="N1312" s="26">
        <f t="shared" si="1352"/>
        <v>500</v>
      </c>
      <c r="O1312" s="26">
        <f ca="1">IFERROR(__xludf.DUMMYFUNCTION("ROUND(GOOGLEFINANCE(""Currency:EURKZT"")*K1312)"),3040686)</f>
        <v>3040686</v>
      </c>
      <c r="P1312" s="26">
        <f ca="1">IFERROR(__xludf.DUMMYFUNCTION("ROUND(GOOGLEFINANCE(""Currency:EURKZT"")*M1312)"),238785)</f>
        <v>238785</v>
      </c>
      <c r="Q1312" s="26">
        <f ca="1">IFERROR(__xludf.DUMMYFUNCTION("ROUND(GOOGLEFINANCE(""Currency:EURKZT"")*N1312)"),238785)</f>
        <v>238785</v>
      </c>
      <c r="R1312" s="26">
        <f t="shared" ca="1" si="1318"/>
        <v>364882</v>
      </c>
      <c r="S1312" s="26">
        <f t="shared" ca="1" si="1319"/>
        <v>3883138</v>
      </c>
      <c r="T1312" s="26">
        <f ca="1">IFERROR(__xludf.DUMMYFUNCTION("ROUND(GOOGLEFINANCE(""Currency:EURKZT"")*L1312+S1312)"),4460868)</f>
        <v>4460868</v>
      </c>
      <c r="U1312" s="26">
        <f ca="1">IFERROR(__xludf.DUMMYFUNCTION("D1312*GOOGLEFINANCE(""RUBKZT"")*1000/F1312"),5521460.62916112)</f>
        <v>5521460.6291611204</v>
      </c>
      <c r="V1312" s="27">
        <f t="shared" ca="1" si="1320"/>
        <v>0.23775476637307366</v>
      </c>
    </row>
    <row r="1313" spans="1:22" ht="12.75" customHeight="1" x14ac:dyDescent="0.2">
      <c r="A1313" s="6" t="s">
        <v>426</v>
      </c>
      <c r="B1313" s="6" t="s">
        <v>6</v>
      </c>
      <c r="C1313" s="7">
        <v>207854</v>
      </c>
      <c r="D1313" s="8">
        <v>29246.399999999998</v>
      </c>
      <c r="E1313" s="9" t="s">
        <v>16</v>
      </c>
      <c r="F1313" s="10">
        <v>60</v>
      </c>
      <c r="G1313" s="25"/>
      <c r="H1313" s="14">
        <f t="shared" si="1314"/>
        <v>0.55000000000000004</v>
      </c>
      <c r="I1313" s="25">
        <f ca="1">IFERROR(__xludf.DUMMYFUNCTION("ROUND(D1313*GOOGLEFINANCE(""RUBKZT"")*H1313)"),125524)</f>
        <v>125524</v>
      </c>
      <c r="J1313" s="26">
        <f ca="1">IFERROR(__xludf.DUMMYFUNCTION("ROUND(I1313*GOOGLEFINANCE(""KZTEUR""))"),263)</f>
        <v>263</v>
      </c>
      <c r="K1313" s="26">
        <f t="shared" ca="1" si="1315"/>
        <v>4383</v>
      </c>
      <c r="L1313" s="26">
        <f t="shared" ca="1" si="1316"/>
        <v>832.77</v>
      </c>
      <c r="M1313" s="26">
        <f t="shared" ref="M1313:N1313" si="1353">M$3</f>
        <v>500</v>
      </c>
      <c r="N1313" s="26">
        <f t="shared" si="1353"/>
        <v>500</v>
      </c>
      <c r="O1313" s="26">
        <f ca="1">IFERROR(__xludf.DUMMYFUNCTION("ROUND(GOOGLEFINANCE(""Currency:EURKZT"")*K1313)"),2093188)</f>
        <v>2093188</v>
      </c>
      <c r="P1313" s="26">
        <f ca="1">IFERROR(__xludf.DUMMYFUNCTION("ROUND(GOOGLEFINANCE(""Currency:EURKZT"")*M1313)"),238785)</f>
        <v>238785</v>
      </c>
      <c r="Q1313" s="26">
        <f ca="1">IFERROR(__xludf.DUMMYFUNCTION("ROUND(GOOGLEFINANCE(""Currency:EURKZT"")*N1313)"),238785)</f>
        <v>238785</v>
      </c>
      <c r="R1313" s="26">
        <f t="shared" ca="1" si="1318"/>
        <v>251183</v>
      </c>
      <c r="S1313" s="26">
        <f t="shared" ca="1" si="1319"/>
        <v>2821941</v>
      </c>
      <c r="T1313" s="26">
        <f ca="1">IFERROR(__xludf.DUMMYFUNCTION("ROUND(GOOGLEFINANCE(""Currency:EURKZT"")*L1313+S1313)"),3219647)</f>
        <v>3219647</v>
      </c>
      <c r="U1313" s="26">
        <f ca="1">IFERROR(__xludf.DUMMYFUNCTION("D1313*GOOGLEFINANCE(""RUBKZT"")*1000/F1313"),3803749.17897888)</f>
        <v>3803749.1789788799</v>
      </c>
      <c r="V1313" s="27">
        <f t="shared" ca="1" si="1320"/>
        <v>0.18141808060911024</v>
      </c>
    </row>
    <row r="1314" spans="1:22" ht="12.75" customHeight="1" x14ac:dyDescent="0.2">
      <c r="A1314" s="6" t="s">
        <v>448</v>
      </c>
      <c r="B1314" s="6" t="s">
        <v>6</v>
      </c>
      <c r="C1314" s="7">
        <v>213102</v>
      </c>
      <c r="D1314" s="8">
        <v>38125.199999999997</v>
      </c>
      <c r="E1314" s="9" t="s">
        <v>16</v>
      </c>
      <c r="F1314" s="10">
        <v>60</v>
      </c>
      <c r="G1314" s="25"/>
      <c r="H1314" s="14">
        <f t="shared" si="1314"/>
        <v>0.55000000000000004</v>
      </c>
      <c r="I1314" s="25">
        <f ca="1">IFERROR(__xludf.DUMMYFUNCTION("ROUND(D1314*GOOGLEFINANCE(""RUBKZT"")*H1314)"),163631)</f>
        <v>163631</v>
      </c>
      <c r="J1314" s="26">
        <f ca="1">IFERROR(__xludf.DUMMYFUNCTION("ROUND(I1314*GOOGLEFINANCE(""KZTEUR""))"),343)</f>
        <v>343</v>
      </c>
      <c r="K1314" s="26">
        <f t="shared" ca="1" si="1315"/>
        <v>5717</v>
      </c>
      <c r="L1314" s="26">
        <f t="shared" ca="1" si="1316"/>
        <v>1086.23</v>
      </c>
      <c r="M1314" s="26">
        <f t="shared" ref="M1314:N1314" si="1354">M$3</f>
        <v>500</v>
      </c>
      <c r="N1314" s="26">
        <f t="shared" si="1354"/>
        <v>500</v>
      </c>
      <c r="O1314" s="26">
        <f ca="1">IFERROR(__xludf.DUMMYFUNCTION("ROUND(GOOGLEFINANCE(""Currency:EURKZT"")*K1314)"),2730265)</f>
        <v>2730265</v>
      </c>
      <c r="P1314" s="26">
        <f ca="1">IFERROR(__xludf.DUMMYFUNCTION("ROUND(GOOGLEFINANCE(""Currency:EURKZT"")*M1314)"),238785)</f>
        <v>238785</v>
      </c>
      <c r="Q1314" s="26">
        <f ca="1">IFERROR(__xludf.DUMMYFUNCTION("ROUND(GOOGLEFINANCE(""Currency:EURKZT"")*N1314)"),238785)</f>
        <v>238785</v>
      </c>
      <c r="R1314" s="26">
        <f t="shared" ca="1" si="1318"/>
        <v>327632</v>
      </c>
      <c r="S1314" s="26">
        <f t="shared" ca="1" si="1319"/>
        <v>3535467</v>
      </c>
      <c r="T1314" s="26">
        <f ca="1">IFERROR(__xludf.DUMMYFUNCTION("ROUND(GOOGLEFINANCE(""Currency:EURKZT"")*L1314+S1314)"),4054217)</f>
        <v>4054217</v>
      </c>
      <c r="U1314" s="26">
        <f ca="1">IFERROR(__xludf.DUMMYFUNCTION("D1314*GOOGLEFINANCE(""RUBKZT"")*1000/F1314"),4958514.49061784)</f>
        <v>4958514.4906178396</v>
      </c>
      <c r="V1314" s="27">
        <f t="shared" ca="1" si="1320"/>
        <v>0.2230510825192237</v>
      </c>
    </row>
    <row r="1315" spans="1:22" ht="12.75" customHeight="1" x14ac:dyDescent="0.2">
      <c r="A1315" s="6" t="s">
        <v>455</v>
      </c>
      <c r="B1315" s="6" t="s">
        <v>6</v>
      </c>
      <c r="C1315" s="7">
        <v>213657</v>
      </c>
      <c r="D1315" s="8">
        <v>26334</v>
      </c>
      <c r="E1315" s="9" t="s">
        <v>16</v>
      </c>
      <c r="F1315" s="10">
        <v>60</v>
      </c>
      <c r="G1315" s="25"/>
      <c r="H1315" s="14">
        <f t="shared" si="1314"/>
        <v>0.55000000000000004</v>
      </c>
      <c r="I1315" s="25">
        <f ca="1">IFERROR(__xludf.DUMMYFUNCTION("ROUND(D1315*GOOGLEFINANCE(""RUBKZT"")*H1315)"),113024)</f>
        <v>113024</v>
      </c>
      <c r="J1315" s="26">
        <f ca="1">IFERROR(__xludf.DUMMYFUNCTION("ROUND(I1315*GOOGLEFINANCE(""KZTEUR""))"),237)</f>
        <v>237</v>
      </c>
      <c r="K1315" s="26">
        <f t="shared" ca="1" si="1315"/>
        <v>3950</v>
      </c>
      <c r="L1315" s="26">
        <f t="shared" ca="1" si="1316"/>
        <v>750.5</v>
      </c>
      <c r="M1315" s="26">
        <f t="shared" ref="M1315:N1315" si="1355">M$3</f>
        <v>500</v>
      </c>
      <c r="N1315" s="26">
        <f t="shared" si="1355"/>
        <v>500</v>
      </c>
      <c r="O1315" s="26">
        <f ca="1">IFERROR(__xludf.DUMMYFUNCTION("ROUND(GOOGLEFINANCE(""Currency:EURKZT"")*K1315)"),1886400)</f>
        <v>1886400</v>
      </c>
      <c r="P1315" s="26">
        <f ca="1">IFERROR(__xludf.DUMMYFUNCTION("ROUND(GOOGLEFINANCE(""Currency:EURKZT"")*M1315)"),238785)</f>
        <v>238785</v>
      </c>
      <c r="Q1315" s="26">
        <f ca="1">IFERROR(__xludf.DUMMYFUNCTION("ROUND(GOOGLEFINANCE(""Currency:EURKZT"")*N1315)"),238785)</f>
        <v>238785</v>
      </c>
      <c r="R1315" s="26">
        <f t="shared" ca="1" si="1318"/>
        <v>226368</v>
      </c>
      <c r="S1315" s="26">
        <f t="shared" ca="1" si="1319"/>
        <v>2590338</v>
      </c>
      <c r="T1315" s="26">
        <f ca="1">IFERROR(__xludf.DUMMYFUNCTION("ROUND(GOOGLEFINANCE(""Currency:EURKZT"")*L1315+S1315)"),2948754)</f>
        <v>2948754</v>
      </c>
      <c r="U1315" s="26">
        <f ca="1">IFERROR(__xludf.DUMMYFUNCTION("D1315*GOOGLEFINANCE(""RUBKZT"")*1000/F1315"),3424966.1797428)</f>
        <v>3424966.1797428001</v>
      </c>
      <c r="V1315" s="27">
        <f t="shared" ca="1" si="1320"/>
        <v>0.16149606909996564</v>
      </c>
    </row>
    <row r="1316" spans="1:22" ht="12.75" customHeight="1" x14ac:dyDescent="0.2">
      <c r="A1316" s="6" t="s">
        <v>473</v>
      </c>
      <c r="B1316" s="6" t="s">
        <v>6</v>
      </c>
      <c r="C1316" s="7">
        <v>213705</v>
      </c>
      <c r="D1316" s="8">
        <v>21050.399999999998</v>
      </c>
      <c r="E1316" s="9" t="s">
        <v>16</v>
      </c>
      <c r="F1316" s="10">
        <v>60</v>
      </c>
      <c r="G1316" s="25"/>
      <c r="H1316" s="14">
        <f t="shared" si="1314"/>
        <v>0.55000000000000004</v>
      </c>
      <c r="I1316" s="25">
        <f ca="1">IFERROR(__xludf.DUMMYFUNCTION("ROUND(D1316*GOOGLEFINANCE(""RUBKZT"")*H1316)"),90347)</f>
        <v>90347</v>
      </c>
      <c r="J1316" s="26">
        <f ca="1">IFERROR(__xludf.DUMMYFUNCTION("ROUND(I1316*GOOGLEFINANCE(""KZTEUR""))"),189)</f>
        <v>189</v>
      </c>
      <c r="K1316" s="26">
        <f t="shared" ca="1" si="1315"/>
        <v>3150</v>
      </c>
      <c r="L1316" s="26">
        <f t="shared" ca="1" si="1316"/>
        <v>598.5</v>
      </c>
      <c r="M1316" s="26">
        <f t="shared" ref="M1316:N1316" si="1356">M$3</f>
        <v>500</v>
      </c>
      <c r="N1316" s="26">
        <f t="shared" si="1356"/>
        <v>500</v>
      </c>
      <c r="O1316" s="26">
        <f ca="1">IFERROR(__xludf.DUMMYFUNCTION("ROUND(GOOGLEFINANCE(""Currency:EURKZT"")*K1316)"),1504344)</f>
        <v>1504344</v>
      </c>
      <c r="P1316" s="26">
        <f ca="1">IFERROR(__xludf.DUMMYFUNCTION("ROUND(GOOGLEFINANCE(""Currency:EURKZT"")*M1316)"),238785)</f>
        <v>238785</v>
      </c>
      <c r="Q1316" s="26">
        <f ca="1">IFERROR(__xludf.DUMMYFUNCTION("ROUND(GOOGLEFINANCE(""Currency:EURKZT"")*N1316)"),238785)</f>
        <v>238785</v>
      </c>
      <c r="R1316" s="26">
        <f t="shared" ca="1" si="1318"/>
        <v>180521</v>
      </c>
      <c r="S1316" s="26">
        <f t="shared" ca="1" si="1319"/>
        <v>2162435</v>
      </c>
      <c r="T1316" s="26">
        <f ca="1">IFERROR(__xludf.DUMMYFUNCTION("ROUND(GOOGLEFINANCE(""Currency:EURKZT"")*L1316+S1316)"),2448260)</f>
        <v>2448260</v>
      </c>
      <c r="U1316" s="26">
        <f ca="1">IFERROR(__xludf.DUMMYFUNCTION("D1316*GOOGLEFINANCE(""RUBKZT"")*1000/F1316"),2737787.95739568)</f>
        <v>2737787.9573956798</v>
      </c>
      <c r="V1316" s="27">
        <f t="shared" ca="1" si="1320"/>
        <v>0.11825866427408845</v>
      </c>
    </row>
    <row r="1317" spans="1:22" ht="12.75" customHeight="1" x14ac:dyDescent="0.2">
      <c r="A1317" s="6" t="s">
        <v>494</v>
      </c>
      <c r="B1317" s="6" t="s">
        <v>6</v>
      </c>
      <c r="C1317" s="7">
        <v>213840</v>
      </c>
      <c r="D1317" s="8">
        <v>33038.400000000001</v>
      </c>
      <c r="E1317" s="9" t="s">
        <v>16</v>
      </c>
      <c r="F1317" s="10">
        <v>60</v>
      </c>
      <c r="G1317" s="25"/>
      <c r="H1317" s="14">
        <f t="shared" si="1314"/>
        <v>0.55000000000000004</v>
      </c>
      <c r="I1317" s="25">
        <f ca="1">IFERROR(__xludf.DUMMYFUNCTION("ROUND(D1317*GOOGLEFINANCE(""RUBKZT"")*H1317)"),141799)</f>
        <v>141799</v>
      </c>
      <c r="J1317" s="26">
        <f ca="1">IFERROR(__xludf.DUMMYFUNCTION("ROUND(I1317*GOOGLEFINANCE(""KZTEUR""))"),297)</f>
        <v>297</v>
      </c>
      <c r="K1317" s="26">
        <f t="shared" ca="1" si="1315"/>
        <v>4950</v>
      </c>
      <c r="L1317" s="26">
        <f t="shared" ca="1" si="1316"/>
        <v>940.5</v>
      </c>
      <c r="M1317" s="26">
        <f t="shared" ref="M1317:N1317" si="1357">M$3</f>
        <v>500</v>
      </c>
      <c r="N1317" s="26">
        <f t="shared" si="1357"/>
        <v>500</v>
      </c>
      <c r="O1317" s="26">
        <f ca="1">IFERROR(__xludf.DUMMYFUNCTION("ROUND(GOOGLEFINANCE(""Currency:EURKZT"")*K1317)"),2363970)</f>
        <v>2363970</v>
      </c>
      <c r="P1317" s="26">
        <f ca="1">IFERROR(__xludf.DUMMYFUNCTION("ROUND(GOOGLEFINANCE(""Currency:EURKZT"")*M1317)"),238785)</f>
        <v>238785</v>
      </c>
      <c r="Q1317" s="26">
        <f ca="1">IFERROR(__xludf.DUMMYFUNCTION("ROUND(GOOGLEFINANCE(""Currency:EURKZT"")*N1317)"),238785)</f>
        <v>238785</v>
      </c>
      <c r="R1317" s="26">
        <f t="shared" ca="1" si="1318"/>
        <v>283676</v>
      </c>
      <c r="S1317" s="26">
        <f t="shared" ca="1" si="1319"/>
        <v>3125216</v>
      </c>
      <c r="T1317" s="26">
        <f ca="1">IFERROR(__xludf.DUMMYFUNCTION("ROUND(GOOGLEFINANCE(""Currency:EURKZT"")*L1317+S1317)"),3574370)</f>
        <v>3574370</v>
      </c>
      <c r="U1317" s="26">
        <f ca="1">IFERROR(__xludf.DUMMYFUNCTION("D1317*GOOGLEFINANCE(""RUBKZT"")*1000/F1317"),4296931.82322528)</f>
        <v>4296931.8232252803</v>
      </c>
      <c r="V1317" s="27">
        <f t="shared" ca="1" si="1320"/>
        <v>0.20215081908847721</v>
      </c>
    </row>
    <row r="1318" spans="1:22" ht="12.75" customHeight="1" x14ac:dyDescent="0.2">
      <c r="A1318" s="6" t="s">
        <v>583</v>
      </c>
      <c r="B1318" s="6" t="s">
        <v>6</v>
      </c>
      <c r="C1318" s="7">
        <v>214013</v>
      </c>
      <c r="D1318" s="8">
        <v>33537.599999999999</v>
      </c>
      <c r="E1318" s="9" t="s">
        <v>16</v>
      </c>
      <c r="F1318" s="10">
        <v>60</v>
      </c>
      <c r="G1318" s="25"/>
      <c r="H1318" s="14">
        <f t="shared" si="1314"/>
        <v>0.55000000000000004</v>
      </c>
      <c r="I1318" s="25">
        <f ca="1">IFERROR(__xludf.DUMMYFUNCTION("ROUND(D1318*GOOGLEFINANCE(""RUBKZT"")*H1318)"),143941)</f>
        <v>143941</v>
      </c>
      <c r="J1318" s="26">
        <f ca="1">IFERROR(__xludf.DUMMYFUNCTION("ROUND(I1318*GOOGLEFINANCE(""KZTEUR""))"),301)</f>
        <v>301</v>
      </c>
      <c r="K1318" s="26">
        <f t="shared" ca="1" si="1315"/>
        <v>5017</v>
      </c>
      <c r="L1318" s="26">
        <f t="shared" ca="1" si="1316"/>
        <v>953.23</v>
      </c>
      <c r="M1318" s="26">
        <f t="shared" ref="M1318:N1318" si="1358">M$3</f>
        <v>500</v>
      </c>
      <c r="N1318" s="26">
        <f t="shared" si="1358"/>
        <v>500</v>
      </c>
      <c r="O1318" s="26">
        <f ca="1">IFERROR(__xludf.DUMMYFUNCTION("ROUND(GOOGLEFINANCE(""Currency:EURKZT"")*K1318)"),2395967)</f>
        <v>2395967</v>
      </c>
      <c r="P1318" s="26">
        <f ca="1">IFERROR(__xludf.DUMMYFUNCTION("ROUND(GOOGLEFINANCE(""Currency:EURKZT"")*M1318)"),238785)</f>
        <v>238785</v>
      </c>
      <c r="Q1318" s="26">
        <f ca="1">IFERROR(__xludf.DUMMYFUNCTION("ROUND(GOOGLEFINANCE(""Currency:EURKZT"")*N1318)"),238785)</f>
        <v>238785</v>
      </c>
      <c r="R1318" s="26">
        <f t="shared" ca="1" si="1318"/>
        <v>287516</v>
      </c>
      <c r="S1318" s="26">
        <f t="shared" ca="1" si="1319"/>
        <v>3161053</v>
      </c>
      <c r="T1318" s="26">
        <f ca="1">IFERROR(__xludf.DUMMYFUNCTION("ROUND(GOOGLEFINANCE(""Currency:EURKZT"")*L1318+S1318)"),3616287)</f>
        <v>3616287</v>
      </c>
      <c r="U1318" s="26">
        <f ca="1">IFERROR(__xludf.DUMMYFUNCTION("D1318*GOOGLEFINANCE(""RUBKZT"")*1000/F1318"),4361857.13335392)</f>
        <v>4361857.1333539197</v>
      </c>
      <c r="V1318" s="27">
        <f t="shared" ca="1" si="1320"/>
        <v>0.20617006707540628</v>
      </c>
    </row>
    <row r="1319" spans="1:22" ht="12.75" customHeight="1" x14ac:dyDescent="0.2">
      <c r="A1319" s="6" t="s">
        <v>592</v>
      </c>
      <c r="B1319" s="6" t="s">
        <v>6</v>
      </c>
      <c r="C1319" s="7">
        <v>214072</v>
      </c>
      <c r="D1319" s="8">
        <v>35492.400000000001</v>
      </c>
      <c r="E1319" s="9" t="s">
        <v>16</v>
      </c>
      <c r="F1319" s="10">
        <v>60</v>
      </c>
      <c r="G1319" s="25"/>
      <c r="H1319" s="14">
        <f t="shared" si="1314"/>
        <v>0.55000000000000004</v>
      </c>
      <c r="I1319" s="25">
        <f ca="1">IFERROR(__xludf.DUMMYFUNCTION("ROUND(D1319*GOOGLEFINANCE(""RUBKZT"")*H1319)"),152331)</f>
        <v>152331</v>
      </c>
      <c r="J1319" s="26">
        <f ca="1">IFERROR(__xludf.DUMMYFUNCTION("ROUND(I1319*GOOGLEFINANCE(""KZTEUR""))"),319)</f>
        <v>319</v>
      </c>
      <c r="K1319" s="26">
        <f t="shared" ca="1" si="1315"/>
        <v>5317</v>
      </c>
      <c r="L1319" s="26">
        <f t="shared" ca="1" si="1316"/>
        <v>1010.23</v>
      </c>
      <c r="M1319" s="26">
        <f t="shared" ref="M1319:N1319" si="1359">M$3</f>
        <v>500</v>
      </c>
      <c r="N1319" s="26">
        <f t="shared" si="1359"/>
        <v>500</v>
      </c>
      <c r="O1319" s="26">
        <f ca="1">IFERROR(__xludf.DUMMYFUNCTION("ROUND(GOOGLEFINANCE(""Currency:EURKZT"")*K1319)"),2539238)</f>
        <v>2539238</v>
      </c>
      <c r="P1319" s="26">
        <f ca="1">IFERROR(__xludf.DUMMYFUNCTION("ROUND(GOOGLEFINANCE(""Currency:EURKZT"")*M1319)"),238785)</f>
        <v>238785</v>
      </c>
      <c r="Q1319" s="26">
        <f ca="1">IFERROR(__xludf.DUMMYFUNCTION("ROUND(GOOGLEFINANCE(""Currency:EURKZT"")*N1319)"),238785)</f>
        <v>238785</v>
      </c>
      <c r="R1319" s="26">
        <f t="shared" ca="1" si="1318"/>
        <v>304709</v>
      </c>
      <c r="S1319" s="26">
        <f t="shared" ca="1" si="1319"/>
        <v>3321517</v>
      </c>
      <c r="T1319" s="26">
        <f ca="1">IFERROR(__xludf.DUMMYFUNCTION("ROUND(GOOGLEFINANCE(""Currency:EURKZT"")*L1319+S1319)"),3803972)</f>
        <v>3803972</v>
      </c>
      <c r="U1319" s="26">
        <f ca="1">IFERROR(__xludf.DUMMYFUNCTION("D1319*GOOGLEFINANCE(""RUBKZT"")*1000/F1319"),4616095.90787208)</f>
        <v>4616095.9078720799</v>
      </c>
      <c r="V1319" s="27">
        <f t="shared" ca="1" si="1320"/>
        <v>0.2134936608029922</v>
      </c>
    </row>
    <row r="1320" spans="1:22" ht="12.75" customHeight="1" x14ac:dyDescent="0.2">
      <c r="A1320" s="6" t="s">
        <v>593</v>
      </c>
      <c r="B1320" s="6" t="s">
        <v>6</v>
      </c>
      <c r="C1320" s="7">
        <v>214074</v>
      </c>
      <c r="D1320" s="8">
        <v>99469.2</v>
      </c>
      <c r="E1320" s="9" t="s">
        <v>16</v>
      </c>
      <c r="F1320" s="10">
        <v>60</v>
      </c>
      <c r="G1320" s="25"/>
      <c r="H1320" s="14">
        <f t="shared" si="1314"/>
        <v>0.55000000000000004</v>
      </c>
      <c r="I1320" s="25">
        <f ca="1">IFERROR(__xludf.DUMMYFUNCTION("ROUND(D1320*GOOGLEFINANCE(""RUBKZT"")*H1320)"),426916)</f>
        <v>426916</v>
      </c>
      <c r="J1320" s="26">
        <f ca="1">IFERROR(__xludf.DUMMYFUNCTION("ROUND(I1320*GOOGLEFINANCE(""KZTEUR""))"),894)</f>
        <v>894</v>
      </c>
      <c r="K1320" s="26">
        <f t="shared" ca="1" si="1315"/>
        <v>14900</v>
      </c>
      <c r="L1320" s="26">
        <f t="shared" ca="1" si="1316"/>
        <v>2831</v>
      </c>
      <c r="M1320" s="26">
        <f t="shared" ref="M1320:N1320" si="1360">M$3</f>
        <v>500</v>
      </c>
      <c r="N1320" s="26">
        <f t="shared" si="1360"/>
        <v>500</v>
      </c>
      <c r="O1320" s="26">
        <f ca="1">IFERROR(__xludf.DUMMYFUNCTION("ROUND(GOOGLEFINANCE(""Currency:EURKZT"")*K1320)"),7115787)</f>
        <v>7115787</v>
      </c>
      <c r="P1320" s="26">
        <f ca="1">IFERROR(__xludf.DUMMYFUNCTION("ROUND(GOOGLEFINANCE(""Currency:EURKZT"")*M1320)"),238785)</f>
        <v>238785</v>
      </c>
      <c r="Q1320" s="26">
        <f ca="1">IFERROR(__xludf.DUMMYFUNCTION("ROUND(GOOGLEFINANCE(""Currency:EURKZT"")*N1320)"),238785)</f>
        <v>238785</v>
      </c>
      <c r="R1320" s="26">
        <f t="shared" ca="1" si="1318"/>
        <v>853894</v>
      </c>
      <c r="S1320" s="26">
        <f t="shared" ca="1" si="1319"/>
        <v>8447251</v>
      </c>
      <c r="T1320" s="26">
        <f ca="1">IFERROR(__xludf.DUMMYFUNCTION("ROUND(GOOGLEFINANCE(""Currency:EURKZT"")*L1320+S1320)"),9799251)</f>
        <v>9799251</v>
      </c>
      <c r="U1320" s="26">
        <f ca="1">IFERROR(__xludf.DUMMYFUNCTION("D1320*GOOGLEFINANCE(""RUBKZT"")*1000/F1320"),12936836.2545026)</f>
        <v>12936836.2545026</v>
      </c>
      <c r="V1320" s="27">
        <f t="shared" ca="1" si="1320"/>
        <v>0.32018623203983654</v>
      </c>
    </row>
    <row r="1321" spans="1:22" ht="12.75" customHeight="1" x14ac:dyDescent="0.2">
      <c r="A1321" s="6" t="s">
        <v>598</v>
      </c>
      <c r="B1321" s="6" t="s">
        <v>6</v>
      </c>
      <c r="C1321" s="7">
        <v>214089</v>
      </c>
      <c r="D1321" s="8">
        <v>27313.200000000001</v>
      </c>
      <c r="E1321" s="9" t="s">
        <v>16</v>
      </c>
      <c r="F1321" s="10">
        <v>60</v>
      </c>
      <c r="G1321" s="25"/>
      <c r="H1321" s="14">
        <f t="shared" si="1314"/>
        <v>0.55000000000000004</v>
      </c>
      <c r="I1321" s="25">
        <f ca="1">IFERROR(__xludf.DUMMYFUNCTION("ROUND(D1321*GOOGLEFINANCE(""RUBKZT"")*H1321)"),117227)</f>
        <v>117227</v>
      </c>
      <c r="J1321" s="26">
        <f ca="1">IFERROR(__xludf.DUMMYFUNCTION("ROUND(I1321*GOOGLEFINANCE(""KZTEUR""))"),246)</f>
        <v>246</v>
      </c>
      <c r="K1321" s="26">
        <f t="shared" ca="1" si="1315"/>
        <v>4100</v>
      </c>
      <c r="L1321" s="26">
        <f t="shared" ca="1" si="1316"/>
        <v>779</v>
      </c>
      <c r="M1321" s="26">
        <f t="shared" ref="M1321:N1321" si="1361">M$3</f>
        <v>500</v>
      </c>
      <c r="N1321" s="26">
        <f t="shared" si="1361"/>
        <v>500</v>
      </c>
      <c r="O1321" s="26">
        <f ca="1">IFERROR(__xludf.DUMMYFUNCTION("ROUND(GOOGLEFINANCE(""Currency:EURKZT"")*K1321)"),1958035)</f>
        <v>1958035</v>
      </c>
      <c r="P1321" s="26">
        <f ca="1">IFERROR(__xludf.DUMMYFUNCTION("ROUND(GOOGLEFINANCE(""Currency:EURKZT"")*M1321)"),238785)</f>
        <v>238785</v>
      </c>
      <c r="Q1321" s="26">
        <f ca="1">IFERROR(__xludf.DUMMYFUNCTION("ROUND(GOOGLEFINANCE(""Currency:EURKZT"")*N1321)"),238785)</f>
        <v>238785</v>
      </c>
      <c r="R1321" s="26">
        <f t="shared" ca="1" si="1318"/>
        <v>234964</v>
      </c>
      <c r="S1321" s="26">
        <f t="shared" ca="1" si="1319"/>
        <v>2670569</v>
      </c>
      <c r="T1321" s="26">
        <f ca="1">IFERROR(__xludf.DUMMYFUNCTION("ROUND(GOOGLEFINANCE(""Currency:EURKZT"")*L1321+S1321)"),3042596)</f>
        <v>3042596</v>
      </c>
      <c r="U1321" s="26">
        <f ca="1">IFERROR(__xludf.DUMMYFUNCTION("D1321*GOOGLEFINANCE(""RUBKZT"")*1000/F1321"),3552319.67268744)</f>
        <v>3552319.6726874402</v>
      </c>
      <c r="V1321" s="27">
        <f t="shared" ca="1" si="1320"/>
        <v>0.16752919963328688</v>
      </c>
    </row>
    <row r="1322" spans="1:22" ht="12.75" customHeight="1" x14ac:dyDescent="0.2">
      <c r="A1322" s="6" t="s">
        <v>596</v>
      </c>
      <c r="B1322" s="6" t="s">
        <v>6</v>
      </c>
      <c r="C1322" s="7">
        <v>214100</v>
      </c>
      <c r="D1322" s="8">
        <v>33355.199999999997</v>
      </c>
      <c r="E1322" s="9" t="s">
        <v>16</v>
      </c>
      <c r="F1322" s="10">
        <v>60</v>
      </c>
      <c r="G1322" s="25"/>
      <c r="H1322" s="14">
        <f t="shared" si="1314"/>
        <v>0.55000000000000004</v>
      </c>
      <c r="I1322" s="25">
        <f ca="1">IFERROR(__xludf.DUMMYFUNCTION("ROUND(D1322*GOOGLEFINANCE(""RUBKZT"")*H1322)"),143158)</f>
        <v>143158</v>
      </c>
      <c r="J1322" s="26">
        <f ca="1">IFERROR(__xludf.DUMMYFUNCTION("ROUND(I1322*GOOGLEFINANCE(""KZTEUR""))"),300)</f>
        <v>300</v>
      </c>
      <c r="K1322" s="26">
        <f t="shared" ca="1" si="1315"/>
        <v>5000</v>
      </c>
      <c r="L1322" s="26">
        <f t="shared" ca="1" si="1316"/>
        <v>950</v>
      </c>
      <c r="M1322" s="26">
        <f t="shared" ref="M1322:N1322" si="1362">M$3</f>
        <v>500</v>
      </c>
      <c r="N1322" s="26">
        <f t="shared" si="1362"/>
        <v>500</v>
      </c>
      <c r="O1322" s="26">
        <f ca="1">IFERROR(__xludf.DUMMYFUNCTION("ROUND(GOOGLEFINANCE(""Currency:EURKZT"")*K1322)"),2387848)</f>
        <v>2387848</v>
      </c>
      <c r="P1322" s="26">
        <f ca="1">IFERROR(__xludf.DUMMYFUNCTION("ROUND(GOOGLEFINANCE(""Currency:EURKZT"")*M1322)"),238785)</f>
        <v>238785</v>
      </c>
      <c r="Q1322" s="26">
        <f ca="1">IFERROR(__xludf.DUMMYFUNCTION("ROUND(GOOGLEFINANCE(""Currency:EURKZT"")*N1322)"),238785)</f>
        <v>238785</v>
      </c>
      <c r="R1322" s="26">
        <f t="shared" ca="1" si="1318"/>
        <v>286542</v>
      </c>
      <c r="S1322" s="26">
        <f t="shared" ca="1" si="1319"/>
        <v>3151960</v>
      </c>
      <c r="T1322" s="26">
        <f ca="1">IFERROR(__xludf.DUMMYFUNCTION("ROUND(GOOGLEFINANCE(""Currency:EURKZT"")*L1322+S1322)"),3605651)</f>
        <v>3605651</v>
      </c>
      <c r="U1322" s="26">
        <f ca="1">IFERROR(__xludf.DUMMYFUNCTION("D1322*GOOGLEFINANCE(""RUBKZT"")*1000/F1322"),4338134.42388383)</f>
        <v>4338134.4238838302</v>
      </c>
      <c r="V1322" s="27">
        <f t="shared" ca="1" si="1320"/>
        <v>0.20314873066856171</v>
      </c>
    </row>
    <row r="1323" spans="1:22" ht="12.75" customHeight="1" x14ac:dyDescent="0.2">
      <c r="A1323" s="6" t="s">
        <v>607</v>
      </c>
      <c r="B1323" s="6" t="s">
        <v>6</v>
      </c>
      <c r="C1323" s="7">
        <v>214133</v>
      </c>
      <c r="D1323" s="8">
        <v>53272.799999999996</v>
      </c>
      <c r="E1323" s="9" t="s">
        <v>16</v>
      </c>
      <c r="F1323" s="10">
        <v>60</v>
      </c>
      <c r="G1323" s="25"/>
      <c r="H1323" s="14">
        <f t="shared" si="1314"/>
        <v>0.55000000000000004</v>
      </c>
      <c r="I1323" s="25">
        <f ca="1">IFERROR(__xludf.DUMMYFUNCTION("ROUND(D1323*GOOGLEFINANCE(""RUBKZT"")*H1323)"),228644)</f>
        <v>228644</v>
      </c>
      <c r="J1323" s="26">
        <f ca="1">IFERROR(__xludf.DUMMYFUNCTION("ROUND(I1323*GOOGLEFINANCE(""KZTEUR""))"),479)</f>
        <v>479</v>
      </c>
      <c r="K1323" s="26">
        <f t="shared" ca="1" si="1315"/>
        <v>7983</v>
      </c>
      <c r="L1323" s="26">
        <f t="shared" ca="1" si="1316"/>
        <v>1516.77</v>
      </c>
      <c r="M1323" s="26">
        <f t="shared" ref="M1323:N1323" si="1363">M$3</f>
        <v>500</v>
      </c>
      <c r="N1323" s="26">
        <f t="shared" si="1363"/>
        <v>500</v>
      </c>
      <c r="O1323" s="26">
        <f ca="1">IFERROR(__xludf.DUMMYFUNCTION("ROUND(GOOGLEFINANCE(""Currency:EURKZT"")*K1323)"),3812438)</f>
        <v>3812438</v>
      </c>
      <c r="P1323" s="26">
        <f ca="1">IFERROR(__xludf.DUMMYFUNCTION("ROUND(GOOGLEFINANCE(""Currency:EURKZT"")*M1323)"),238785)</f>
        <v>238785</v>
      </c>
      <c r="Q1323" s="26">
        <f ca="1">IFERROR(__xludf.DUMMYFUNCTION("ROUND(GOOGLEFINANCE(""Currency:EURKZT"")*N1323)"),238785)</f>
        <v>238785</v>
      </c>
      <c r="R1323" s="26">
        <f t="shared" ca="1" si="1318"/>
        <v>457493</v>
      </c>
      <c r="S1323" s="26">
        <f t="shared" ca="1" si="1319"/>
        <v>4747501</v>
      </c>
      <c r="T1323" s="26">
        <f ca="1">IFERROR(__xludf.DUMMYFUNCTION("ROUND(GOOGLEFINANCE(""Currency:EURKZT"")*L1323+S1323)"),5471864)</f>
        <v>5471864</v>
      </c>
      <c r="U1323" s="26">
        <f ca="1">IFERROR(__xludf.DUMMYFUNCTION("D1323*GOOGLEFINANCE(""RUBKZT"")*1000/F1323"),6928591.86983375)</f>
        <v>6928591.8698337497</v>
      </c>
      <c r="V1323" s="27">
        <f t="shared" ca="1" si="1320"/>
        <v>0.26622150510936488</v>
      </c>
    </row>
    <row r="1324" spans="1:22" ht="12.75" customHeight="1" x14ac:dyDescent="0.2">
      <c r="A1324" s="6" t="s">
        <v>610</v>
      </c>
      <c r="B1324" s="6" t="s">
        <v>6</v>
      </c>
      <c r="C1324" s="7">
        <v>214147</v>
      </c>
      <c r="D1324" s="8">
        <v>56108.4</v>
      </c>
      <c r="E1324" s="9" t="s">
        <v>16</v>
      </c>
      <c r="F1324" s="10">
        <v>60</v>
      </c>
      <c r="G1324" s="25"/>
      <c r="H1324" s="14">
        <f t="shared" si="1314"/>
        <v>0.55000000000000004</v>
      </c>
      <c r="I1324" s="25">
        <f ca="1">IFERROR(__xludf.DUMMYFUNCTION("ROUND(D1324*GOOGLEFINANCE(""RUBKZT"")*H1324)"),240814)</f>
        <v>240814</v>
      </c>
      <c r="J1324" s="26">
        <f ca="1">IFERROR(__xludf.DUMMYFUNCTION("ROUND(I1324*GOOGLEFINANCE(""KZTEUR""))"),504)</f>
        <v>504</v>
      </c>
      <c r="K1324" s="26">
        <f t="shared" ca="1" si="1315"/>
        <v>8400</v>
      </c>
      <c r="L1324" s="26">
        <f t="shared" ca="1" si="1316"/>
        <v>1596</v>
      </c>
      <c r="M1324" s="26">
        <f t="shared" ref="M1324:N1324" si="1364">M$3</f>
        <v>500</v>
      </c>
      <c r="N1324" s="26">
        <f t="shared" si="1364"/>
        <v>500</v>
      </c>
      <c r="O1324" s="26">
        <f ca="1">IFERROR(__xludf.DUMMYFUNCTION("ROUND(GOOGLEFINANCE(""Currency:EURKZT"")*K1324)"),4011585)</f>
        <v>4011585</v>
      </c>
      <c r="P1324" s="26">
        <f ca="1">IFERROR(__xludf.DUMMYFUNCTION("ROUND(GOOGLEFINANCE(""Currency:EURKZT"")*M1324)"),238785)</f>
        <v>238785</v>
      </c>
      <c r="Q1324" s="26">
        <f ca="1">IFERROR(__xludf.DUMMYFUNCTION("ROUND(GOOGLEFINANCE(""Currency:EURKZT"")*N1324)"),238785)</f>
        <v>238785</v>
      </c>
      <c r="R1324" s="26">
        <f t="shared" ca="1" si="1318"/>
        <v>481390</v>
      </c>
      <c r="S1324" s="26">
        <f t="shared" ca="1" si="1319"/>
        <v>4970545</v>
      </c>
      <c r="T1324" s="26">
        <f ca="1">IFERROR(__xludf.DUMMYFUNCTION("ROUND(GOOGLEFINANCE(""Currency:EURKZT"")*L1324+S1324)"),5732746)</f>
        <v>5732746</v>
      </c>
      <c r="U1324" s="26">
        <f ca="1">IFERROR(__xludf.DUMMYFUNCTION("D1324*GOOGLEFINANCE(""RUBKZT"")*1000/F1324"),7297386.35981928)</f>
        <v>7297386.35981928</v>
      </c>
      <c r="V1324" s="27">
        <f t="shared" ca="1" si="1320"/>
        <v>0.27293034783318149</v>
      </c>
    </row>
    <row r="1325" spans="1:22" ht="12.75" customHeight="1" x14ac:dyDescent="0.2">
      <c r="A1325" s="6" t="s">
        <v>616</v>
      </c>
      <c r="B1325" s="6" t="s">
        <v>6</v>
      </c>
      <c r="C1325" s="7">
        <v>214181</v>
      </c>
      <c r="D1325" s="8">
        <v>29058</v>
      </c>
      <c r="E1325" s="9" t="s">
        <v>16</v>
      </c>
      <c r="F1325" s="10">
        <v>60</v>
      </c>
      <c r="G1325" s="25"/>
      <c r="H1325" s="14">
        <f t="shared" si="1314"/>
        <v>0.55000000000000004</v>
      </c>
      <c r="I1325" s="25">
        <f ca="1">IFERROR(__xludf.DUMMYFUNCTION("ROUND(D1325*GOOGLEFINANCE(""RUBKZT"")*H1325)"),124715)</f>
        <v>124715</v>
      </c>
      <c r="J1325" s="26">
        <f ca="1">IFERROR(__xludf.DUMMYFUNCTION("ROUND(I1325*GOOGLEFINANCE(""KZTEUR""))"),261)</f>
        <v>261</v>
      </c>
      <c r="K1325" s="26">
        <f t="shared" ca="1" si="1315"/>
        <v>4350</v>
      </c>
      <c r="L1325" s="26">
        <f t="shared" ca="1" si="1316"/>
        <v>826.5</v>
      </c>
      <c r="M1325" s="26">
        <f t="shared" ref="M1325:N1325" si="1365">M$3</f>
        <v>500</v>
      </c>
      <c r="N1325" s="26">
        <f t="shared" si="1365"/>
        <v>500</v>
      </c>
      <c r="O1325" s="26">
        <f ca="1">IFERROR(__xludf.DUMMYFUNCTION("ROUND(GOOGLEFINANCE(""Currency:EURKZT"")*K1325)"),2077428)</f>
        <v>2077428</v>
      </c>
      <c r="P1325" s="26">
        <f ca="1">IFERROR(__xludf.DUMMYFUNCTION("ROUND(GOOGLEFINANCE(""Currency:EURKZT"")*M1325)"),238785)</f>
        <v>238785</v>
      </c>
      <c r="Q1325" s="26">
        <f ca="1">IFERROR(__xludf.DUMMYFUNCTION("ROUND(GOOGLEFINANCE(""Currency:EURKZT"")*N1325)"),238785)</f>
        <v>238785</v>
      </c>
      <c r="R1325" s="26">
        <f t="shared" ca="1" si="1318"/>
        <v>249291</v>
      </c>
      <c r="S1325" s="26">
        <f t="shared" ca="1" si="1319"/>
        <v>2804289</v>
      </c>
      <c r="T1325" s="26">
        <f ca="1">IFERROR(__xludf.DUMMYFUNCTION("ROUND(GOOGLEFINANCE(""Currency:EURKZT"")*L1325+S1325)"),3199000)</f>
        <v>3199000</v>
      </c>
      <c r="U1325" s="26">
        <f ca="1">IFERROR(__xludf.DUMMYFUNCTION("D1325*GOOGLEFINANCE(""RUBKZT"")*1000/F1325"),3779246.1172236)</f>
        <v>3779246.1172235999</v>
      </c>
      <c r="V1325" s="27">
        <f t="shared" ca="1" si="1320"/>
        <v>0.18138359400550169</v>
      </c>
    </row>
    <row r="1326" spans="1:22" ht="12.75" customHeight="1" x14ac:dyDescent="0.2">
      <c r="A1326" s="6" t="s">
        <v>519</v>
      </c>
      <c r="B1326" s="6" t="s">
        <v>6</v>
      </c>
      <c r="C1326" s="7">
        <v>214189</v>
      </c>
      <c r="D1326" s="8">
        <v>41091.599999999999</v>
      </c>
      <c r="E1326" s="9" t="s">
        <v>16</v>
      </c>
      <c r="F1326" s="10">
        <v>60</v>
      </c>
      <c r="G1326" s="25"/>
      <c r="H1326" s="14">
        <f t="shared" si="1314"/>
        <v>0.55000000000000004</v>
      </c>
      <c r="I1326" s="25">
        <f ca="1">IFERROR(__xludf.DUMMYFUNCTION("ROUND(D1326*GOOGLEFINANCE(""RUBKZT"")*H1326)"),176363)</f>
        <v>176363</v>
      </c>
      <c r="J1326" s="26">
        <f ca="1">IFERROR(__xludf.DUMMYFUNCTION("ROUND(I1326*GOOGLEFINANCE(""KZTEUR""))"),369)</f>
        <v>369</v>
      </c>
      <c r="K1326" s="26">
        <f t="shared" ca="1" si="1315"/>
        <v>6150</v>
      </c>
      <c r="L1326" s="26">
        <f t="shared" ca="1" si="1316"/>
        <v>1168.5</v>
      </c>
      <c r="M1326" s="26">
        <f t="shared" ref="M1326:N1326" si="1366">M$3</f>
        <v>500</v>
      </c>
      <c r="N1326" s="26">
        <f t="shared" si="1366"/>
        <v>500</v>
      </c>
      <c r="O1326" s="26">
        <f ca="1">IFERROR(__xludf.DUMMYFUNCTION("ROUND(GOOGLEFINANCE(""Currency:EURKZT"")*K1326)"),2937053)</f>
        <v>2937053</v>
      </c>
      <c r="P1326" s="26">
        <f ca="1">IFERROR(__xludf.DUMMYFUNCTION("ROUND(GOOGLEFINANCE(""Currency:EURKZT"")*M1326)"),238785)</f>
        <v>238785</v>
      </c>
      <c r="Q1326" s="26">
        <f ca="1">IFERROR(__xludf.DUMMYFUNCTION("ROUND(GOOGLEFINANCE(""Currency:EURKZT"")*N1326)"),238785)</f>
        <v>238785</v>
      </c>
      <c r="R1326" s="26">
        <f t="shared" ca="1" si="1318"/>
        <v>352446</v>
      </c>
      <c r="S1326" s="26">
        <f t="shared" ca="1" si="1319"/>
        <v>3767069</v>
      </c>
      <c r="T1326" s="26">
        <f ca="1">IFERROR(__xludf.DUMMYFUNCTION("ROUND(GOOGLEFINANCE(""Currency:EURKZT"")*L1326+S1326)"),4325109)</f>
        <v>4325109</v>
      </c>
      <c r="U1326" s="26">
        <f ca="1">IFERROR(__xludf.DUMMYFUNCTION("D1326*GOOGLEFINANCE(""RUBKZT"")*1000/F1326"),5344320.66042071)</f>
        <v>5344320.6604207102</v>
      </c>
      <c r="V1326" s="27">
        <f t="shared" ca="1" si="1320"/>
        <v>0.23564993631853215</v>
      </c>
    </row>
    <row r="1327" spans="1:22" ht="12.75" customHeight="1" x14ac:dyDescent="0.2">
      <c r="A1327" s="6" t="s">
        <v>622</v>
      </c>
      <c r="B1327" s="6" t="s">
        <v>6</v>
      </c>
      <c r="C1327" s="7">
        <v>214246</v>
      </c>
      <c r="D1327" s="8">
        <v>31382.399999999998</v>
      </c>
      <c r="E1327" s="9" t="s">
        <v>16</v>
      </c>
      <c r="F1327" s="10">
        <v>60</v>
      </c>
      <c r="G1327" s="25"/>
      <c r="H1327" s="14">
        <f t="shared" si="1314"/>
        <v>0.55000000000000004</v>
      </c>
      <c r="I1327" s="25">
        <f ca="1">IFERROR(__xludf.DUMMYFUNCTION("ROUND(D1327*GOOGLEFINANCE(""RUBKZT"")*H1327)"),134691)</f>
        <v>134691</v>
      </c>
      <c r="J1327" s="26">
        <f ca="1">IFERROR(__xludf.DUMMYFUNCTION("ROUND(I1327*GOOGLEFINANCE(""KZTEUR""))"),282)</f>
        <v>282</v>
      </c>
      <c r="K1327" s="26">
        <f t="shared" ca="1" si="1315"/>
        <v>4700</v>
      </c>
      <c r="L1327" s="26">
        <f t="shared" ca="1" si="1316"/>
        <v>893</v>
      </c>
      <c r="M1327" s="26">
        <f t="shared" ref="M1327:N1327" si="1367">M$3</f>
        <v>500</v>
      </c>
      <c r="N1327" s="26">
        <f t="shared" si="1367"/>
        <v>500</v>
      </c>
      <c r="O1327" s="26">
        <f ca="1">IFERROR(__xludf.DUMMYFUNCTION("ROUND(GOOGLEFINANCE(""Currency:EURKZT"")*K1327)"),2244577)</f>
        <v>2244577</v>
      </c>
      <c r="P1327" s="26">
        <f ca="1">IFERROR(__xludf.DUMMYFUNCTION("ROUND(GOOGLEFINANCE(""Currency:EURKZT"")*M1327)"),238785)</f>
        <v>238785</v>
      </c>
      <c r="Q1327" s="26">
        <f ca="1">IFERROR(__xludf.DUMMYFUNCTION("ROUND(GOOGLEFINANCE(""Currency:EURKZT"")*N1327)"),238785)</f>
        <v>238785</v>
      </c>
      <c r="R1327" s="26">
        <f t="shared" ca="1" si="1318"/>
        <v>269349</v>
      </c>
      <c r="S1327" s="26">
        <f t="shared" ca="1" si="1319"/>
        <v>2991496</v>
      </c>
      <c r="T1327" s="26">
        <f ca="1">IFERROR(__xludf.DUMMYFUNCTION("ROUND(GOOGLEFINANCE(""Currency:EURKZT"")*L1327+S1327)"),3417966)</f>
        <v>3417966</v>
      </c>
      <c r="U1327" s="26">
        <f ca="1">IFERROR(__xludf.DUMMYFUNCTION("D1327*GOOGLEFINANCE(""RUBKZT"")*1000/F1327"),4081554.59251008)</f>
        <v>4081554.59251008</v>
      </c>
      <c r="V1327" s="27">
        <f t="shared" ca="1" si="1320"/>
        <v>0.19414721869968279</v>
      </c>
    </row>
    <row r="1328" spans="1:22" ht="12.75" customHeight="1" x14ac:dyDescent="0.2">
      <c r="A1328" s="6" t="s">
        <v>630</v>
      </c>
      <c r="B1328" s="6" t="s">
        <v>6</v>
      </c>
      <c r="C1328" s="7">
        <v>215819</v>
      </c>
      <c r="D1328" s="8">
        <v>25982.399999999998</v>
      </c>
      <c r="E1328" s="9" t="s">
        <v>7</v>
      </c>
      <c r="F1328" s="10">
        <v>60</v>
      </c>
      <c r="G1328" s="25"/>
      <c r="H1328" s="14">
        <f t="shared" si="1314"/>
        <v>0.55000000000000004</v>
      </c>
      <c r="I1328" s="25">
        <f ca="1">IFERROR(__xludf.DUMMYFUNCTION("ROUND(D1328*GOOGLEFINANCE(""RUBKZT"")*H1328)"),111515)</f>
        <v>111515</v>
      </c>
      <c r="J1328" s="26">
        <f ca="1">IFERROR(__xludf.DUMMYFUNCTION("ROUND(I1328*GOOGLEFINANCE(""KZTEUR""))"),234)</f>
        <v>234</v>
      </c>
      <c r="K1328" s="26">
        <f t="shared" ca="1" si="1315"/>
        <v>3900</v>
      </c>
      <c r="L1328" s="26">
        <f t="shared" ca="1" si="1316"/>
        <v>741</v>
      </c>
      <c r="M1328" s="26">
        <f t="shared" ref="M1328:N1328" si="1368">M$3</f>
        <v>500</v>
      </c>
      <c r="N1328" s="26">
        <f t="shared" si="1368"/>
        <v>500</v>
      </c>
      <c r="O1328" s="26">
        <f ca="1">IFERROR(__xludf.DUMMYFUNCTION("ROUND(GOOGLEFINANCE(""Currency:EURKZT"")*K1328)"),1862521)</f>
        <v>1862521</v>
      </c>
      <c r="P1328" s="26">
        <f ca="1">IFERROR(__xludf.DUMMYFUNCTION("ROUND(GOOGLEFINANCE(""Currency:EURKZT"")*M1328)"),238785)</f>
        <v>238785</v>
      </c>
      <c r="Q1328" s="26">
        <f ca="1">IFERROR(__xludf.DUMMYFUNCTION("ROUND(GOOGLEFINANCE(""Currency:EURKZT"")*N1328)"),238785)</f>
        <v>238785</v>
      </c>
      <c r="R1328" s="26">
        <f t="shared" ca="1" si="1318"/>
        <v>223503</v>
      </c>
      <c r="S1328" s="26">
        <f t="shared" ca="1" si="1319"/>
        <v>2563594</v>
      </c>
      <c r="T1328" s="26">
        <f ca="1">IFERROR(__xludf.DUMMYFUNCTION("ROUND(GOOGLEFINANCE(""Currency:EURKZT"")*L1328+S1328)"),2917473)</f>
        <v>2917473</v>
      </c>
      <c r="U1328" s="26">
        <f ca="1">IFERROR(__xludf.DUMMYFUNCTION("D1328*GOOGLEFINANCE(""RUBKZT"")*1000/F1328"),3379237.53583008)</f>
        <v>3379237.53583008</v>
      </c>
      <c r="V1328" s="27">
        <f t="shared" ca="1" si="1320"/>
        <v>0.15827551303133913</v>
      </c>
    </row>
    <row r="1329" spans="1:22" ht="12.75" customHeight="1" x14ac:dyDescent="0.2">
      <c r="A1329" s="6" t="s">
        <v>632</v>
      </c>
      <c r="B1329" s="6" t="s">
        <v>6</v>
      </c>
      <c r="C1329" s="7">
        <v>215826</v>
      </c>
      <c r="D1329" s="8">
        <v>21678</v>
      </c>
      <c r="E1329" s="9" t="s">
        <v>16</v>
      </c>
      <c r="F1329" s="10">
        <v>60</v>
      </c>
      <c r="G1329" s="25"/>
      <c r="H1329" s="14">
        <f t="shared" si="1314"/>
        <v>0.55000000000000004</v>
      </c>
      <c r="I1329" s="25">
        <f ca="1">IFERROR(__xludf.DUMMYFUNCTION("ROUND(D1329*GOOGLEFINANCE(""RUBKZT"")*H1329)"),93041)</f>
        <v>93041</v>
      </c>
      <c r="J1329" s="26">
        <f ca="1">IFERROR(__xludf.DUMMYFUNCTION("ROUND(I1329*GOOGLEFINANCE(""KZTEUR""))"),195)</f>
        <v>195</v>
      </c>
      <c r="K1329" s="26">
        <f t="shared" ca="1" si="1315"/>
        <v>3250</v>
      </c>
      <c r="L1329" s="26">
        <f t="shared" ca="1" si="1316"/>
        <v>617.5</v>
      </c>
      <c r="M1329" s="26">
        <f t="shared" ref="M1329:N1329" si="1369">M$3</f>
        <v>500</v>
      </c>
      <c r="N1329" s="26">
        <f t="shared" si="1369"/>
        <v>500</v>
      </c>
      <c r="O1329" s="26">
        <f ca="1">IFERROR(__xludf.DUMMYFUNCTION("ROUND(GOOGLEFINANCE(""Currency:EURKZT"")*K1329)"),1552101)</f>
        <v>1552101</v>
      </c>
      <c r="P1329" s="26">
        <f ca="1">IFERROR(__xludf.DUMMYFUNCTION("ROUND(GOOGLEFINANCE(""Currency:EURKZT"")*M1329)"),238785)</f>
        <v>238785</v>
      </c>
      <c r="Q1329" s="26">
        <f ca="1">IFERROR(__xludf.DUMMYFUNCTION("ROUND(GOOGLEFINANCE(""Currency:EURKZT"")*N1329)"),238785)</f>
        <v>238785</v>
      </c>
      <c r="R1329" s="26">
        <f t="shared" ca="1" si="1318"/>
        <v>186252</v>
      </c>
      <c r="S1329" s="26">
        <f t="shared" ca="1" si="1319"/>
        <v>2215923</v>
      </c>
      <c r="T1329" s="26">
        <f ca="1">IFERROR(__xludf.DUMMYFUNCTION("ROUND(GOOGLEFINANCE(""Currency:EURKZT"")*L1329+S1329)"),2510822)</f>
        <v>2510822</v>
      </c>
      <c r="U1329" s="26">
        <f ca="1">IFERROR(__xludf.DUMMYFUNCTION("D1329*GOOGLEFINANCE(""RUBKZT"")*1000/F1329"),2819412.8064276)</f>
        <v>2819412.8064275999</v>
      </c>
      <c r="V1329" s="27">
        <f t="shared" ca="1" si="1320"/>
        <v>0.1229042944611764</v>
      </c>
    </row>
    <row r="1330" spans="1:22" ht="12.75" customHeight="1" x14ac:dyDescent="0.2">
      <c r="A1330" s="6" t="s">
        <v>639</v>
      </c>
      <c r="B1330" s="6" t="s">
        <v>6</v>
      </c>
      <c r="C1330" s="7">
        <v>217711</v>
      </c>
      <c r="D1330" s="8">
        <v>99996</v>
      </c>
      <c r="E1330" s="9" t="s">
        <v>16</v>
      </c>
      <c r="F1330" s="10">
        <v>60</v>
      </c>
      <c r="G1330" s="25"/>
      <c r="H1330" s="14">
        <f t="shared" si="1314"/>
        <v>0.55000000000000004</v>
      </c>
      <c r="I1330" s="25">
        <f ca="1">IFERROR(__xludf.DUMMYFUNCTION("ROUND(D1330*GOOGLEFINANCE(""RUBKZT"")*H1330)"),429177)</f>
        <v>429177</v>
      </c>
      <c r="J1330" s="26">
        <f ca="1">IFERROR(__xludf.DUMMYFUNCTION("ROUND(I1330*GOOGLEFINANCE(""KZTEUR""))"),899)</f>
        <v>899</v>
      </c>
      <c r="K1330" s="26">
        <f t="shared" ca="1" si="1315"/>
        <v>14983</v>
      </c>
      <c r="L1330" s="26">
        <f t="shared" ca="1" si="1316"/>
        <v>2846.77</v>
      </c>
      <c r="M1330" s="26">
        <f t="shared" ref="M1330:N1330" si="1370">M$3</f>
        <v>500</v>
      </c>
      <c r="N1330" s="26">
        <f t="shared" si="1370"/>
        <v>500</v>
      </c>
      <c r="O1330" s="26">
        <f ca="1">IFERROR(__xludf.DUMMYFUNCTION("ROUND(GOOGLEFINANCE(""Currency:EURKZT"")*K1330)"),7155426)</f>
        <v>7155426</v>
      </c>
      <c r="P1330" s="26">
        <f ca="1">IFERROR(__xludf.DUMMYFUNCTION("ROUND(GOOGLEFINANCE(""Currency:EURKZT"")*M1330)"),238785)</f>
        <v>238785</v>
      </c>
      <c r="Q1330" s="26">
        <f ca="1">IFERROR(__xludf.DUMMYFUNCTION("ROUND(GOOGLEFINANCE(""Currency:EURKZT"")*N1330)"),238785)</f>
        <v>238785</v>
      </c>
      <c r="R1330" s="26">
        <f t="shared" ca="1" si="1318"/>
        <v>858651</v>
      </c>
      <c r="S1330" s="26">
        <f t="shared" ca="1" si="1319"/>
        <v>8491647</v>
      </c>
      <c r="T1330" s="26">
        <f ca="1">IFERROR(__xludf.DUMMYFUNCTION("ROUND(GOOGLEFINANCE(""Currency:EURKZT"")*L1330+S1330)"),9851178)</f>
        <v>9851178</v>
      </c>
      <c r="U1330" s="26">
        <f ca="1">IFERROR(__xludf.DUMMYFUNCTION("D1330*GOOGLEFINANCE(""RUBKZT"")*1000/F1330"),13005351.1851432)</f>
        <v>13005351.185143201</v>
      </c>
      <c r="V1330" s="27">
        <f t="shared" ca="1" si="1320"/>
        <v>0.32018233607627439</v>
      </c>
    </row>
    <row r="1331" spans="1:22" ht="12.75" customHeight="1" x14ac:dyDescent="0.2">
      <c r="A1331" s="6" t="s">
        <v>640</v>
      </c>
      <c r="B1331" s="6" t="s">
        <v>6</v>
      </c>
      <c r="C1331" s="7">
        <v>218536</v>
      </c>
      <c r="D1331" s="8">
        <v>41725.199999999997</v>
      </c>
      <c r="E1331" s="9" t="s">
        <v>16</v>
      </c>
      <c r="F1331" s="10">
        <v>60</v>
      </c>
      <c r="G1331" s="25"/>
      <c r="H1331" s="14">
        <f t="shared" si="1314"/>
        <v>0.55000000000000004</v>
      </c>
      <c r="I1331" s="25">
        <f ca="1">IFERROR(__xludf.DUMMYFUNCTION("ROUND(D1331*GOOGLEFINANCE(""RUBKZT"")*H1331)"),179082)</f>
        <v>179082</v>
      </c>
      <c r="J1331" s="26">
        <f ca="1">IFERROR(__xludf.DUMMYFUNCTION("ROUND(I1331*GOOGLEFINANCE(""KZTEUR""))"),375)</f>
        <v>375</v>
      </c>
      <c r="K1331" s="26">
        <f t="shared" ca="1" si="1315"/>
        <v>6250</v>
      </c>
      <c r="L1331" s="26">
        <f t="shared" ca="1" si="1316"/>
        <v>1187.5</v>
      </c>
      <c r="M1331" s="26">
        <f t="shared" ref="M1331:N1331" si="1371">M$3</f>
        <v>500</v>
      </c>
      <c r="N1331" s="26">
        <f t="shared" si="1371"/>
        <v>500</v>
      </c>
      <c r="O1331" s="26">
        <f ca="1">IFERROR(__xludf.DUMMYFUNCTION("ROUND(GOOGLEFINANCE(""Currency:EURKZT"")*K1331)"),2984810)</f>
        <v>2984810</v>
      </c>
      <c r="P1331" s="26">
        <f ca="1">IFERROR(__xludf.DUMMYFUNCTION("ROUND(GOOGLEFINANCE(""Currency:EURKZT"")*M1331)"),238785)</f>
        <v>238785</v>
      </c>
      <c r="Q1331" s="26">
        <f ca="1">IFERROR(__xludf.DUMMYFUNCTION("ROUND(GOOGLEFINANCE(""Currency:EURKZT"")*N1331)"),238785)</f>
        <v>238785</v>
      </c>
      <c r="R1331" s="26">
        <f t="shared" ca="1" si="1318"/>
        <v>358177</v>
      </c>
      <c r="S1331" s="26">
        <f t="shared" ca="1" si="1319"/>
        <v>3820557</v>
      </c>
      <c r="T1331" s="26">
        <f ca="1">IFERROR(__xludf.DUMMYFUNCTION("ROUND(GOOGLEFINANCE(""Currency:EURKZT"")*L1331+S1331)"),4387671)</f>
        <v>4387671</v>
      </c>
      <c r="U1331" s="26">
        <f ca="1">IFERROR(__xludf.DUMMYFUNCTION("D1331*GOOGLEFINANCE(""RUBKZT"")*1000/F1331"),5426725.86173784)</f>
        <v>5426725.8617378399</v>
      </c>
      <c r="V1331" s="27">
        <f t="shared" ca="1" si="1320"/>
        <v>0.23681239129776135</v>
      </c>
    </row>
    <row r="1332" spans="1:22" ht="12.75" customHeight="1" x14ac:dyDescent="0.2">
      <c r="A1332" s="6" t="s">
        <v>642</v>
      </c>
      <c r="B1332" s="6" t="s">
        <v>6</v>
      </c>
      <c r="C1332" s="7">
        <v>223502</v>
      </c>
      <c r="D1332" s="8">
        <v>45518.400000000001</v>
      </c>
      <c r="E1332" s="9" t="s">
        <v>7</v>
      </c>
      <c r="F1332" s="10">
        <v>60</v>
      </c>
      <c r="G1332" s="25"/>
      <c r="H1332" s="14">
        <f t="shared" si="1314"/>
        <v>0.55000000000000004</v>
      </c>
      <c r="I1332" s="25">
        <f ca="1">IFERROR(__xludf.DUMMYFUNCTION("ROUND(D1332*GOOGLEFINANCE(""RUBKZT"")*H1332)"),195362)</f>
        <v>195362</v>
      </c>
      <c r="J1332" s="26">
        <f ca="1">IFERROR(__xludf.DUMMYFUNCTION("ROUND(I1332*GOOGLEFINANCE(""KZTEUR""))"),409)</f>
        <v>409</v>
      </c>
      <c r="K1332" s="26">
        <f t="shared" ca="1" si="1315"/>
        <v>6817</v>
      </c>
      <c r="L1332" s="26">
        <f t="shared" ca="1" si="1316"/>
        <v>1295.23</v>
      </c>
      <c r="M1332" s="26">
        <f t="shared" ref="M1332:N1332" si="1372">M$3</f>
        <v>500</v>
      </c>
      <c r="N1332" s="26">
        <f t="shared" si="1372"/>
        <v>500</v>
      </c>
      <c r="O1332" s="26">
        <f ca="1">IFERROR(__xludf.DUMMYFUNCTION("ROUND(GOOGLEFINANCE(""Currency:EURKZT"")*K1332)"),3255592)</f>
        <v>3255592</v>
      </c>
      <c r="P1332" s="26">
        <f ca="1">IFERROR(__xludf.DUMMYFUNCTION("ROUND(GOOGLEFINANCE(""Currency:EURKZT"")*M1332)"),238785)</f>
        <v>238785</v>
      </c>
      <c r="Q1332" s="26">
        <f ca="1">IFERROR(__xludf.DUMMYFUNCTION("ROUND(GOOGLEFINANCE(""Currency:EURKZT"")*N1332)"),238785)</f>
        <v>238785</v>
      </c>
      <c r="R1332" s="26">
        <f t="shared" ca="1" si="1318"/>
        <v>390671</v>
      </c>
      <c r="S1332" s="26">
        <f t="shared" ca="1" si="1319"/>
        <v>4123833</v>
      </c>
      <c r="T1332" s="26">
        <f ca="1">IFERROR(__xludf.DUMMYFUNCTION("ROUND(GOOGLEFINANCE(""Currency:EURKZT"")*L1332+S1332)"),4742395)</f>
        <v>4742395</v>
      </c>
      <c r="U1332" s="26">
        <f ca="1">IFERROR(__xludf.DUMMYFUNCTION("D1332*GOOGLEFINANCE(""RUBKZT"")*1000/F1332"),5920064.57644128)</f>
        <v>5920064.5764412796</v>
      </c>
      <c r="V1332" s="27">
        <f t="shared" ca="1" si="1320"/>
        <v>0.24832802338086127</v>
      </c>
    </row>
    <row r="1333" spans="1:22" ht="12.75" customHeight="1" x14ac:dyDescent="0.2">
      <c r="A1333" s="6" t="s">
        <v>68</v>
      </c>
      <c r="B1333" s="6" t="s">
        <v>6</v>
      </c>
      <c r="C1333" s="7">
        <v>197078</v>
      </c>
      <c r="D1333" s="8">
        <v>26954.399999999998</v>
      </c>
      <c r="E1333" s="9" t="s">
        <v>16</v>
      </c>
      <c r="F1333" s="10">
        <v>60</v>
      </c>
      <c r="G1333" s="25"/>
      <c r="H1333" s="14">
        <f t="shared" si="1314"/>
        <v>0.55000000000000004</v>
      </c>
      <c r="I1333" s="25">
        <f ca="1">IFERROR(__xludf.DUMMYFUNCTION("ROUND(D1333*GOOGLEFINANCE(""RUBKZT"")*H1333)"),115687)</f>
        <v>115687</v>
      </c>
      <c r="J1333" s="26">
        <f ca="1">IFERROR(__xludf.DUMMYFUNCTION("ROUND(I1333*GOOGLEFINANCE(""KZTEUR""))"),242)</f>
        <v>242</v>
      </c>
      <c r="K1333" s="26">
        <f t="shared" ca="1" si="1315"/>
        <v>4033</v>
      </c>
      <c r="L1333" s="26">
        <f t="shared" ca="1" si="1316"/>
        <v>766.27</v>
      </c>
      <c r="M1333" s="26">
        <f t="shared" ref="M1333:N1333" si="1373">M$3</f>
        <v>500</v>
      </c>
      <c r="N1333" s="26">
        <f t="shared" si="1373"/>
        <v>500</v>
      </c>
      <c r="O1333" s="26">
        <f ca="1">IFERROR(__xludf.DUMMYFUNCTION("ROUND(GOOGLEFINANCE(""Currency:EURKZT"")*K1333)"),1926038)</f>
        <v>1926038</v>
      </c>
      <c r="P1333" s="26">
        <f ca="1">IFERROR(__xludf.DUMMYFUNCTION("ROUND(GOOGLEFINANCE(""Currency:EURKZT"")*M1333)"),238785)</f>
        <v>238785</v>
      </c>
      <c r="Q1333" s="26">
        <f ca="1">IFERROR(__xludf.DUMMYFUNCTION("ROUND(GOOGLEFINANCE(""Currency:EURKZT"")*N1333)"),238785)</f>
        <v>238785</v>
      </c>
      <c r="R1333" s="26">
        <f t="shared" ca="1" si="1318"/>
        <v>231125</v>
      </c>
      <c r="S1333" s="26">
        <f t="shared" ca="1" si="1319"/>
        <v>2634733</v>
      </c>
      <c r="T1333" s="26">
        <f ca="1">IFERROR(__xludf.DUMMYFUNCTION("ROUND(GOOGLEFINANCE(""Currency:EURKZT"")*L1333+S1333)"),3000680)</f>
        <v>3000680</v>
      </c>
      <c r="U1333" s="26">
        <f ca="1">IFERROR(__xludf.DUMMYFUNCTION("D1333*GOOGLEFINANCE(""RUBKZT"")*1000/F1333"),3505654.60603248)</f>
        <v>3505654.60603248</v>
      </c>
      <c r="V1333" s="27">
        <f t="shared" ca="1" si="1320"/>
        <v>0.16828672368679101</v>
      </c>
    </row>
    <row r="1334" spans="1:22" ht="12.75" customHeight="1" x14ac:dyDescent="0.2">
      <c r="A1334" s="6" t="s">
        <v>70</v>
      </c>
      <c r="B1334" s="6" t="s">
        <v>6</v>
      </c>
      <c r="C1334" s="7">
        <v>197102</v>
      </c>
      <c r="D1334" s="8">
        <v>32210.399999999998</v>
      </c>
      <c r="E1334" s="9" t="s">
        <v>16</v>
      </c>
      <c r="F1334" s="10">
        <v>60</v>
      </c>
      <c r="G1334" s="25"/>
      <c r="H1334" s="14">
        <f t="shared" si="1314"/>
        <v>0.55000000000000004</v>
      </c>
      <c r="I1334" s="25">
        <f ca="1">IFERROR(__xludf.DUMMYFUNCTION("ROUND(D1334*GOOGLEFINANCE(""RUBKZT"")*H1334)"),138245)</f>
        <v>138245</v>
      </c>
      <c r="J1334" s="26">
        <f ca="1">IFERROR(__xludf.DUMMYFUNCTION("ROUND(I1334*GOOGLEFINANCE(""KZTEUR""))"),290)</f>
        <v>290</v>
      </c>
      <c r="K1334" s="26">
        <f t="shared" ca="1" si="1315"/>
        <v>4833</v>
      </c>
      <c r="L1334" s="26">
        <f t="shared" ca="1" si="1316"/>
        <v>918.27</v>
      </c>
      <c r="M1334" s="26">
        <f t="shared" ref="M1334:N1334" si="1374">M$3</f>
        <v>500</v>
      </c>
      <c r="N1334" s="26">
        <f t="shared" si="1374"/>
        <v>500</v>
      </c>
      <c r="O1334" s="26">
        <f ca="1">IFERROR(__xludf.DUMMYFUNCTION("ROUND(GOOGLEFINANCE(""Currency:EURKZT"")*K1334)"),2308094)</f>
        <v>2308094</v>
      </c>
      <c r="P1334" s="26">
        <f ca="1">IFERROR(__xludf.DUMMYFUNCTION("ROUND(GOOGLEFINANCE(""Currency:EURKZT"")*M1334)"),238785)</f>
        <v>238785</v>
      </c>
      <c r="Q1334" s="26">
        <f ca="1">IFERROR(__xludf.DUMMYFUNCTION("ROUND(GOOGLEFINANCE(""Currency:EURKZT"")*N1334)"),238785)</f>
        <v>238785</v>
      </c>
      <c r="R1334" s="26">
        <f t="shared" ca="1" si="1318"/>
        <v>276971</v>
      </c>
      <c r="S1334" s="26">
        <f t="shared" ca="1" si="1319"/>
        <v>3062635</v>
      </c>
      <c r="T1334" s="26">
        <f ca="1">IFERROR(__xludf.DUMMYFUNCTION("ROUND(GOOGLEFINANCE(""Currency:EURKZT"")*L1334+S1334)"),3501173)</f>
        <v>3501173</v>
      </c>
      <c r="U1334" s="26">
        <f ca="1">IFERROR(__xludf.DUMMYFUNCTION("D1334*GOOGLEFINANCE(""RUBKZT"")*1000/F1334"),4189243.20786768)</f>
        <v>4189243.2078676801</v>
      </c>
      <c r="V1334" s="27">
        <f t="shared" ca="1" si="1320"/>
        <v>0.19652562380313116</v>
      </c>
    </row>
    <row r="1335" spans="1:22" ht="12.75" customHeight="1" x14ac:dyDescent="0.2">
      <c r="A1335" s="6" t="s">
        <v>217</v>
      </c>
      <c r="B1335" s="6" t="s">
        <v>6</v>
      </c>
      <c r="C1335" s="7">
        <v>197103</v>
      </c>
      <c r="D1335" s="8">
        <v>35736</v>
      </c>
      <c r="E1335" s="9" t="s">
        <v>16</v>
      </c>
      <c r="F1335" s="10">
        <v>60</v>
      </c>
      <c r="G1335" s="25"/>
      <c r="H1335" s="14">
        <f t="shared" si="1314"/>
        <v>0.55000000000000004</v>
      </c>
      <c r="I1335" s="25">
        <f ca="1">IFERROR(__xludf.DUMMYFUNCTION("ROUND(D1335*GOOGLEFINANCE(""RUBKZT"")*H1335)"),153377)</f>
        <v>153377</v>
      </c>
      <c r="J1335" s="26">
        <f ca="1">IFERROR(__xludf.DUMMYFUNCTION("ROUND(I1335*GOOGLEFINANCE(""KZTEUR""))"),321)</f>
        <v>321</v>
      </c>
      <c r="K1335" s="26">
        <f t="shared" ca="1" si="1315"/>
        <v>5350</v>
      </c>
      <c r="L1335" s="26">
        <f t="shared" ca="1" si="1316"/>
        <v>1016.5</v>
      </c>
      <c r="M1335" s="26">
        <f t="shared" ref="M1335:N1335" si="1375">M$3</f>
        <v>500</v>
      </c>
      <c r="N1335" s="26">
        <f t="shared" si="1375"/>
        <v>500</v>
      </c>
      <c r="O1335" s="26">
        <f ca="1">IFERROR(__xludf.DUMMYFUNCTION("ROUND(GOOGLEFINANCE(""Currency:EURKZT"")*K1335)"),2554997)</f>
        <v>2554997</v>
      </c>
      <c r="P1335" s="26">
        <f ca="1">IFERROR(__xludf.DUMMYFUNCTION("ROUND(GOOGLEFINANCE(""Currency:EURKZT"")*M1335)"),238785)</f>
        <v>238785</v>
      </c>
      <c r="Q1335" s="26">
        <f ca="1">IFERROR(__xludf.DUMMYFUNCTION("ROUND(GOOGLEFINANCE(""Currency:EURKZT"")*N1335)"),238785)</f>
        <v>238785</v>
      </c>
      <c r="R1335" s="26">
        <f t="shared" ca="1" si="1318"/>
        <v>306600</v>
      </c>
      <c r="S1335" s="26">
        <f t="shared" ca="1" si="1319"/>
        <v>3339167</v>
      </c>
      <c r="T1335" s="26">
        <f ca="1">IFERROR(__xludf.DUMMYFUNCTION("ROUND(GOOGLEFINANCE(""Currency:EURKZT"")*L1335+S1335)"),3824617)</f>
        <v>3824617</v>
      </c>
      <c r="U1335" s="26">
        <f ca="1">IFERROR(__xludf.DUMMYFUNCTION("D1335*GOOGLEFINANCE(""RUBKZT"")*1000/F1335"),4647778.2106512)</f>
        <v>4647778.2106512003</v>
      </c>
      <c r="V1335" s="27">
        <f t="shared" ca="1" si="1320"/>
        <v>0.21522709611215979</v>
      </c>
    </row>
    <row r="1336" spans="1:22" ht="12.75" customHeight="1" x14ac:dyDescent="0.2">
      <c r="A1336" s="6" t="s">
        <v>203</v>
      </c>
      <c r="B1336" s="6" t="s">
        <v>6</v>
      </c>
      <c r="C1336" s="7">
        <v>195326</v>
      </c>
      <c r="D1336" s="8">
        <v>36594</v>
      </c>
      <c r="E1336" s="9" t="s">
        <v>16</v>
      </c>
      <c r="F1336" s="10">
        <v>60</v>
      </c>
      <c r="G1336" s="25"/>
      <c r="H1336" s="14">
        <f t="shared" si="1314"/>
        <v>0.55000000000000004</v>
      </c>
      <c r="I1336" s="25">
        <f ca="1">IFERROR(__xludf.DUMMYFUNCTION("ROUND(D1336*GOOGLEFINANCE(""RUBKZT"")*H1336)"),157059)</f>
        <v>157059</v>
      </c>
      <c r="J1336" s="26">
        <f ca="1">IFERROR(__xludf.DUMMYFUNCTION("ROUND(I1336*GOOGLEFINANCE(""KZTEUR""))"),329)</f>
        <v>329</v>
      </c>
      <c r="K1336" s="26">
        <f t="shared" ca="1" si="1315"/>
        <v>5483</v>
      </c>
      <c r="L1336" s="26">
        <f t="shared" ca="1" si="1316"/>
        <v>1041.77</v>
      </c>
      <c r="M1336" s="26">
        <f t="shared" ref="M1336:N1336" si="1376">M$3</f>
        <v>500</v>
      </c>
      <c r="N1336" s="26">
        <f t="shared" si="1376"/>
        <v>500</v>
      </c>
      <c r="O1336" s="26">
        <f ca="1">IFERROR(__xludf.DUMMYFUNCTION("ROUND(GOOGLEFINANCE(""Currency:EURKZT"")*K1336)"),2618514)</f>
        <v>2618514</v>
      </c>
      <c r="P1336" s="26">
        <f ca="1">IFERROR(__xludf.DUMMYFUNCTION("ROUND(GOOGLEFINANCE(""Currency:EURKZT"")*M1336)"),238785)</f>
        <v>238785</v>
      </c>
      <c r="Q1336" s="26">
        <f ca="1">IFERROR(__xludf.DUMMYFUNCTION("ROUND(GOOGLEFINANCE(""Currency:EURKZT"")*N1336)"),238785)</f>
        <v>238785</v>
      </c>
      <c r="R1336" s="26">
        <f t="shared" ca="1" si="1318"/>
        <v>314222</v>
      </c>
      <c r="S1336" s="26">
        <f t="shared" ca="1" si="1319"/>
        <v>3410306</v>
      </c>
      <c r="T1336" s="26">
        <f ca="1">IFERROR(__xludf.DUMMYFUNCTION("ROUND(GOOGLEFINANCE(""Currency:EURKZT"")*L1336+S1336)"),3907824)</f>
        <v>3907824</v>
      </c>
      <c r="U1336" s="26">
        <f ca="1">IFERROR(__xludf.DUMMYFUNCTION("D1336*GOOGLEFINANCE(""RUBKZT"")*1000/F1336"),4759368.5874348)</f>
        <v>4759368.5874348003</v>
      </c>
      <c r="V1336" s="27">
        <f t="shared" ca="1" si="1320"/>
        <v>0.21790760981937782</v>
      </c>
    </row>
    <row r="1337" spans="1:22" ht="12.75" customHeight="1" x14ac:dyDescent="0.2">
      <c r="A1337" s="6" t="s">
        <v>355</v>
      </c>
      <c r="B1337" s="6" t="s">
        <v>6</v>
      </c>
      <c r="C1337" s="7">
        <v>197100</v>
      </c>
      <c r="D1337" s="8">
        <v>34599.599999999999</v>
      </c>
      <c r="E1337" s="9" t="s">
        <v>7</v>
      </c>
      <c r="F1337" s="10">
        <v>60</v>
      </c>
      <c r="G1337" s="25"/>
      <c r="H1337" s="14">
        <f t="shared" si="1314"/>
        <v>0.55000000000000004</v>
      </c>
      <c r="I1337" s="25">
        <f ca="1">IFERROR(__xludf.DUMMYFUNCTION("ROUND(D1337*GOOGLEFINANCE(""RUBKZT"")*H1337)"),148499)</f>
        <v>148499</v>
      </c>
      <c r="J1337" s="26">
        <f ca="1">IFERROR(__xludf.DUMMYFUNCTION("ROUND(I1337*GOOGLEFINANCE(""KZTEUR""))"),311)</f>
        <v>311</v>
      </c>
      <c r="K1337" s="26">
        <f t="shared" ca="1" si="1315"/>
        <v>5183</v>
      </c>
      <c r="L1337" s="26">
        <f t="shared" ca="1" si="1316"/>
        <v>984.77</v>
      </c>
      <c r="M1337" s="26">
        <f t="shared" ref="M1337:N1337" si="1377">M$3</f>
        <v>500</v>
      </c>
      <c r="N1337" s="26">
        <f t="shared" si="1377"/>
        <v>500</v>
      </c>
      <c r="O1337" s="26">
        <f ca="1">IFERROR(__xludf.DUMMYFUNCTION("ROUND(GOOGLEFINANCE(""Currency:EURKZT"")*K1337)"),2475243)</f>
        <v>2475243</v>
      </c>
      <c r="P1337" s="26">
        <f ca="1">IFERROR(__xludf.DUMMYFUNCTION("ROUND(GOOGLEFINANCE(""Currency:EURKZT"")*M1337)"),238785)</f>
        <v>238785</v>
      </c>
      <c r="Q1337" s="26">
        <f ca="1">IFERROR(__xludf.DUMMYFUNCTION("ROUND(GOOGLEFINANCE(""Currency:EURKZT"")*N1337)"),238785)</f>
        <v>238785</v>
      </c>
      <c r="R1337" s="26">
        <f t="shared" ca="1" si="1318"/>
        <v>297029</v>
      </c>
      <c r="S1337" s="26">
        <f t="shared" ca="1" si="1319"/>
        <v>3249842</v>
      </c>
      <c r="T1337" s="26">
        <f ca="1">IFERROR(__xludf.DUMMYFUNCTION("ROUND(GOOGLEFINANCE(""Currency:EURKZT"")*L1337+S1337)"),3720138)</f>
        <v>3720138</v>
      </c>
      <c r="U1337" s="26">
        <f ca="1">IFERROR(__xludf.DUMMYFUNCTION("D1337*GOOGLEFINANCE(""RUBKZT"")*1000/F1337"),4499979.48783431)</f>
        <v>4499979.4878343102</v>
      </c>
      <c r="V1337" s="27">
        <f t="shared" ca="1" si="1320"/>
        <v>0.20962703207093666</v>
      </c>
    </row>
    <row r="1338" spans="1:22" ht="12.75" customHeight="1" x14ac:dyDescent="0.2">
      <c r="A1338" s="6" t="s">
        <v>356</v>
      </c>
      <c r="B1338" s="6" t="s">
        <v>6</v>
      </c>
      <c r="C1338" s="7">
        <v>197106</v>
      </c>
      <c r="D1338" s="8">
        <v>34366.799999999996</v>
      </c>
      <c r="E1338" s="9" t="s">
        <v>7</v>
      </c>
      <c r="F1338" s="10">
        <v>60</v>
      </c>
      <c r="G1338" s="25"/>
      <c r="H1338" s="14">
        <f t="shared" si="1314"/>
        <v>0.55000000000000004</v>
      </c>
      <c r="I1338" s="25">
        <f ca="1">IFERROR(__xludf.DUMMYFUNCTION("ROUND(D1338*GOOGLEFINANCE(""RUBKZT"")*H1338)"),147500)</f>
        <v>147500</v>
      </c>
      <c r="J1338" s="26">
        <f ca="1">IFERROR(__xludf.DUMMYFUNCTION("ROUND(I1338*GOOGLEFINANCE(""KZTEUR""))"),309)</f>
        <v>309</v>
      </c>
      <c r="K1338" s="26">
        <f t="shared" ca="1" si="1315"/>
        <v>5150</v>
      </c>
      <c r="L1338" s="26">
        <f t="shared" ca="1" si="1316"/>
        <v>978.5</v>
      </c>
      <c r="M1338" s="26">
        <f t="shared" ref="M1338:N1338" si="1378">M$3</f>
        <v>500</v>
      </c>
      <c r="N1338" s="26">
        <f t="shared" si="1378"/>
        <v>500</v>
      </c>
      <c r="O1338" s="26">
        <f ca="1">IFERROR(__xludf.DUMMYFUNCTION("ROUND(GOOGLEFINANCE(""Currency:EURKZT"")*K1338)"),2459484)</f>
        <v>2459484</v>
      </c>
      <c r="P1338" s="26">
        <f ca="1">IFERROR(__xludf.DUMMYFUNCTION("ROUND(GOOGLEFINANCE(""Currency:EURKZT"")*M1338)"),238785)</f>
        <v>238785</v>
      </c>
      <c r="Q1338" s="26">
        <f ca="1">IFERROR(__xludf.DUMMYFUNCTION("ROUND(GOOGLEFINANCE(""Currency:EURKZT"")*N1338)"),238785)</f>
        <v>238785</v>
      </c>
      <c r="R1338" s="26">
        <f t="shared" ca="1" si="1318"/>
        <v>295138</v>
      </c>
      <c r="S1338" s="26">
        <f t="shared" ca="1" si="1319"/>
        <v>3232192</v>
      </c>
      <c r="T1338" s="26">
        <f ca="1">IFERROR(__xludf.DUMMYFUNCTION("ROUND(GOOGLEFINANCE(""Currency:EURKZT"")*L1338+S1338)"),3699494)</f>
        <v>3699494</v>
      </c>
      <c r="U1338" s="26">
        <f ca="1">IFERROR(__xludf.DUMMYFUNCTION("D1338*GOOGLEFINANCE(""RUBKZT"")*1000/F1338"),4469701.81916855)</f>
        <v>4469701.81916855</v>
      </c>
      <c r="V1338" s="27">
        <f t="shared" ca="1" si="1320"/>
        <v>0.20819274721584896</v>
      </c>
    </row>
    <row r="1339" spans="1:22" ht="12.75" customHeight="1" x14ac:dyDescent="0.2">
      <c r="A1339" s="6" t="s">
        <v>358</v>
      </c>
      <c r="B1339" s="6" t="s">
        <v>6</v>
      </c>
      <c r="C1339" s="7">
        <v>197105</v>
      </c>
      <c r="D1339" s="8">
        <v>32991.599999999999</v>
      </c>
      <c r="E1339" s="9" t="s">
        <v>7</v>
      </c>
      <c r="F1339" s="10">
        <v>60</v>
      </c>
      <c r="G1339" s="25"/>
      <c r="H1339" s="14">
        <f t="shared" si="1314"/>
        <v>0.55000000000000004</v>
      </c>
      <c r="I1339" s="25">
        <f ca="1">IFERROR(__xludf.DUMMYFUNCTION("ROUND(D1339*GOOGLEFINANCE(""RUBKZT"")*H1339)"),141598)</f>
        <v>141598</v>
      </c>
      <c r="J1339" s="26">
        <f ca="1">IFERROR(__xludf.DUMMYFUNCTION("ROUND(I1339*GOOGLEFINANCE(""KZTEUR""))"),297)</f>
        <v>297</v>
      </c>
      <c r="K1339" s="26">
        <f t="shared" ca="1" si="1315"/>
        <v>4950</v>
      </c>
      <c r="L1339" s="26">
        <f t="shared" ca="1" si="1316"/>
        <v>940.5</v>
      </c>
      <c r="M1339" s="26">
        <f t="shared" ref="M1339:N1339" si="1379">M$3</f>
        <v>500</v>
      </c>
      <c r="N1339" s="26">
        <f t="shared" si="1379"/>
        <v>500</v>
      </c>
      <c r="O1339" s="26">
        <f ca="1">IFERROR(__xludf.DUMMYFUNCTION("ROUND(GOOGLEFINANCE(""Currency:EURKZT"")*K1339)"),2363970)</f>
        <v>2363970</v>
      </c>
      <c r="P1339" s="26">
        <f ca="1">IFERROR(__xludf.DUMMYFUNCTION("ROUND(GOOGLEFINANCE(""Currency:EURKZT"")*M1339)"),238785)</f>
        <v>238785</v>
      </c>
      <c r="Q1339" s="26">
        <f ca="1">IFERROR(__xludf.DUMMYFUNCTION("ROUND(GOOGLEFINANCE(""Currency:EURKZT"")*N1339)"),238785)</f>
        <v>238785</v>
      </c>
      <c r="R1339" s="26">
        <f t="shared" ca="1" si="1318"/>
        <v>283676</v>
      </c>
      <c r="S1339" s="26">
        <f t="shared" ca="1" si="1319"/>
        <v>3125216</v>
      </c>
      <c r="T1339" s="26">
        <f ca="1">IFERROR(__xludf.DUMMYFUNCTION("ROUND(GOOGLEFINANCE(""Currency:EURKZT"")*L1339+S1339)"),3574370)</f>
        <v>3574370</v>
      </c>
      <c r="U1339" s="26">
        <f ca="1">IFERROR(__xludf.DUMMYFUNCTION("D1339*GOOGLEFINANCE(""RUBKZT"")*1000/F1339"),4290845.07540072)</f>
        <v>4290845.0754007204</v>
      </c>
      <c r="V1339" s="27">
        <f t="shared" ca="1" si="1320"/>
        <v>0.2004479321952457</v>
      </c>
    </row>
    <row r="1340" spans="1:22" ht="12.75" customHeight="1" x14ac:dyDescent="0.2">
      <c r="A1340" s="6" t="s">
        <v>364</v>
      </c>
      <c r="B1340" s="6" t="s">
        <v>6</v>
      </c>
      <c r="C1340" s="7">
        <v>211434</v>
      </c>
      <c r="D1340" s="8">
        <v>35724</v>
      </c>
      <c r="E1340" s="9" t="s">
        <v>7</v>
      </c>
      <c r="F1340" s="10">
        <v>60</v>
      </c>
      <c r="G1340" s="25"/>
      <c r="H1340" s="14">
        <f t="shared" si="1314"/>
        <v>0.55000000000000004</v>
      </c>
      <c r="I1340" s="25">
        <f ca="1">IFERROR(__xludf.DUMMYFUNCTION("ROUND(D1340*GOOGLEFINANCE(""RUBKZT"")*H1340)"),153325)</f>
        <v>153325</v>
      </c>
      <c r="J1340" s="26">
        <f ca="1">IFERROR(__xludf.DUMMYFUNCTION("ROUND(I1340*GOOGLEFINANCE(""KZTEUR""))"),321)</f>
        <v>321</v>
      </c>
      <c r="K1340" s="26">
        <f t="shared" ca="1" si="1315"/>
        <v>5350</v>
      </c>
      <c r="L1340" s="26">
        <f t="shared" ca="1" si="1316"/>
        <v>1016.5</v>
      </c>
      <c r="M1340" s="26">
        <f t="shared" ref="M1340:N1340" si="1380">M$3</f>
        <v>500</v>
      </c>
      <c r="N1340" s="26">
        <f t="shared" si="1380"/>
        <v>500</v>
      </c>
      <c r="O1340" s="26">
        <f ca="1">IFERROR(__xludf.DUMMYFUNCTION("ROUND(GOOGLEFINANCE(""Currency:EURKZT"")*K1340)"),2554997)</f>
        <v>2554997</v>
      </c>
      <c r="P1340" s="26">
        <f ca="1">IFERROR(__xludf.DUMMYFUNCTION("ROUND(GOOGLEFINANCE(""Currency:EURKZT"")*M1340)"),238785)</f>
        <v>238785</v>
      </c>
      <c r="Q1340" s="26">
        <f ca="1">IFERROR(__xludf.DUMMYFUNCTION("ROUND(GOOGLEFINANCE(""Currency:EURKZT"")*N1340)"),238785)</f>
        <v>238785</v>
      </c>
      <c r="R1340" s="26">
        <f t="shared" ca="1" si="1318"/>
        <v>306600</v>
      </c>
      <c r="S1340" s="26">
        <f t="shared" ca="1" si="1319"/>
        <v>3339167</v>
      </c>
      <c r="T1340" s="26">
        <f ca="1">IFERROR(__xludf.DUMMYFUNCTION("ROUND(GOOGLEFINANCE(""Currency:EURKZT"")*L1340+S1340)"),3824617)</f>
        <v>3824617</v>
      </c>
      <c r="U1340" s="26">
        <f ca="1">IFERROR(__xludf.DUMMYFUNCTION("D1340*GOOGLEFINANCE(""RUBKZT"")*1000/F1340"),4646217.5060808)</f>
        <v>4646217.5060807997</v>
      </c>
      <c r="V1340" s="27">
        <f t="shared" ca="1" si="1320"/>
        <v>0.21481902791333085</v>
      </c>
    </row>
    <row r="1341" spans="1:22" ht="12.75" customHeight="1" x14ac:dyDescent="0.2">
      <c r="A1341" s="6" t="s">
        <v>413</v>
      </c>
      <c r="B1341" s="6" t="s">
        <v>6</v>
      </c>
      <c r="C1341" s="7">
        <v>203552</v>
      </c>
      <c r="D1341" s="8">
        <v>23042.399999999998</v>
      </c>
      <c r="E1341" s="9" t="s">
        <v>16</v>
      </c>
      <c r="F1341" s="10">
        <v>60</v>
      </c>
      <c r="G1341" s="25"/>
      <c r="H1341" s="14">
        <f t="shared" si="1314"/>
        <v>0.55000000000000004</v>
      </c>
      <c r="I1341" s="25">
        <f ca="1">IFERROR(__xludf.DUMMYFUNCTION("ROUND(D1341*GOOGLEFINANCE(""RUBKZT"")*H1341)"),98897)</f>
        <v>98897</v>
      </c>
      <c r="J1341" s="26">
        <f ca="1">IFERROR(__xludf.DUMMYFUNCTION("ROUND(I1341*GOOGLEFINANCE(""KZTEUR""))"),207)</f>
        <v>207</v>
      </c>
      <c r="K1341" s="26">
        <f t="shared" ca="1" si="1315"/>
        <v>3450</v>
      </c>
      <c r="L1341" s="26">
        <f t="shared" ca="1" si="1316"/>
        <v>655.5</v>
      </c>
      <c r="M1341" s="26">
        <f t="shared" ref="M1341:N1341" si="1381">M$3</f>
        <v>500</v>
      </c>
      <c r="N1341" s="26">
        <f t="shared" si="1381"/>
        <v>500</v>
      </c>
      <c r="O1341" s="26">
        <f ca="1">IFERROR(__xludf.DUMMYFUNCTION("ROUND(GOOGLEFINANCE(""Currency:EURKZT"")*K1341)"),1647615)</f>
        <v>1647615</v>
      </c>
      <c r="P1341" s="26">
        <f ca="1">IFERROR(__xludf.DUMMYFUNCTION("ROUND(GOOGLEFINANCE(""Currency:EURKZT"")*M1341)"),238785)</f>
        <v>238785</v>
      </c>
      <c r="Q1341" s="26">
        <f ca="1">IFERROR(__xludf.DUMMYFUNCTION("ROUND(GOOGLEFINANCE(""Currency:EURKZT"")*N1341)"),238785)</f>
        <v>238785</v>
      </c>
      <c r="R1341" s="26">
        <f t="shared" ca="1" si="1318"/>
        <v>197714</v>
      </c>
      <c r="S1341" s="26">
        <f t="shared" ca="1" si="1319"/>
        <v>2322899</v>
      </c>
      <c r="T1341" s="26">
        <f ca="1">IFERROR(__xludf.DUMMYFUNCTION("ROUND(GOOGLEFINANCE(""Currency:EURKZT"")*L1341+S1341)"),2635946)</f>
        <v>2635946</v>
      </c>
      <c r="U1341" s="26">
        <f ca="1">IFERROR(__xludf.DUMMYFUNCTION("D1341*GOOGLEFINANCE(""RUBKZT"")*1000/F1341"),2996864.91608207)</f>
        <v>2996864.9160820702</v>
      </c>
      <c r="V1341" s="27">
        <f t="shared" ca="1" si="1320"/>
        <v>0.13692196884233221</v>
      </c>
    </row>
    <row r="1342" spans="1:22" ht="12.75" customHeight="1" x14ac:dyDescent="0.2">
      <c r="A1342" s="6" t="s">
        <v>414</v>
      </c>
      <c r="B1342" s="6" t="s">
        <v>6</v>
      </c>
      <c r="C1342" s="7">
        <v>203558</v>
      </c>
      <c r="D1342" s="8">
        <v>27435.599999999999</v>
      </c>
      <c r="E1342" s="9" t="s">
        <v>16</v>
      </c>
      <c r="F1342" s="10">
        <v>60</v>
      </c>
      <c r="G1342" s="25"/>
      <c r="H1342" s="14">
        <f t="shared" si="1314"/>
        <v>0.55000000000000004</v>
      </c>
      <c r="I1342" s="25">
        <f ca="1">IFERROR(__xludf.DUMMYFUNCTION("ROUND(D1342*GOOGLEFINANCE(""RUBKZT"")*H1342)"),117752)</f>
        <v>117752</v>
      </c>
      <c r="J1342" s="26">
        <f ca="1">IFERROR(__xludf.DUMMYFUNCTION("ROUND(I1342*GOOGLEFINANCE(""KZTEUR""))"),247)</f>
        <v>247</v>
      </c>
      <c r="K1342" s="26">
        <f t="shared" ca="1" si="1315"/>
        <v>4117</v>
      </c>
      <c r="L1342" s="26">
        <f t="shared" ca="1" si="1316"/>
        <v>782.23</v>
      </c>
      <c r="M1342" s="26">
        <f t="shared" ref="M1342:N1342" si="1382">M$3</f>
        <v>500</v>
      </c>
      <c r="N1342" s="26">
        <f t="shared" si="1382"/>
        <v>500</v>
      </c>
      <c r="O1342" s="26">
        <f ca="1">IFERROR(__xludf.DUMMYFUNCTION("ROUND(GOOGLEFINANCE(""Currency:EURKZT"")*K1342)"),1966154)</f>
        <v>1966154</v>
      </c>
      <c r="P1342" s="26">
        <f ca="1">IFERROR(__xludf.DUMMYFUNCTION("ROUND(GOOGLEFINANCE(""Currency:EURKZT"")*M1342)"),238785)</f>
        <v>238785</v>
      </c>
      <c r="Q1342" s="26">
        <f ca="1">IFERROR(__xludf.DUMMYFUNCTION("ROUND(GOOGLEFINANCE(""Currency:EURKZT"")*N1342)"),238785)</f>
        <v>238785</v>
      </c>
      <c r="R1342" s="26">
        <f t="shared" ca="1" si="1318"/>
        <v>235938</v>
      </c>
      <c r="S1342" s="26">
        <f t="shared" ca="1" si="1319"/>
        <v>2679662</v>
      </c>
      <c r="T1342" s="26">
        <f ca="1">IFERROR(__xludf.DUMMYFUNCTION("ROUND(GOOGLEFINANCE(""Currency:EURKZT"")*L1342+S1342)"),3053231)</f>
        <v>3053231</v>
      </c>
      <c r="U1342" s="26">
        <f ca="1">IFERROR(__xludf.DUMMYFUNCTION("D1342*GOOGLEFINANCE(""RUBKZT"")*1000/F1342"),3568238.85930552)</f>
        <v>3568238.8593055201</v>
      </c>
      <c r="V1342" s="27">
        <f t="shared" ca="1" si="1320"/>
        <v>0.16867634951483201</v>
      </c>
    </row>
    <row r="1343" spans="1:22" ht="12.75" customHeight="1" x14ac:dyDescent="0.2">
      <c r="A1343" s="6" t="s">
        <v>415</v>
      </c>
      <c r="B1343" s="6" t="s">
        <v>6</v>
      </c>
      <c r="C1343" s="7">
        <v>203555</v>
      </c>
      <c r="D1343" s="8">
        <v>6957.5999999999995</v>
      </c>
      <c r="E1343" s="9" t="s">
        <v>16</v>
      </c>
      <c r="F1343" s="10">
        <v>60</v>
      </c>
      <c r="G1343" s="25"/>
      <c r="H1343" s="14">
        <f t="shared" si="1314"/>
        <v>0.55000000000000004</v>
      </c>
      <c r="I1343" s="25">
        <f ca="1">IFERROR(__xludf.DUMMYFUNCTION("ROUND(D1343*GOOGLEFINANCE(""RUBKZT"")*H1343)"),29862)</f>
        <v>29862</v>
      </c>
      <c r="J1343" s="26">
        <f ca="1">IFERROR(__xludf.DUMMYFUNCTION("ROUND(I1343*GOOGLEFINANCE(""KZTEUR""))"),63)</f>
        <v>63</v>
      </c>
      <c r="K1343" s="26">
        <f t="shared" ca="1" si="1315"/>
        <v>1050</v>
      </c>
      <c r="L1343" s="26">
        <f t="shared" ca="1" si="1316"/>
        <v>199.5</v>
      </c>
      <c r="M1343" s="26">
        <f t="shared" ref="M1343:N1343" si="1383">M$3</f>
        <v>500</v>
      </c>
      <c r="N1343" s="26">
        <f t="shared" si="1383"/>
        <v>500</v>
      </c>
      <c r="O1343" s="26">
        <f ca="1">IFERROR(__xludf.DUMMYFUNCTION("ROUND(GOOGLEFINANCE(""Currency:EURKZT"")*K1343)"),501448)</f>
        <v>501448</v>
      </c>
      <c r="P1343" s="26">
        <f ca="1">IFERROR(__xludf.DUMMYFUNCTION("ROUND(GOOGLEFINANCE(""Currency:EURKZT"")*M1343)"),238785)</f>
        <v>238785</v>
      </c>
      <c r="Q1343" s="26">
        <f ca="1">IFERROR(__xludf.DUMMYFUNCTION("ROUND(GOOGLEFINANCE(""Currency:EURKZT"")*N1343)"),238785)</f>
        <v>238785</v>
      </c>
      <c r="R1343" s="26">
        <f t="shared" ca="1" si="1318"/>
        <v>60174</v>
      </c>
      <c r="S1343" s="26">
        <f t="shared" ca="1" si="1319"/>
        <v>1039192</v>
      </c>
      <c r="T1343" s="26">
        <f ca="1">IFERROR(__xludf.DUMMYFUNCTION("ROUND(GOOGLEFINANCE(""Currency:EURKZT"")*L1343+S1343)"),1134467)</f>
        <v>1134467</v>
      </c>
      <c r="U1343" s="26">
        <f ca="1">IFERROR(__xludf.DUMMYFUNCTION("D1343*GOOGLEFINANCE(""RUBKZT"")*1000/F1343"),904896.50991792)</f>
        <v>904896.50991791999</v>
      </c>
      <c r="V1343" s="27">
        <f t="shared" ca="1" si="1320"/>
        <v>-0.20235977783582954</v>
      </c>
    </row>
    <row r="1344" spans="1:22" ht="12.75" customHeight="1" x14ac:dyDescent="0.2">
      <c r="A1344" s="6" t="s">
        <v>416</v>
      </c>
      <c r="B1344" s="6" t="s">
        <v>6</v>
      </c>
      <c r="C1344" s="7">
        <v>203544</v>
      </c>
      <c r="D1344" s="8">
        <v>22660.799999999999</v>
      </c>
      <c r="E1344" s="9" t="s">
        <v>7</v>
      </c>
      <c r="F1344" s="10">
        <v>60</v>
      </c>
      <c r="G1344" s="25"/>
      <c r="H1344" s="14">
        <f t="shared" si="1314"/>
        <v>0.55000000000000004</v>
      </c>
      <c r="I1344" s="25">
        <f ca="1">IFERROR(__xludf.DUMMYFUNCTION("ROUND(D1344*GOOGLEFINANCE(""RUBKZT"")*H1344)"),97259)</f>
        <v>97259</v>
      </c>
      <c r="J1344" s="26">
        <f ca="1">IFERROR(__xludf.DUMMYFUNCTION("ROUND(I1344*GOOGLEFINANCE(""KZTEUR""))"),204)</f>
        <v>204</v>
      </c>
      <c r="K1344" s="26">
        <f t="shared" ca="1" si="1315"/>
        <v>3400</v>
      </c>
      <c r="L1344" s="26">
        <f t="shared" ca="1" si="1316"/>
        <v>646</v>
      </c>
      <c r="M1344" s="26">
        <f t="shared" ref="M1344:N1344" si="1384">M$3</f>
        <v>500</v>
      </c>
      <c r="N1344" s="26">
        <f t="shared" si="1384"/>
        <v>500</v>
      </c>
      <c r="O1344" s="26">
        <f ca="1">IFERROR(__xludf.DUMMYFUNCTION("ROUND(GOOGLEFINANCE(""Currency:EURKZT"")*K1344)"),1623737)</f>
        <v>1623737</v>
      </c>
      <c r="P1344" s="26">
        <f ca="1">IFERROR(__xludf.DUMMYFUNCTION("ROUND(GOOGLEFINANCE(""Currency:EURKZT"")*M1344)"),238785)</f>
        <v>238785</v>
      </c>
      <c r="Q1344" s="26">
        <f ca="1">IFERROR(__xludf.DUMMYFUNCTION("ROUND(GOOGLEFINANCE(""Currency:EURKZT"")*N1344)"),238785)</f>
        <v>238785</v>
      </c>
      <c r="R1344" s="26">
        <f t="shared" ca="1" si="1318"/>
        <v>194848</v>
      </c>
      <c r="S1344" s="26">
        <f t="shared" ca="1" si="1319"/>
        <v>2296155</v>
      </c>
      <c r="T1344" s="26">
        <f ca="1">IFERROR(__xludf.DUMMYFUNCTION("ROUND(GOOGLEFINANCE(""Currency:EURKZT"")*L1344+S1344)"),2604665)</f>
        <v>2604665</v>
      </c>
      <c r="U1344" s="26">
        <f ca="1">IFERROR(__xludf.DUMMYFUNCTION("D1344*GOOGLEFINANCE(""RUBKZT"")*1000/F1344"),2947234.51074335)</f>
        <v>2947234.5107433498</v>
      </c>
      <c r="V1344" s="27">
        <f t="shared" ca="1" si="1320"/>
        <v>0.1315215241665818</v>
      </c>
    </row>
    <row r="1345" spans="1:22" ht="12.75" customHeight="1" x14ac:dyDescent="0.2">
      <c r="A1345" s="6" t="s">
        <v>417</v>
      </c>
      <c r="B1345" s="6" t="s">
        <v>6</v>
      </c>
      <c r="C1345" s="7">
        <v>203547</v>
      </c>
      <c r="D1345" s="8">
        <v>33540</v>
      </c>
      <c r="E1345" s="9" t="s">
        <v>7</v>
      </c>
      <c r="F1345" s="10">
        <v>60</v>
      </c>
      <c r="G1345" s="25"/>
      <c r="H1345" s="14">
        <f t="shared" si="1314"/>
        <v>0.55000000000000004</v>
      </c>
      <c r="I1345" s="25">
        <f ca="1">IFERROR(__xludf.DUMMYFUNCTION("ROUND(D1345*GOOGLEFINANCE(""RUBKZT"")*H1345)"),143952)</f>
        <v>143952</v>
      </c>
      <c r="J1345" s="26">
        <f ca="1">IFERROR(__xludf.DUMMYFUNCTION("ROUND(I1345*GOOGLEFINANCE(""KZTEUR""))"),301)</f>
        <v>301</v>
      </c>
      <c r="K1345" s="26">
        <f t="shared" ca="1" si="1315"/>
        <v>5017</v>
      </c>
      <c r="L1345" s="26">
        <f t="shared" ca="1" si="1316"/>
        <v>953.23</v>
      </c>
      <c r="M1345" s="26">
        <f t="shared" ref="M1345:N1345" si="1385">M$3</f>
        <v>500</v>
      </c>
      <c r="N1345" s="26">
        <f t="shared" si="1385"/>
        <v>500</v>
      </c>
      <c r="O1345" s="26">
        <f ca="1">IFERROR(__xludf.DUMMYFUNCTION("ROUND(GOOGLEFINANCE(""Currency:EURKZT"")*K1345)"),2395967)</f>
        <v>2395967</v>
      </c>
      <c r="P1345" s="26">
        <f ca="1">IFERROR(__xludf.DUMMYFUNCTION("ROUND(GOOGLEFINANCE(""Currency:EURKZT"")*M1345)"),238785)</f>
        <v>238785</v>
      </c>
      <c r="Q1345" s="26">
        <f ca="1">IFERROR(__xludf.DUMMYFUNCTION("ROUND(GOOGLEFINANCE(""Currency:EURKZT"")*N1345)"),238785)</f>
        <v>238785</v>
      </c>
      <c r="R1345" s="26">
        <f t="shared" ca="1" si="1318"/>
        <v>287516</v>
      </c>
      <c r="S1345" s="26">
        <f t="shared" ca="1" si="1319"/>
        <v>3161053</v>
      </c>
      <c r="T1345" s="26">
        <f ca="1">IFERROR(__xludf.DUMMYFUNCTION("ROUND(GOOGLEFINANCE(""Currency:EURKZT"")*L1345+S1345)"),3616287)</f>
        <v>3616287</v>
      </c>
      <c r="U1345" s="26">
        <f ca="1">IFERROR(__xludf.DUMMYFUNCTION("D1345*GOOGLEFINANCE(""RUBKZT"")*1000/F1345"),4362169.27426799)</f>
        <v>4362169.2742679901</v>
      </c>
      <c r="V1345" s="27">
        <f t="shared" ca="1" si="1320"/>
        <v>0.2062563823800462</v>
      </c>
    </row>
    <row r="1346" spans="1:22" ht="12.75" customHeight="1" x14ac:dyDescent="0.2">
      <c r="A1346" s="6" t="s">
        <v>478</v>
      </c>
      <c r="B1346" s="6" t="s">
        <v>479</v>
      </c>
      <c r="C1346" s="7">
        <v>213713</v>
      </c>
      <c r="D1346" s="8">
        <v>7954.7999999999993</v>
      </c>
      <c r="E1346" s="9" t="s">
        <v>16</v>
      </c>
      <c r="F1346" s="23">
        <v>12</v>
      </c>
      <c r="G1346" s="25"/>
      <c r="H1346" s="14">
        <f t="shared" si="1314"/>
        <v>0.55000000000000004</v>
      </c>
      <c r="I1346" s="25">
        <f ca="1">IFERROR(__xludf.DUMMYFUNCTION("ROUND(D1346*GOOGLEFINANCE(""RUBKZT"")*H1346)"),34142)</f>
        <v>34142</v>
      </c>
      <c r="J1346" s="26">
        <f ca="1">IFERROR(__xludf.DUMMYFUNCTION("ROUND(I1346*GOOGLEFINANCE(""KZTEUR""))"),72)</f>
        <v>72</v>
      </c>
      <c r="K1346" s="26">
        <f t="shared" ca="1" si="1315"/>
        <v>6000</v>
      </c>
      <c r="L1346" s="26">
        <f t="shared" ca="1" si="1316"/>
        <v>1140</v>
      </c>
      <c r="M1346" s="26">
        <f t="shared" ref="M1346:N1346" si="1386">M$3</f>
        <v>500</v>
      </c>
      <c r="N1346" s="26">
        <f t="shared" si="1386"/>
        <v>500</v>
      </c>
      <c r="O1346" s="26">
        <f ca="1">IFERROR(__xludf.DUMMYFUNCTION("ROUND(GOOGLEFINANCE(""Currency:EURKZT"")*K1346)"),2865418)</f>
        <v>2865418</v>
      </c>
      <c r="P1346" s="26">
        <f ca="1">IFERROR(__xludf.DUMMYFUNCTION("ROUND(GOOGLEFINANCE(""Currency:EURKZT"")*M1346)"),238785)</f>
        <v>238785</v>
      </c>
      <c r="Q1346" s="26">
        <f ca="1">IFERROR(__xludf.DUMMYFUNCTION("ROUND(GOOGLEFINANCE(""Currency:EURKZT"")*N1346)"),238785)</f>
        <v>238785</v>
      </c>
      <c r="R1346" s="26">
        <f t="shared" ca="1" si="1318"/>
        <v>343850</v>
      </c>
      <c r="S1346" s="26">
        <f t="shared" ca="1" si="1319"/>
        <v>3686838</v>
      </c>
      <c r="T1346" s="26">
        <f ca="1">IFERROR(__xludf.DUMMYFUNCTION("ROUND(GOOGLEFINANCE(""Currency:EURKZT"")*L1346+S1346)"),4231267)</f>
        <v>4231267</v>
      </c>
      <c r="U1346" s="26">
        <f ca="1">IFERROR(__xludf.DUMMYFUNCTION("D1346*GOOGLEFINANCE(""RUBKZT"")*1000/F1346"),5172955.2985908)</f>
        <v>5172955.2985907998</v>
      </c>
      <c r="V1346" s="27">
        <f t="shared" ca="1" si="1320"/>
        <v>0.22255468600558645</v>
      </c>
    </row>
    <row r="1347" spans="1:22" ht="12.75" customHeight="1" x14ac:dyDescent="0.2">
      <c r="A1347" s="6" t="s">
        <v>480</v>
      </c>
      <c r="B1347" s="6" t="s">
        <v>479</v>
      </c>
      <c r="C1347" s="7">
        <v>213715</v>
      </c>
      <c r="D1347" s="8">
        <v>6846</v>
      </c>
      <c r="E1347" s="9" t="s">
        <v>16</v>
      </c>
      <c r="F1347" s="23">
        <v>12</v>
      </c>
      <c r="G1347" s="25"/>
      <c r="H1347" s="14">
        <f t="shared" si="1314"/>
        <v>0.55000000000000004</v>
      </c>
      <c r="I1347" s="25">
        <f ca="1">IFERROR(__xludf.DUMMYFUNCTION("ROUND(D1347*GOOGLEFINANCE(""RUBKZT"")*H1347)"),29383)</f>
        <v>29383</v>
      </c>
      <c r="J1347" s="26">
        <f ca="1">IFERROR(__xludf.DUMMYFUNCTION("ROUND(I1347*GOOGLEFINANCE(""KZTEUR""))"),62)</f>
        <v>62</v>
      </c>
      <c r="K1347" s="26">
        <f t="shared" ca="1" si="1315"/>
        <v>5167</v>
      </c>
      <c r="L1347" s="26">
        <f t="shared" ca="1" si="1316"/>
        <v>981.73</v>
      </c>
      <c r="M1347" s="26">
        <f t="shared" ref="M1347:N1347" si="1387">M$3</f>
        <v>500</v>
      </c>
      <c r="N1347" s="26">
        <f t="shared" si="1387"/>
        <v>500</v>
      </c>
      <c r="O1347" s="26">
        <f ca="1">IFERROR(__xludf.DUMMYFUNCTION("ROUND(GOOGLEFINANCE(""Currency:EURKZT"")*K1347)"),2467602)</f>
        <v>2467602</v>
      </c>
      <c r="P1347" s="26">
        <f ca="1">IFERROR(__xludf.DUMMYFUNCTION("ROUND(GOOGLEFINANCE(""Currency:EURKZT"")*M1347)"),238785)</f>
        <v>238785</v>
      </c>
      <c r="Q1347" s="26">
        <f ca="1">IFERROR(__xludf.DUMMYFUNCTION("ROUND(GOOGLEFINANCE(""Currency:EURKZT"")*N1347)"),238785)</f>
        <v>238785</v>
      </c>
      <c r="R1347" s="26">
        <f t="shared" ca="1" si="1318"/>
        <v>296112</v>
      </c>
      <c r="S1347" s="26">
        <f t="shared" ca="1" si="1319"/>
        <v>3241284</v>
      </c>
      <c r="T1347" s="26">
        <f ca="1">IFERROR(__xludf.DUMMYFUNCTION("ROUND(GOOGLEFINANCE(""Currency:EURKZT"")*L1347+S1347)"),3710128)</f>
        <v>3710128</v>
      </c>
      <c r="U1347" s="26">
        <f ca="1">IFERROR(__xludf.DUMMYFUNCTION("D1347*GOOGLEFINANCE(""RUBKZT"")*1000/F1347"),4451909.787066)</f>
        <v>4451909.7870659996</v>
      </c>
      <c r="V1347" s="27">
        <f t="shared" ca="1" si="1320"/>
        <v>0.1999342844953057</v>
      </c>
    </row>
    <row r="1348" spans="1:22" ht="12.75" customHeight="1" x14ac:dyDescent="0.2">
      <c r="A1348" s="6" t="s">
        <v>454</v>
      </c>
      <c r="B1348" s="6" t="s">
        <v>479</v>
      </c>
      <c r="C1348" s="7">
        <v>213716</v>
      </c>
      <c r="D1348" s="8">
        <v>7966.7999999999993</v>
      </c>
      <c r="E1348" s="9" t="s">
        <v>16</v>
      </c>
      <c r="F1348" s="23">
        <v>12</v>
      </c>
      <c r="G1348" s="25"/>
      <c r="H1348" s="14">
        <f t="shared" si="1314"/>
        <v>0.55000000000000004</v>
      </c>
      <c r="I1348" s="25">
        <f ca="1">IFERROR(__xludf.DUMMYFUNCTION("ROUND(D1348*GOOGLEFINANCE(""RUBKZT"")*H1348)"),34193)</f>
        <v>34193</v>
      </c>
      <c r="J1348" s="26">
        <f ca="1">IFERROR(__xludf.DUMMYFUNCTION("ROUND(I1348*GOOGLEFINANCE(""KZTEUR""))"),72)</f>
        <v>72</v>
      </c>
      <c r="K1348" s="26">
        <f t="shared" ca="1" si="1315"/>
        <v>6000</v>
      </c>
      <c r="L1348" s="26">
        <f t="shared" ca="1" si="1316"/>
        <v>1140</v>
      </c>
      <c r="M1348" s="26">
        <f t="shared" ref="M1348:N1348" si="1388">M$3</f>
        <v>500</v>
      </c>
      <c r="N1348" s="26">
        <f t="shared" si="1388"/>
        <v>500</v>
      </c>
      <c r="O1348" s="26">
        <f ca="1">IFERROR(__xludf.DUMMYFUNCTION("ROUND(GOOGLEFINANCE(""Currency:EURKZT"")*K1348)"),2865418)</f>
        <v>2865418</v>
      </c>
      <c r="P1348" s="26">
        <f ca="1">IFERROR(__xludf.DUMMYFUNCTION("ROUND(GOOGLEFINANCE(""Currency:EURKZT"")*M1348)"),238785)</f>
        <v>238785</v>
      </c>
      <c r="Q1348" s="26">
        <f ca="1">IFERROR(__xludf.DUMMYFUNCTION("ROUND(GOOGLEFINANCE(""Currency:EURKZT"")*N1348)"),238785)</f>
        <v>238785</v>
      </c>
      <c r="R1348" s="26">
        <f t="shared" ca="1" si="1318"/>
        <v>343850</v>
      </c>
      <c r="S1348" s="26">
        <f t="shared" ca="1" si="1319"/>
        <v>3686838</v>
      </c>
      <c r="T1348" s="26">
        <f ca="1">IFERROR(__xludf.DUMMYFUNCTION("ROUND(GOOGLEFINANCE(""Currency:EURKZT"")*L1348+S1348)"),4231267)</f>
        <v>4231267</v>
      </c>
      <c r="U1348" s="26">
        <f ca="1">IFERROR(__xludf.DUMMYFUNCTION("D1348*GOOGLEFINANCE(""RUBKZT"")*1000/F1348"),5180758.8214428)</f>
        <v>5180758.8214427996</v>
      </c>
      <c r="V1348" s="27">
        <f t="shared" ca="1" si="1320"/>
        <v>0.22439893805869487</v>
      </c>
    </row>
    <row r="1349" spans="1:22" ht="12.75" customHeight="1" x14ac:dyDescent="0.2">
      <c r="A1349" s="6" t="s">
        <v>540</v>
      </c>
      <c r="B1349" s="6" t="s">
        <v>479</v>
      </c>
      <c r="C1349" s="7">
        <v>213910</v>
      </c>
      <c r="D1349" s="8">
        <v>7809.5999999999995</v>
      </c>
      <c r="E1349" s="9" t="s">
        <v>7</v>
      </c>
      <c r="F1349" s="23">
        <v>12</v>
      </c>
      <c r="G1349" s="25"/>
      <c r="H1349" s="14">
        <f t="shared" si="1314"/>
        <v>0.55000000000000004</v>
      </c>
      <c r="I1349" s="25">
        <f ca="1">IFERROR(__xludf.DUMMYFUNCTION("ROUND(D1349*GOOGLEFINANCE(""RUBKZT"")*H1349)"),33518)</f>
        <v>33518</v>
      </c>
      <c r="J1349" s="26">
        <f ca="1">IFERROR(__xludf.DUMMYFUNCTION("ROUND(I1349*GOOGLEFINANCE(""KZTEUR""))"),70)</f>
        <v>70</v>
      </c>
      <c r="K1349" s="26">
        <f t="shared" ca="1" si="1315"/>
        <v>5833</v>
      </c>
      <c r="L1349" s="26">
        <f t="shared" ca="1" si="1316"/>
        <v>1108.27</v>
      </c>
      <c r="M1349" s="26">
        <f t="shared" ref="M1349:N1349" si="1389">M$3</f>
        <v>500</v>
      </c>
      <c r="N1349" s="26">
        <f t="shared" si="1389"/>
        <v>500</v>
      </c>
      <c r="O1349" s="26">
        <f ca="1">IFERROR(__xludf.DUMMYFUNCTION("ROUND(GOOGLEFINANCE(""Currency:EURKZT"")*K1349)"),2785664)</f>
        <v>2785664</v>
      </c>
      <c r="P1349" s="26">
        <f ca="1">IFERROR(__xludf.DUMMYFUNCTION("ROUND(GOOGLEFINANCE(""Currency:EURKZT"")*M1349)"),238785)</f>
        <v>238785</v>
      </c>
      <c r="Q1349" s="26">
        <f ca="1">IFERROR(__xludf.DUMMYFUNCTION("ROUND(GOOGLEFINANCE(""Currency:EURKZT"")*N1349)"),238785)</f>
        <v>238785</v>
      </c>
      <c r="R1349" s="26">
        <f t="shared" ca="1" si="1318"/>
        <v>334280</v>
      </c>
      <c r="S1349" s="26">
        <f t="shared" ca="1" si="1319"/>
        <v>3597514</v>
      </c>
      <c r="T1349" s="26">
        <f ca="1">IFERROR(__xludf.DUMMYFUNCTION("ROUND(GOOGLEFINANCE(""Currency:EURKZT"")*L1349+S1349)"),4126790)</f>
        <v>4126790</v>
      </c>
      <c r="U1349" s="26">
        <f ca="1">IFERROR(__xludf.DUMMYFUNCTION("D1349*GOOGLEFINANCE(""RUBKZT"")*1000/F1349"),5078532.6720816)</f>
        <v>5078532.6720815999</v>
      </c>
      <c r="V1349" s="27">
        <f t="shared" ca="1" si="1320"/>
        <v>0.23062541880774159</v>
      </c>
    </row>
    <row r="1350" spans="1:22" ht="12.75" customHeight="1" x14ac:dyDescent="0.2">
      <c r="A1350" s="6" t="s">
        <v>596</v>
      </c>
      <c r="B1350" s="6" t="s">
        <v>479</v>
      </c>
      <c r="C1350" s="7">
        <v>214083</v>
      </c>
      <c r="D1350" s="8">
        <v>7512</v>
      </c>
      <c r="E1350" s="9" t="s">
        <v>16</v>
      </c>
      <c r="F1350" s="23">
        <v>12</v>
      </c>
      <c r="G1350" s="25"/>
      <c r="H1350" s="14">
        <f t="shared" si="1314"/>
        <v>0.55000000000000004</v>
      </c>
      <c r="I1350" s="25">
        <f ca="1">IFERROR(__xludf.DUMMYFUNCTION("ROUND(D1350*GOOGLEFINANCE(""RUBKZT"")*H1350)"),32241)</f>
        <v>32241</v>
      </c>
      <c r="J1350" s="26">
        <f ca="1">IFERROR(__xludf.DUMMYFUNCTION("ROUND(I1350*GOOGLEFINANCE(""KZTEUR""))"),68)</f>
        <v>68</v>
      </c>
      <c r="K1350" s="26">
        <f t="shared" ca="1" si="1315"/>
        <v>5667</v>
      </c>
      <c r="L1350" s="26">
        <f t="shared" ca="1" si="1316"/>
        <v>1076.73</v>
      </c>
      <c r="M1350" s="26">
        <f t="shared" ref="M1350:N1350" si="1390">M$3</f>
        <v>500</v>
      </c>
      <c r="N1350" s="26">
        <f t="shared" si="1390"/>
        <v>500</v>
      </c>
      <c r="O1350" s="26">
        <f ca="1">IFERROR(__xludf.DUMMYFUNCTION("ROUND(GOOGLEFINANCE(""Currency:EURKZT"")*K1350)"),2706387)</f>
        <v>2706387</v>
      </c>
      <c r="P1350" s="26">
        <f ca="1">IFERROR(__xludf.DUMMYFUNCTION("ROUND(GOOGLEFINANCE(""Currency:EURKZT"")*M1350)"),238785)</f>
        <v>238785</v>
      </c>
      <c r="Q1350" s="26">
        <f ca="1">IFERROR(__xludf.DUMMYFUNCTION("ROUND(GOOGLEFINANCE(""Currency:EURKZT"")*N1350)"),238785)</f>
        <v>238785</v>
      </c>
      <c r="R1350" s="26">
        <f t="shared" ca="1" si="1318"/>
        <v>324766</v>
      </c>
      <c r="S1350" s="26">
        <f t="shared" ca="1" si="1319"/>
        <v>3508723</v>
      </c>
      <c r="T1350" s="26">
        <f ca="1">IFERROR(__xludf.DUMMYFUNCTION("ROUND(GOOGLEFINANCE(""Currency:EURKZT"")*L1350+S1350)"),4022937)</f>
        <v>4022937</v>
      </c>
      <c r="U1350" s="26">
        <f ca="1">IFERROR(__xludf.DUMMYFUNCTION("D1350*GOOGLEFINANCE(""RUBKZT"")*1000/F1350"),4885005.305352)</f>
        <v>4885005.3053519996</v>
      </c>
      <c r="V1350" s="27">
        <f t="shared" ca="1" si="1320"/>
        <v>0.21428829368990854</v>
      </c>
    </row>
    <row r="1351" spans="1:22" ht="12.75" customHeight="1" x14ac:dyDescent="0.2">
      <c r="A1351" s="6" t="s">
        <v>613</v>
      </c>
      <c r="B1351" s="6" t="s">
        <v>479</v>
      </c>
      <c r="C1351" s="7">
        <v>214152</v>
      </c>
      <c r="D1351" s="8">
        <v>7808.4</v>
      </c>
      <c r="E1351" s="9" t="s">
        <v>16</v>
      </c>
      <c r="F1351" s="23">
        <v>12</v>
      </c>
      <c r="G1351" s="25"/>
      <c r="H1351" s="14">
        <f t="shared" si="1314"/>
        <v>0.55000000000000004</v>
      </c>
      <c r="I1351" s="25">
        <f ca="1">IFERROR(__xludf.DUMMYFUNCTION("ROUND(D1351*GOOGLEFINANCE(""RUBKZT"")*H1351)"),33513)</f>
        <v>33513</v>
      </c>
      <c r="J1351" s="26">
        <f ca="1">IFERROR(__xludf.DUMMYFUNCTION("ROUND(I1351*GOOGLEFINANCE(""KZTEUR""))"),70)</f>
        <v>70</v>
      </c>
      <c r="K1351" s="26">
        <f t="shared" ca="1" si="1315"/>
        <v>5833</v>
      </c>
      <c r="L1351" s="26">
        <f t="shared" ca="1" si="1316"/>
        <v>1108.27</v>
      </c>
      <c r="M1351" s="26">
        <f t="shared" ref="M1351:N1351" si="1391">M$3</f>
        <v>500</v>
      </c>
      <c r="N1351" s="26">
        <f t="shared" si="1391"/>
        <v>500</v>
      </c>
      <c r="O1351" s="26">
        <f ca="1">IFERROR(__xludf.DUMMYFUNCTION("ROUND(GOOGLEFINANCE(""Currency:EURKZT"")*K1351)"),2785664)</f>
        <v>2785664</v>
      </c>
      <c r="P1351" s="26">
        <f ca="1">IFERROR(__xludf.DUMMYFUNCTION("ROUND(GOOGLEFINANCE(""Currency:EURKZT"")*M1351)"),238785)</f>
        <v>238785</v>
      </c>
      <c r="Q1351" s="26">
        <f ca="1">IFERROR(__xludf.DUMMYFUNCTION("ROUND(GOOGLEFINANCE(""Currency:EURKZT"")*N1351)"),238785)</f>
        <v>238785</v>
      </c>
      <c r="R1351" s="26">
        <f t="shared" ca="1" si="1318"/>
        <v>334280</v>
      </c>
      <c r="S1351" s="26">
        <f t="shared" ca="1" si="1319"/>
        <v>3597514</v>
      </c>
      <c r="T1351" s="26">
        <f ca="1">IFERROR(__xludf.DUMMYFUNCTION("ROUND(GOOGLEFINANCE(""Currency:EURKZT"")*L1351+S1351)"),4126790)</f>
        <v>4126790</v>
      </c>
      <c r="U1351" s="26">
        <f ca="1">IFERROR(__xludf.DUMMYFUNCTION("D1351*GOOGLEFINANCE(""RUBKZT"")*1000/F1351"),5077752.3197964)</f>
        <v>5077752.3197964001</v>
      </c>
      <c r="V1351" s="27">
        <f t="shared" ca="1" si="1320"/>
        <v>0.23043632455162491</v>
      </c>
    </row>
    <row r="1352" spans="1:22" ht="12.75" customHeight="1" x14ac:dyDescent="0.2">
      <c r="A1352" s="6" t="s">
        <v>622</v>
      </c>
      <c r="B1352" s="6" t="s">
        <v>479</v>
      </c>
      <c r="C1352" s="7">
        <v>214245</v>
      </c>
      <c r="D1352" s="8">
        <v>8469.6</v>
      </c>
      <c r="E1352" s="9" t="s">
        <v>16</v>
      </c>
      <c r="F1352" s="23">
        <v>12</v>
      </c>
      <c r="G1352" s="25"/>
      <c r="H1352" s="14">
        <f t="shared" si="1314"/>
        <v>0.55000000000000004</v>
      </c>
      <c r="I1352" s="25">
        <f ca="1">IFERROR(__xludf.DUMMYFUNCTION("ROUND(D1352*GOOGLEFINANCE(""RUBKZT"")*H1352)"),36351)</f>
        <v>36351</v>
      </c>
      <c r="J1352" s="26">
        <f ca="1">IFERROR(__xludf.DUMMYFUNCTION("ROUND(I1352*GOOGLEFINANCE(""KZTEUR""))"),76)</f>
        <v>76</v>
      </c>
      <c r="K1352" s="26">
        <f t="shared" ca="1" si="1315"/>
        <v>6333</v>
      </c>
      <c r="L1352" s="26">
        <f t="shared" ca="1" si="1316"/>
        <v>1203.27</v>
      </c>
      <c r="M1352" s="26">
        <f t="shared" ref="M1352:N1352" si="1392">M$3</f>
        <v>500</v>
      </c>
      <c r="N1352" s="26">
        <f t="shared" si="1392"/>
        <v>500</v>
      </c>
      <c r="O1352" s="26">
        <f ca="1">IFERROR(__xludf.DUMMYFUNCTION("ROUND(GOOGLEFINANCE(""Currency:EURKZT"")*K1352)"),3024448)</f>
        <v>3024448</v>
      </c>
      <c r="P1352" s="26">
        <f ca="1">IFERROR(__xludf.DUMMYFUNCTION("ROUND(GOOGLEFINANCE(""Currency:EURKZT"")*M1352)"),238785)</f>
        <v>238785</v>
      </c>
      <c r="Q1352" s="26">
        <f ca="1">IFERROR(__xludf.DUMMYFUNCTION("ROUND(GOOGLEFINANCE(""Currency:EURKZT"")*N1352)"),238785)</f>
        <v>238785</v>
      </c>
      <c r="R1352" s="26">
        <f t="shared" ca="1" si="1318"/>
        <v>362934</v>
      </c>
      <c r="S1352" s="26">
        <f t="shared" ca="1" si="1319"/>
        <v>3864952</v>
      </c>
      <c r="T1352" s="26">
        <f ca="1">IFERROR(__xludf.DUMMYFUNCTION("ROUND(GOOGLEFINANCE(""Currency:EURKZT"")*L1352+S1352)"),4439597)</f>
        <v>4439597</v>
      </c>
      <c r="U1352" s="26">
        <f ca="1">IFERROR(__xludf.DUMMYFUNCTION("D1352*GOOGLEFINANCE(""RUBKZT"")*1000/F1352"),5507726.4289416)</f>
        <v>5507726.4289416</v>
      </c>
      <c r="V1352" s="27">
        <f t="shared" ca="1" si="1320"/>
        <v>0.24059152867740022</v>
      </c>
    </row>
    <row r="1353" spans="1:22" ht="12.75" customHeight="1" x14ac:dyDescent="0.2">
      <c r="A1353" s="6" t="s">
        <v>311</v>
      </c>
      <c r="B1353" s="6" t="s">
        <v>312</v>
      </c>
      <c r="C1353" s="7">
        <v>188108</v>
      </c>
      <c r="D1353" s="8">
        <v>9318</v>
      </c>
      <c r="E1353" s="9" t="s">
        <v>16</v>
      </c>
      <c r="F1353" s="23">
        <f t="shared" ref="F1353:F1355" si="1393">6*0.24</f>
        <v>1.44</v>
      </c>
      <c r="G1353" s="25"/>
      <c r="H1353" s="14">
        <f t="shared" si="1314"/>
        <v>0.55000000000000004</v>
      </c>
      <c r="I1353" s="25">
        <f ca="1">IFERROR(__xludf.DUMMYFUNCTION("ROUND(D1353*GOOGLEFINANCE(""RUBKZT"")*H1353)"),39992)</f>
        <v>39992</v>
      </c>
      <c r="J1353" s="26">
        <f ca="1">IFERROR(__xludf.DUMMYFUNCTION("ROUND(I1353*GOOGLEFINANCE(""KZTEUR""))"),84)</f>
        <v>84</v>
      </c>
      <c r="K1353" s="26">
        <f t="shared" ca="1" si="1315"/>
        <v>58333</v>
      </c>
      <c r="L1353" s="26">
        <f t="shared" ca="1" si="1316"/>
        <v>11083.27</v>
      </c>
      <c r="M1353" s="26">
        <f t="shared" ref="M1353:N1353" si="1394">M$3</f>
        <v>500</v>
      </c>
      <c r="N1353" s="26">
        <f t="shared" si="1394"/>
        <v>500</v>
      </c>
      <c r="O1353" s="26">
        <f ca="1">IFERROR(__xludf.DUMMYFUNCTION("ROUND(GOOGLEFINANCE(""Currency:EURKZT"")*K1353)"),27858068)</f>
        <v>27858068</v>
      </c>
      <c r="P1353" s="26">
        <f ca="1">IFERROR(__xludf.DUMMYFUNCTION("ROUND(GOOGLEFINANCE(""Currency:EURKZT"")*M1353)"),238785)</f>
        <v>238785</v>
      </c>
      <c r="Q1353" s="26">
        <f ca="1">IFERROR(__xludf.DUMMYFUNCTION("ROUND(GOOGLEFINANCE(""Currency:EURKZT"")*N1353)"),238785)</f>
        <v>238785</v>
      </c>
      <c r="R1353" s="26">
        <f t="shared" ca="1" si="1318"/>
        <v>3342968</v>
      </c>
      <c r="S1353" s="26">
        <f t="shared" ca="1" si="1319"/>
        <v>31678606</v>
      </c>
      <c r="T1353" s="26">
        <f ca="1">IFERROR(__xludf.DUMMYFUNCTION("ROUND(GOOGLEFINANCE(""Currency:EURKZT"")*L1353+S1353)"),36971639)</f>
        <v>36971639</v>
      </c>
      <c r="U1353" s="26">
        <f ca="1">IFERROR(__xludf.DUMMYFUNCTION("D1353*GOOGLEFINANCE(""RUBKZT"")*1000/F1353"),50495295.78815)</f>
        <v>50495295.788149998</v>
      </c>
      <c r="V1353" s="27">
        <f t="shared" ca="1" si="1320"/>
        <v>0.36578461636904974</v>
      </c>
    </row>
    <row r="1354" spans="1:22" ht="12.75" customHeight="1" x14ac:dyDescent="0.2">
      <c r="A1354" s="6" t="s">
        <v>313</v>
      </c>
      <c r="B1354" s="6" t="s">
        <v>312</v>
      </c>
      <c r="C1354" s="7">
        <v>188162</v>
      </c>
      <c r="D1354" s="8">
        <v>10434</v>
      </c>
      <c r="E1354" s="9" t="s">
        <v>16</v>
      </c>
      <c r="F1354" s="23">
        <f t="shared" si="1393"/>
        <v>1.44</v>
      </c>
      <c r="G1354" s="25"/>
      <c r="H1354" s="14">
        <f t="shared" si="1314"/>
        <v>0.55000000000000004</v>
      </c>
      <c r="I1354" s="25">
        <f ca="1">IFERROR(__xludf.DUMMYFUNCTION("ROUND(D1354*GOOGLEFINANCE(""RUBKZT"")*H1354)"),44782)</f>
        <v>44782</v>
      </c>
      <c r="J1354" s="26">
        <f ca="1">IFERROR(__xludf.DUMMYFUNCTION("ROUND(I1354*GOOGLEFINANCE(""KZTEUR""))"),94)</f>
        <v>94</v>
      </c>
      <c r="K1354" s="26">
        <f t="shared" ca="1" si="1315"/>
        <v>65278</v>
      </c>
      <c r="L1354" s="26">
        <f t="shared" ca="1" si="1316"/>
        <v>12402.82</v>
      </c>
      <c r="M1354" s="26">
        <f t="shared" ref="M1354:N1354" si="1395">M$3</f>
        <v>500</v>
      </c>
      <c r="N1354" s="26">
        <f t="shared" si="1395"/>
        <v>500</v>
      </c>
      <c r="O1354" s="26">
        <f ca="1">IFERROR(__xludf.DUMMYFUNCTION("ROUND(GOOGLEFINANCE(""Currency:EURKZT"")*K1354)"),31174789)</f>
        <v>31174789</v>
      </c>
      <c r="P1354" s="26">
        <f ca="1">IFERROR(__xludf.DUMMYFUNCTION("ROUND(GOOGLEFINANCE(""Currency:EURKZT"")*M1354)"),238785)</f>
        <v>238785</v>
      </c>
      <c r="Q1354" s="26">
        <f ca="1">IFERROR(__xludf.DUMMYFUNCTION("ROUND(GOOGLEFINANCE(""Currency:EURKZT"")*N1354)"),238785)</f>
        <v>238785</v>
      </c>
      <c r="R1354" s="26">
        <f t="shared" ca="1" si="1318"/>
        <v>3740975</v>
      </c>
      <c r="S1354" s="26">
        <f t="shared" ca="1" si="1319"/>
        <v>35393334</v>
      </c>
      <c r="T1354" s="26">
        <f ca="1">IFERROR(__xludf.DUMMYFUNCTION("ROUND(GOOGLEFINANCE(""Currency:EURKZT"")*L1354+S1354)"),41316544)</f>
        <v>41316544</v>
      </c>
      <c r="U1354" s="26">
        <f ca="1">IFERROR(__xludf.DUMMYFUNCTION("D1354*GOOGLEFINANCE(""RUBKZT"")*1000/F1354"),56543025.99845)</f>
        <v>56543025.998450004</v>
      </c>
      <c r="V1354" s="27">
        <f t="shared" ca="1" si="1320"/>
        <v>0.36853232444732076</v>
      </c>
    </row>
    <row r="1355" spans="1:22" ht="12.75" customHeight="1" x14ac:dyDescent="0.2">
      <c r="A1355" s="6" t="s">
        <v>350</v>
      </c>
      <c r="B1355" s="6" t="s">
        <v>312</v>
      </c>
      <c r="C1355" s="7">
        <v>193745</v>
      </c>
      <c r="D1355" s="8">
        <v>10428</v>
      </c>
      <c r="E1355" s="9" t="s">
        <v>16</v>
      </c>
      <c r="F1355" s="23">
        <f t="shared" si="1393"/>
        <v>1.44</v>
      </c>
      <c r="G1355" s="25"/>
      <c r="H1355" s="14">
        <f t="shared" si="1314"/>
        <v>0.55000000000000004</v>
      </c>
      <c r="I1355" s="25">
        <f ca="1">IFERROR(__xludf.DUMMYFUNCTION("ROUND(D1355*GOOGLEFINANCE(""RUBKZT"")*H1355)"),44756)</f>
        <v>44756</v>
      </c>
      <c r="J1355" s="26">
        <f ca="1">IFERROR(__xludf.DUMMYFUNCTION("ROUND(I1355*GOOGLEFINANCE(""KZTEUR""))"),94)</f>
        <v>94</v>
      </c>
      <c r="K1355" s="26">
        <f t="shared" ca="1" si="1315"/>
        <v>65278</v>
      </c>
      <c r="L1355" s="26">
        <f t="shared" ca="1" si="1316"/>
        <v>12402.82</v>
      </c>
      <c r="M1355" s="26">
        <f t="shared" ref="M1355:N1355" si="1396">M$3</f>
        <v>500</v>
      </c>
      <c r="N1355" s="26">
        <f t="shared" si="1396"/>
        <v>500</v>
      </c>
      <c r="O1355" s="26">
        <f ca="1">IFERROR(__xludf.DUMMYFUNCTION("ROUND(GOOGLEFINANCE(""Currency:EURKZT"")*K1355)"),31174789)</f>
        <v>31174789</v>
      </c>
      <c r="P1355" s="26">
        <f ca="1">IFERROR(__xludf.DUMMYFUNCTION("ROUND(GOOGLEFINANCE(""Currency:EURKZT"")*M1355)"),238785)</f>
        <v>238785</v>
      </c>
      <c r="Q1355" s="26">
        <f ca="1">IFERROR(__xludf.DUMMYFUNCTION("ROUND(GOOGLEFINANCE(""Currency:EURKZT"")*N1355)"),238785)</f>
        <v>238785</v>
      </c>
      <c r="R1355" s="26">
        <f t="shared" ca="1" si="1318"/>
        <v>3740975</v>
      </c>
      <c r="S1355" s="26">
        <f t="shared" ca="1" si="1319"/>
        <v>35393334</v>
      </c>
      <c r="T1355" s="26">
        <f ca="1">IFERROR(__xludf.DUMMYFUNCTION("ROUND(GOOGLEFINANCE(""Currency:EURKZT"")*L1355+S1355)"),41316544)</f>
        <v>41316544</v>
      </c>
      <c r="U1355" s="26">
        <f ca="1">IFERROR(__xludf.DUMMYFUNCTION("D1355*GOOGLEFINANCE(""RUBKZT"")*1000/F1355"),56510511.3199)</f>
        <v>56510511.319899999</v>
      </c>
      <c r="V1355" s="27">
        <f t="shared" ca="1" si="1320"/>
        <v>0.36774535933838026</v>
      </c>
    </row>
  </sheetData>
  <autoFilter ref="A4:V1355" xr:uid="{00000000-0009-0000-0000-000001000000}">
    <sortState xmlns:xlrd2="http://schemas.microsoft.com/office/spreadsheetml/2017/richdata2" ref="A4:V1355">
      <sortCondition ref="B4:B1355"/>
    </sortState>
  </autoFilter>
  <pageMargins left="0.70866141732283472" right="0.70866141732283472" top="0.74803149606299213" bottom="0.74803149606299213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H24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14.5" defaultRowHeight="15" customHeight="1" outlineLevelCol="1" x14ac:dyDescent="0.2"/>
  <cols>
    <col min="1" max="1" width="31" customWidth="1"/>
    <col min="2" max="2" width="7.83203125" customWidth="1"/>
    <col min="3" max="3" width="15" customWidth="1"/>
    <col min="4" max="4" width="8.5" customWidth="1" outlineLevel="1"/>
    <col min="5" max="5" width="7.5" customWidth="1" outlineLevel="1"/>
    <col min="6" max="6" width="12.33203125" customWidth="1" outlineLevel="1"/>
    <col min="7" max="26" width="16.1640625" customWidth="1"/>
    <col min="27" max="27" width="18" customWidth="1"/>
    <col min="28" max="34" width="16.1640625" customWidth="1"/>
  </cols>
  <sheetData>
    <row r="1" spans="1:34" ht="37.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0" t="s">
        <v>689</v>
      </c>
      <c r="G1" s="12" t="s">
        <v>693</v>
      </c>
      <c r="H1" s="12" t="s">
        <v>694</v>
      </c>
      <c r="I1" s="12" t="s">
        <v>695</v>
      </c>
      <c r="J1" s="12" t="s">
        <v>696</v>
      </c>
      <c r="K1" s="12" t="s">
        <v>697</v>
      </c>
      <c r="L1" s="12" t="s">
        <v>694</v>
      </c>
      <c r="M1" s="12" t="s">
        <v>696</v>
      </c>
      <c r="N1" s="12" t="s">
        <v>697</v>
      </c>
      <c r="O1" s="12" t="s">
        <v>698</v>
      </c>
      <c r="P1" s="12" t="s">
        <v>699</v>
      </c>
      <c r="Q1" s="12" t="s">
        <v>700</v>
      </c>
      <c r="R1" s="12" t="s">
        <v>701</v>
      </c>
      <c r="S1" s="12" t="s">
        <v>702</v>
      </c>
      <c r="T1" s="12" t="s">
        <v>702</v>
      </c>
      <c r="U1" s="12" t="s">
        <v>707</v>
      </c>
      <c r="V1" s="12" t="s">
        <v>708</v>
      </c>
      <c r="W1" s="12" t="s">
        <v>709</v>
      </c>
      <c r="X1" s="12" t="s">
        <v>702</v>
      </c>
      <c r="Y1" s="12"/>
      <c r="Z1" s="12"/>
      <c r="AA1" s="12" t="s">
        <v>710</v>
      </c>
      <c r="AB1" s="12" t="s">
        <v>711</v>
      </c>
      <c r="AC1" s="12"/>
      <c r="AD1" s="12"/>
      <c r="AE1" s="12"/>
      <c r="AF1" s="12"/>
      <c r="AG1" s="12"/>
      <c r="AH1" s="12"/>
    </row>
    <row r="2" spans="1:34" ht="12.75" customHeight="1" x14ac:dyDescent="0.2">
      <c r="A2" s="6"/>
      <c r="B2" s="6"/>
      <c r="C2" s="7"/>
      <c r="D2" s="8"/>
      <c r="E2" s="9"/>
      <c r="F2" s="10" t="s">
        <v>703</v>
      </c>
      <c r="G2" s="12" t="s">
        <v>706</v>
      </c>
      <c r="H2" s="12" t="s">
        <v>706</v>
      </c>
      <c r="I2" s="12" t="s">
        <v>706</v>
      </c>
      <c r="J2" s="12" t="s">
        <v>706</v>
      </c>
      <c r="K2" s="12" t="s">
        <v>706</v>
      </c>
      <c r="L2" s="12" t="s">
        <v>705</v>
      </c>
      <c r="M2" s="12" t="s">
        <v>705</v>
      </c>
      <c r="N2" s="12" t="s">
        <v>705</v>
      </c>
      <c r="O2" s="12" t="s">
        <v>705</v>
      </c>
      <c r="P2" s="12" t="s">
        <v>705</v>
      </c>
      <c r="Q2" s="12" t="s">
        <v>705</v>
      </c>
      <c r="R2" s="12" t="s">
        <v>705</v>
      </c>
      <c r="S2" s="12" t="s">
        <v>705</v>
      </c>
      <c r="T2" s="12" t="s">
        <v>705</v>
      </c>
      <c r="U2" s="12" t="s">
        <v>712</v>
      </c>
      <c r="V2" s="12" t="s">
        <v>712</v>
      </c>
      <c r="W2" s="12" t="s">
        <v>712</v>
      </c>
      <c r="X2" s="12" t="s">
        <v>704</v>
      </c>
      <c r="Y2" s="12"/>
      <c r="Z2" s="12"/>
      <c r="AA2" s="12" t="s">
        <v>712</v>
      </c>
      <c r="AB2" s="12" t="s">
        <v>713</v>
      </c>
      <c r="AC2" s="12"/>
      <c r="AD2" s="12"/>
      <c r="AE2" s="12"/>
      <c r="AF2" s="12"/>
      <c r="AG2" s="12"/>
      <c r="AH2" s="12"/>
    </row>
    <row r="3" spans="1:34" ht="12.75" customHeight="1" x14ac:dyDescent="0.2">
      <c r="A3" s="6">
        <f ca="1">IFERROR(__xludf.DUMMYFUNCTION("GOOGLEFINANCE(""RUBKZT"")"),7.803522852)</f>
        <v>7.8035228520000004</v>
      </c>
      <c r="B3" s="6">
        <f ca="1">IFERROR(__xludf.DUMMYFUNCTION("GOOGLEFINANCE(""EURKZT"")"),477.5696145)</f>
        <v>477.5696145</v>
      </c>
      <c r="C3" s="7">
        <f ca="1">B3/A3</f>
        <v>61.199233161417794</v>
      </c>
      <c r="D3" s="8">
        <f>D5/1.24</f>
        <v>7805.8064516129025</v>
      </c>
      <c r="E3" s="9"/>
      <c r="F3" s="13"/>
      <c r="G3" s="15"/>
      <c r="H3" s="16"/>
      <c r="I3" s="17">
        <v>0.19</v>
      </c>
      <c r="J3" s="18">
        <v>500</v>
      </c>
      <c r="K3" s="18">
        <v>500</v>
      </c>
      <c r="L3" s="16"/>
      <c r="M3" s="16"/>
      <c r="N3" s="16"/>
      <c r="O3" s="17">
        <v>0.12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</row>
    <row r="4" spans="1:34" ht="13.5" customHeight="1" x14ac:dyDescent="0.2">
      <c r="A4" s="19"/>
      <c r="B4" s="19"/>
      <c r="C4" s="19"/>
      <c r="D4" s="20"/>
      <c r="E4" s="21"/>
      <c r="F4" s="22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</row>
    <row r="5" spans="1:34" ht="12.75" customHeight="1" x14ac:dyDescent="0.2">
      <c r="A5" s="28" t="s">
        <v>463</v>
      </c>
      <c r="B5" s="28" t="s">
        <v>488</v>
      </c>
      <c r="C5" s="29">
        <v>213764</v>
      </c>
      <c r="D5" s="30">
        <v>9679.1999999999989</v>
      </c>
      <c r="E5" s="31" t="s">
        <v>16</v>
      </c>
      <c r="F5" s="10">
        <v>12</v>
      </c>
      <c r="G5" s="26">
        <v>88</v>
      </c>
      <c r="H5" s="26">
        <f t="shared" ref="H5:H13" si="0">ROUND(G5/F5*1000,0)</f>
        <v>7333</v>
      </c>
      <c r="I5" s="26">
        <f t="shared" ref="I5:I13" si="1">H5*I$3</f>
        <v>1393.27</v>
      </c>
      <c r="J5" s="26">
        <f t="shared" ref="J5:K5" si="2">J$3</f>
        <v>500</v>
      </c>
      <c r="K5" s="26">
        <f t="shared" si="2"/>
        <v>500</v>
      </c>
      <c r="L5" s="26">
        <f ca="1">IFERROR(__xludf.DUMMYFUNCTION("ROUND(GOOGLEFINANCE(""Currency:EURKZT"")*H5)"),3502018)</f>
        <v>3502018</v>
      </c>
      <c r="M5" s="26">
        <f ca="1">IFERROR(__xludf.DUMMYFUNCTION("ROUND(GOOGLEFINANCE(""Currency:EURKZT"")*J5)"),238785)</f>
        <v>238785</v>
      </c>
      <c r="N5" s="26">
        <f ca="1">IFERROR(__xludf.DUMMYFUNCTION("ROUND(GOOGLEFINANCE(""Currency:EURKZT"")*K5)"),238785)</f>
        <v>238785</v>
      </c>
      <c r="O5" s="26">
        <f t="shared" ref="O5:O13" ca="1" si="3">ROUND(L5*O$3,0)</f>
        <v>420242</v>
      </c>
      <c r="P5" s="26">
        <f t="shared" ref="P5:P13" ca="1" si="4">SUM(L5:O5)</f>
        <v>4399830</v>
      </c>
      <c r="Q5" s="26">
        <f ca="1">IFERROR(__xludf.DUMMYFUNCTION("ROUND(GOOGLEFINANCE(""Currency:EURKZT"")*I5+P5)"),5065213)</f>
        <v>5065213</v>
      </c>
      <c r="R5" s="26">
        <f ca="1">IFERROR(__xludf.DUMMYFUNCTION("D5*GOOGLEFINANCE(""RUBKZT"")*1000/F5"),6294321.53242319)</f>
        <v>6294321.5324231898</v>
      </c>
      <c r="S5" s="27">
        <f t="shared" ref="S5:S13" ca="1" si="5">(R5-Q5)/Q5</f>
        <v>0.24265683050706649</v>
      </c>
      <c r="T5" s="27">
        <f t="shared" ref="T5:T13" ca="1" si="6">(R5/1.24-Q5/1.12)/Q5*1.12</f>
        <v>0.12239971787735068</v>
      </c>
      <c r="U5" s="32">
        <f t="shared" ref="U5:U13" ca="1" si="7">Q5/1000*F5</f>
        <v>60782.555999999997</v>
      </c>
      <c r="V5" s="32">
        <f t="shared" ref="V5:V13" ca="1" si="8">U5/1.12</f>
        <v>54270.139285714278</v>
      </c>
      <c r="W5" s="32">
        <f ca="1">IFERROR(__xludf.DUMMYFUNCTION("D5*GOOGLEFINANCE(""RUBKZT"")/1.24"),60912.7890234503)</f>
        <v>60912.789023450299</v>
      </c>
      <c r="X5" s="27">
        <f t="shared" ref="X5:X13" ca="1" si="9">(W5-V5)/V5</f>
        <v>0.12239971787735193</v>
      </c>
      <c r="Y5" s="32">
        <f t="shared" ref="Y5:Y13" ca="1" si="10">MAX(V5:W5)</f>
        <v>60912.789023450299</v>
      </c>
      <c r="Z5" s="32">
        <v>60506.667947756127</v>
      </c>
      <c r="AA5" s="32">
        <v>4950</v>
      </c>
      <c r="AB5" s="32">
        <f>AA5*12</f>
        <v>59400</v>
      </c>
      <c r="AC5" s="32">
        <f t="shared" ref="AC5:AC12" ca="1" si="11">AB5-U5</f>
        <v>-1382.5559999999969</v>
      </c>
      <c r="AD5" s="32">
        <v>59787.743999999999</v>
      </c>
      <c r="AE5" s="32">
        <v>54264.964285714275</v>
      </c>
      <c r="AF5" s="32">
        <f ca="1">IFERROR(__xludf.DUMMYFUNCTION("AE5*GOOGLEFINANCE(""KZTRUB"")"),6954.18543083455)</f>
        <v>6954.1854308345501</v>
      </c>
      <c r="AG5" s="32">
        <f t="shared" ref="AG5:AG13" ca="1" si="12">AF5*1.05*1.2</f>
        <v>8762.2736428515327</v>
      </c>
      <c r="AH5" s="32">
        <v>8874.1017561217704</v>
      </c>
    </row>
    <row r="6" spans="1:34" ht="12.75" customHeight="1" x14ac:dyDescent="0.2">
      <c r="A6" s="28" t="s">
        <v>714</v>
      </c>
      <c r="B6" s="28" t="s">
        <v>461</v>
      </c>
      <c r="C6" s="29" t="s">
        <v>715</v>
      </c>
      <c r="D6" s="30">
        <v>7926</v>
      </c>
      <c r="E6" s="31" t="s">
        <v>16</v>
      </c>
      <c r="F6" s="10">
        <v>12</v>
      </c>
      <c r="G6" s="26">
        <v>72</v>
      </c>
      <c r="H6" s="26">
        <f t="shared" si="0"/>
        <v>6000</v>
      </c>
      <c r="I6" s="26">
        <f t="shared" si="1"/>
        <v>1140</v>
      </c>
      <c r="J6" s="26">
        <f t="shared" ref="J6:K6" si="13">J$3</f>
        <v>500</v>
      </c>
      <c r="K6" s="26">
        <f t="shared" si="13"/>
        <v>500</v>
      </c>
      <c r="L6" s="26">
        <f ca="1">IFERROR(__xludf.DUMMYFUNCTION("ROUND(GOOGLEFINANCE(""Currency:EURKZT"")*H6)"),2865418)</f>
        <v>2865418</v>
      </c>
      <c r="M6" s="26">
        <f ca="1">IFERROR(__xludf.DUMMYFUNCTION("ROUND(GOOGLEFINANCE(""Currency:EURKZT"")*J6)"),238785)</f>
        <v>238785</v>
      </c>
      <c r="N6" s="26">
        <f ca="1">IFERROR(__xludf.DUMMYFUNCTION("ROUND(GOOGLEFINANCE(""Currency:EURKZT"")*K6)"),238785)</f>
        <v>238785</v>
      </c>
      <c r="O6" s="26">
        <f t="shared" ca="1" si="3"/>
        <v>343850</v>
      </c>
      <c r="P6" s="26">
        <f t="shared" ca="1" si="4"/>
        <v>3686838</v>
      </c>
      <c r="Q6" s="26">
        <f ca="1">IFERROR(__xludf.DUMMYFUNCTION("ROUND(GOOGLEFINANCE(""Currency:EURKZT"")*I6+P6)"),4231267)</f>
        <v>4231267</v>
      </c>
      <c r="R6" s="26">
        <f ca="1">IFERROR(__xludf.DUMMYFUNCTION("D6*GOOGLEFINANCE(""RUBKZT"")*1000/F6"),5154226.843746)</f>
        <v>5154226.843746</v>
      </c>
      <c r="S6" s="27">
        <f t="shared" ca="1" si="5"/>
        <v>0.21812848107812624</v>
      </c>
      <c r="T6" s="27">
        <f t="shared" ca="1" si="6"/>
        <v>0.10024507968346894</v>
      </c>
      <c r="U6" s="32">
        <f t="shared" ca="1" si="7"/>
        <v>50775.203999999998</v>
      </c>
      <c r="V6" s="32">
        <f t="shared" ca="1" si="8"/>
        <v>45335.003571428562</v>
      </c>
      <c r="W6" s="32">
        <f ca="1">IFERROR(__xludf.DUMMYFUNCTION("D6*GOOGLEFINANCE(""RUBKZT"")/1.24"),49879.6146168967)</f>
        <v>49879.614616896703</v>
      </c>
      <c r="X6" s="27">
        <f t="shared" ca="1" si="9"/>
        <v>0.10024507968346751</v>
      </c>
      <c r="Y6" s="32">
        <f t="shared" ca="1" si="10"/>
        <v>49879.614616896703</v>
      </c>
      <c r="Z6" s="32">
        <v>49547.054524538711</v>
      </c>
      <c r="AA6" s="32">
        <v>16070</v>
      </c>
      <c r="AB6" s="32">
        <f>AA6*3</f>
        <v>48210</v>
      </c>
      <c r="AC6" s="32">
        <f t="shared" ca="1" si="11"/>
        <v>-2565.2039999999979</v>
      </c>
      <c r="AD6" s="32">
        <v>49944.180000000008</v>
      </c>
      <c r="AE6" s="32">
        <v>45330.685714285704</v>
      </c>
      <c r="AF6" s="32">
        <f ca="1">IFERROR(__xludf.DUMMYFUNCTION("AE6*GOOGLEFINANCE(""KZTRUB"")"),5809.2361860637)</f>
        <v>5809.2361860637002</v>
      </c>
      <c r="AG6" s="32">
        <f t="shared" ca="1" si="12"/>
        <v>7319.6375944402616</v>
      </c>
      <c r="AH6" s="32">
        <v>7413.0541316738254</v>
      </c>
    </row>
    <row r="7" spans="1:34" ht="12.75" customHeight="1" x14ac:dyDescent="0.2">
      <c r="A7" s="28" t="s">
        <v>714</v>
      </c>
      <c r="B7" s="28" t="s">
        <v>6</v>
      </c>
      <c r="C7" s="29">
        <v>132353</v>
      </c>
      <c r="D7" s="30">
        <v>32210</v>
      </c>
      <c r="E7" s="31" t="s">
        <v>16</v>
      </c>
      <c r="F7" s="10">
        <v>60</v>
      </c>
      <c r="G7" s="26">
        <v>440</v>
      </c>
      <c r="H7" s="26">
        <f t="shared" si="0"/>
        <v>7333</v>
      </c>
      <c r="I7" s="26">
        <f t="shared" si="1"/>
        <v>1393.27</v>
      </c>
      <c r="J7" s="26">
        <f t="shared" ref="J7:K7" si="14">J$3</f>
        <v>500</v>
      </c>
      <c r="K7" s="26">
        <f t="shared" si="14"/>
        <v>500</v>
      </c>
      <c r="L7" s="26">
        <f ca="1">IFERROR(__xludf.DUMMYFUNCTION("ROUND(GOOGLEFINANCE(""Currency:EURKZT"")*H7)"),3502018)</f>
        <v>3502018</v>
      </c>
      <c r="M7" s="26">
        <f ca="1">IFERROR(__xludf.DUMMYFUNCTION("ROUND(GOOGLEFINANCE(""Currency:EURKZT"")*J7)"),238785)</f>
        <v>238785</v>
      </c>
      <c r="N7" s="26">
        <f ca="1">IFERROR(__xludf.DUMMYFUNCTION("ROUND(GOOGLEFINANCE(""Currency:EURKZT"")*K7)"),238785)</f>
        <v>238785</v>
      </c>
      <c r="O7" s="26">
        <f t="shared" ca="1" si="3"/>
        <v>420242</v>
      </c>
      <c r="P7" s="26">
        <f t="shared" ca="1" si="4"/>
        <v>4399830</v>
      </c>
      <c r="Q7" s="26">
        <f ca="1">IFERROR(__xludf.DUMMYFUNCTION("ROUND(GOOGLEFINANCE(""Currency:EURKZT"")*I7+P7)"),5065213)</f>
        <v>5065213</v>
      </c>
      <c r="R7" s="26">
        <f ca="1">IFERROR(__xludf.DUMMYFUNCTION("D7*GOOGLEFINANCE(""RUBKZT"")*1000/F7"),4189191.184382)</f>
        <v>4189191.184382</v>
      </c>
      <c r="S7" s="27">
        <f t="shared" ca="1" si="5"/>
        <v>-0.17294866289295238</v>
      </c>
      <c r="T7" s="27">
        <f t="shared" ca="1" si="6"/>
        <v>-0.25298588906460201</v>
      </c>
      <c r="U7" s="32">
        <f t="shared" ca="1" si="7"/>
        <v>303912.77999999997</v>
      </c>
      <c r="V7" s="32">
        <f t="shared" ca="1" si="8"/>
        <v>271350.69642857136</v>
      </c>
      <c r="W7" s="32">
        <f ca="1">IFERROR(__xludf.DUMMYFUNCTION("D7*GOOGLEFINANCE(""RUBKZT"")/1.24"),202702.79924429)</f>
        <v>202702.79924429001</v>
      </c>
      <c r="X7" s="27">
        <f t="shared" ca="1" si="9"/>
        <v>-0.25298588906460312</v>
      </c>
      <c r="Y7" s="32">
        <f t="shared" ca="1" si="10"/>
        <v>271350.69642857136</v>
      </c>
      <c r="Z7" s="32">
        <v>266810.7321428571</v>
      </c>
      <c r="AA7" s="32">
        <v>197673</v>
      </c>
      <c r="AB7" s="32">
        <f t="shared" ref="AB7:AB8" si="15">AA7*1</f>
        <v>197673</v>
      </c>
      <c r="AC7" s="32">
        <f t="shared" ca="1" si="11"/>
        <v>-106239.77999999997</v>
      </c>
      <c r="AD7" s="32">
        <v>298938.71999999997</v>
      </c>
      <c r="AE7" s="32">
        <v>271324.82142857142</v>
      </c>
      <c r="AF7" s="32">
        <f ca="1">IFERROR(__xludf.DUMMYFUNCTION("AE7*GOOGLEFINANCE(""KZTRUB"")"),34770.9271541727)</f>
        <v>34770.927154172699</v>
      </c>
      <c r="AG7" s="32">
        <f t="shared" ca="1" si="12"/>
        <v>43811.3682142576</v>
      </c>
      <c r="AH7" s="32">
        <v>44370.508780608863</v>
      </c>
    </row>
    <row r="8" spans="1:34" ht="12.75" customHeight="1" x14ac:dyDescent="0.2">
      <c r="A8" s="28" t="s">
        <v>714</v>
      </c>
      <c r="B8" s="28" t="s">
        <v>716</v>
      </c>
      <c r="C8" s="29" t="s">
        <v>717</v>
      </c>
      <c r="D8" s="30">
        <v>106742</v>
      </c>
      <c r="E8" s="31" t="s">
        <v>16</v>
      </c>
      <c r="F8" s="10">
        <v>208</v>
      </c>
      <c r="G8" s="26">
        <v>1337</v>
      </c>
      <c r="H8" s="26">
        <f t="shared" si="0"/>
        <v>6428</v>
      </c>
      <c r="I8" s="26">
        <f t="shared" si="1"/>
        <v>1221.32</v>
      </c>
      <c r="J8" s="26">
        <f t="shared" ref="J8:K8" si="16">J$3</f>
        <v>500</v>
      </c>
      <c r="K8" s="26">
        <f t="shared" si="16"/>
        <v>500</v>
      </c>
      <c r="L8" s="26">
        <f ca="1">IFERROR(__xludf.DUMMYFUNCTION("ROUND(GOOGLEFINANCE(""Currency:EURKZT"")*H8)"),3069817)</f>
        <v>3069817</v>
      </c>
      <c r="M8" s="26">
        <f ca="1">IFERROR(__xludf.DUMMYFUNCTION("ROUND(GOOGLEFINANCE(""Currency:EURKZT"")*J8)"),238785)</f>
        <v>238785</v>
      </c>
      <c r="N8" s="26">
        <f ca="1">IFERROR(__xludf.DUMMYFUNCTION("ROUND(GOOGLEFINANCE(""Currency:EURKZT"")*K8)"),238785)</f>
        <v>238785</v>
      </c>
      <c r="O8" s="26">
        <f t="shared" ca="1" si="3"/>
        <v>368378</v>
      </c>
      <c r="P8" s="26">
        <f t="shared" ca="1" si="4"/>
        <v>3915765</v>
      </c>
      <c r="Q8" s="26">
        <f ca="1">IFERROR(__xludf.DUMMYFUNCTION("ROUND(GOOGLEFINANCE(""Currency:EURKZT"")*I8+P8)"),4499030)</f>
        <v>4499030</v>
      </c>
      <c r="R8" s="26">
        <f ca="1">IFERROR(__xludf.DUMMYFUNCTION("D8*GOOGLEFINANCE(""RUBKZT"")*1000/F8"),4004632.86667396)</f>
        <v>4004632.8666739599</v>
      </c>
      <c r="S8" s="27">
        <f t="shared" ca="1" si="5"/>
        <v>-0.10988971696699958</v>
      </c>
      <c r="T8" s="27">
        <f t="shared" ca="1" si="6"/>
        <v>-0.19602942177664467</v>
      </c>
      <c r="U8" s="32">
        <f t="shared" ca="1" si="7"/>
        <v>935798.24</v>
      </c>
      <c r="V8" s="32">
        <f t="shared" ca="1" si="8"/>
        <v>835534.14285714272</v>
      </c>
      <c r="W8" s="32">
        <f ca="1">IFERROR(__xludf.DUMMYFUNCTION("D8*GOOGLEFINANCE(""RUBKZT"")/1.24"),671744.867958213)</f>
        <v>671744.86795821297</v>
      </c>
      <c r="X8" s="27">
        <f t="shared" ca="1" si="9"/>
        <v>-0.19602942177664423</v>
      </c>
      <c r="Y8" s="32">
        <f t="shared" ca="1" si="10"/>
        <v>835534.14285714272</v>
      </c>
      <c r="Z8" s="32">
        <v>821555.05714285711</v>
      </c>
      <c r="AA8" s="32">
        <v>655070.9</v>
      </c>
      <c r="AB8" s="32">
        <f t="shared" si="15"/>
        <v>655070.9</v>
      </c>
      <c r="AC8" s="32">
        <f t="shared" ca="1" si="11"/>
        <v>-280727.33999999997</v>
      </c>
      <c r="AD8" s="32">
        <v>920482.3679999999</v>
      </c>
      <c r="AE8" s="32">
        <v>835454.65714285709</v>
      </c>
      <c r="AF8" s="32">
        <f ca="1">IFERROR(__xludf.DUMMYFUNCTION("AE8*GOOGLEFINANCE(""KZTRUB"")"),107065.519738216)</f>
        <v>107065.519738216</v>
      </c>
      <c r="AG8" s="32">
        <f t="shared" ca="1" si="12"/>
        <v>134902.55487015215</v>
      </c>
      <c r="AH8" s="32">
        <v>136624.24250527547</v>
      </c>
    </row>
    <row r="9" spans="1:34" ht="12.75" customHeight="1" x14ac:dyDescent="0.2">
      <c r="A9" s="28" t="s">
        <v>718</v>
      </c>
      <c r="B9" s="28" t="s">
        <v>461</v>
      </c>
      <c r="C9" s="29" t="s">
        <v>719</v>
      </c>
      <c r="D9" s="30">
        <v>7855</v>
      </c>
      <c r="E9" s="31" t="s">
        <v>16</v>
      </c>
      <c r="F9" s="10">
        <v>12</v>
      </c>
      <c r="G9" s="26">
        <v>103</v>
      </c>
      <c r="H9" s="26">
        <f t="shared" si="0"/>
        <v>8583</v>
      </c>
      <c r="I9" s="26">
        <f t="shared" si="1"/>
        <v>1630.77</v>
      </c>
      <c r="J9" s="26">
        <f t="shared" ref="J9:K9" si="17">J$3</f>
        <v>500</v>
      </c>
      <c r="K9" s="26">
        <f t="shared" si="17"/>
        <v>500</v>
      </c>
      <c r="L9" s="26">
        <f ca="1">IFERROR(__xludf.DUMMYFUNCTION("ROUND(GOOGLEFINANCE(""Currency:EURKZT"")*H9)"),4098980)</f>
        <v>4098980</v>
      </c>
      <c r="M9" s="26">
        <f ca="1">IFERROR(__xludf.DUMMYFUNCTION("ROUND(GOOGLEFINANCE(""Currency:EURKZT"")*J9)"),238785)</f>
        <v>238785</v>
      </c>
      <c r="N9" s="26">
        <f ca="1">IFERROR(__xludf.DUMMYFUNCTION("ROUND(GOOGLEFINANCE(""Currency:EURKZT"")*K9)"),238785)</f>
        <v>238785</v>
      </c>
      <c r="O9" s="26">
        <f t="shared" ca="1" si="3"/>
        <v>491878</v>
      </c>
      <c r="P9" s="26">
        <f t="shared" ca="1" si="4"/>
        <v>5068428</v>
      </c>
      <c r="Q9" s="26">
        <f ca="1">IFERROR(__xludf.DUMMYFUNCTION("ROUND(GOOGLEFINANCE(""Currency:EURKZT"")*I9+P9)"),5847234)</f>
        <v>5847234</v>
      </c>
      <c r="R9" s="26">
        <f ca="1">IFERROR(__xludf.DUMMYFUNCTION("D9*GOOGLEFINANCE(""RUBKZT"")*1000/F9"),5108056.000205)</f>
        <v>5108056.0002049999</v>
      </c>
      <c r="S9" s="27">
        <f t="shared" ca="1" si="5"/>
        <v>-0.12641498523831954</v>
      </c>
      <c r="T9" s="27">
        <f t="shared" ca="1" si="6"/>
        <v>-0.210955470537837</v>
      </c>
      <c r="U9" s="32">
        <f t="shared" ca="1" si="7"/>
        <v>70166.808000000005</v>
      </c>
      <c r="V9" s="32">
        <f t="shared" ca="1" si="8"/>
        <v>62648.935714285712</v>
      </c>
      <c r="W9" s="32">
        <f ca="1">IFERROR(__xludf.DUMMYFUNCTION("D9*GOOGLEFINANCE(""RUBKZT"")/1.24"),49432.8000019838)</f>
        <v>49432.8000019838</v>
      </c>
      <c r="X9" s="27">
        <f t="shared" ca="1" si="9"/>
        <v>-0.21095547053783809</v>
      </c>
      <c r="Y9" s="32">
        <f t="shared" ca="1" si="10"/>
        <v>62648.935714285712</v>
      </c>
      <c r="Z9" s="32">
        <v>61600.74642857143</v>
      </c>
      <c r="AA9" s="32">
        <v>16070</v>
      </c>
      <c r="AB9" s="32">
        <f t="shared" ref="AB9:AB10" si="18">AA9*3</f>
        <v>48210</v>
      </c>
      <c r="AC9" s="32">
        <f t="shared" ca="1" si="11"/>
        <v>-21956.808000000005</v>
      </c>
      <c r="AD9" s="32">
        <v>69018.407999999996</v>
      </c>
      <c r="AE9" s="32">
        <v>62642.967857142845</v>
      </c>
      <c r="AF9" s="32">
        <f ca="1">IFERROR(__xludf.DUMMYFUNCTION("AE9*GOOGLEFINANCE(""KZTRUB"")"),8027.8466990729)</f>
        <v>8027.8466990729003</v>
      </c>
      <c r="AG9" s="32">
        <f t="shared" ca="1" si="12"/>
        <v>10115.086840831855</v>
      </c>
      <c r="AH9" s="32">
        <v>10244.180170152558</v>
      </c>
    </row>
    <row r="10" spans="1:34" ht="12.75" customHeight="1" x14ac:dyDescent="0.2">
      <c r="A10" s="28" t="s">
        <v>720</v>
      </c>
      <c r="B10" s="28" t="s">
        <v>353</v>
      </c>
      <c r="C10" s="29" t="s">
        <v>721</v>
      </c>
      <c r="D10" s="30">
        <v>10878</v>
      </c>
      <c r="E10" s="31" t="s">
        <v>16</v>
      </c>
      <c r="F10" s="10">
        <v>15</v>
      </c>
      <c r="G10" s="26">
        <v>99</v>
      </c>
      <c r="H10" s="26">
        <f t="shared" si="0"/>
        <v>6600</v>
      </c>
      <c r="I10" s="26">
        <f t="shared" si="1"/>
        <v>1254</v>
      </c>
      <c r="J10" s="26">
        <f t="shared" ref="J10:K10" si="19">J$3</f>
        <v>500</v>
      </c>
      <c r="K10" s="26">
        <f t="shared" si="19"/>
        <v>500</v>
      </c>
      <c r="L10" s="26">
        <f ca="1">IFERROR(__xludf.DUMMYFUNCTION("ROUND(GOOGLEFINANCE(""Currency:EURKZT"")*H10)"),3151959)</f>
        <v>3151959</v>
      </c>
      <c r="M10" s="26">
        <f ca="1">IFERROR(__xludf.DUMMYFUNCTION("ROUND(GOOGLEFINANCE(""Currency:EURKZT"")*J10)"),238785)</f>
        <v>238785</v>
      </c>
      <c r="N10" s="26">
        <f ca="1">IFERROR(__xludf.DUMMYFUNCTION("ROUND(GOOGLEFINANCE(""Currency:EURKZT"")*K10)"),238785)</f>
        <v>238785</v>
      </c>
      <c r="O10" s="26">
        <f t="shared" ca="1" si="3"/>
        <v>378235</v>
      </c>
      <c r="P10" s="26">
        <f t="shared" ca="1" si="4"/>
        <v>4007764</v>
      </c>
      <c r="Q10" s="26">
        <f ca="1">IFERROR(__xludf.DUMMYFUNCTION("ROUND(GOOGLEFINANCE(""Currency:EURKZT"")*I10+P10)"),4606636)</f>
        <v>4606636</v>
      </c>
      <c r="R10" s="26">
        <f ca="1">IFERROR(__xludf.DUMMYFUNCTION("D10*GOOGLEFINANCE(""RUBKZT"")*1000/F10"),5659114.7722704)</f>
        <v>5659114.7722704001</v>
      </c>
      <c r="S10" s="27">
        <f t="shared" ca="1" si="5"/>
        <v>0.22847014009146807</v>
      </c>
      <c r="T10" s="27">
        <f t="shared" ca="1" si="6"/>
        <v>0.10958593298584217</v>
      </c>
      <c r="U10" s="32">
        <f t="shared" ca="1" si="7"/>
        <v>69099.540000000008</v>
      </c>
      <c r="V10" s="32">
        <f t="shared" ca="1" si="8"/>
        <v>61696.017857142855</v>
      </c>
      <c r="W10" s="32">
        <f ca="1">IFERROR(__xludf.DUMMYFUNCTION("D10*GOOGLEFINANCE(""RUBKZT"")/1.24"),68457.033535529)</f>
        <v>68457.033535529001</v>
      </c>
      <c r="X10" s="27">
        <f t="shared" ca="1" si="9"/>
        <v>0.10958593298584164</v>
      </c>
      <c r="Y10" s="32">
        <f t="shared" ca="1" si="10"/>
        <v>68457.033535529001</v>
      </c>
      <c r="Z10" s="32">
        <v>68000.613060551623</v>
      </c>
      <c r="AA10" s="32">
        <v>22252</v>
      </c>
      <c r="AB10" s="32">
        <f t="shared" si="18"/>
        <v>66756</v>
      </c>
      <c r="AC10" s="32">
        <f t="shared" ca="1" si="11"/>
        <v>-2343.5400000000081</v>
      </c>
      <c r="AD10" s="32">
        <v>67968.63</v>
      </c>
      <c r="AE10" s="32">
        <v>61690.138392857138</v>
      </c>
      <c r="AF10" s="32">
        <f ca="1">IFERROR(__xludf.DUMMYFUNCTION("AE10*GOOGLEFINANCE(""KZTRUB"")"),7905.73931605284)</f>
        <v>7905.73931605284</v>
      </c>
      <c r="AG10" s="32">
        <f t="shared" ca="1" si="12"/>
        <v>9961.2315382265788</v>
      </c>
      <c r="AH10" s="32">
        <v>10088.36129634325</v>
      </c>
    </row>
    <row r="11" spans="1:34" ht="12.75" customHeight="1" x14ac:dyDescent="0.2">
      <c r="A11" s="28" t="s">
        <v>722</v>
      </c>
      <c r="B11" s="28" t="s">
        <v>723</v>
      </c>
      <c r="C11" s="29" t="s">
        <v>724</v>
      </c>
      <c r="D11" s="30">
        <v>9871</v>
      </c>
      <c r="E11" s="31" t="s">
        <v>16</v>
      </c>
      <c r="F11" s="10">
        <v>20</v>
      </c>
      <c r="G11" s="26">
        <v>170</v>
      </c>
      <c r="H11" s="26">
        <f t="shared" si="0"/>
        <v>8500</v>
      </c>
      <c r="I11" s="26">
        <f t="shared" si="1"/>
        <v>1615</v>
      </c>
      <c r="J11" s="26">
        <f t="shared" ref="J11:K11" si="20">J$3</f>
        <v>500</v>
      </c>
      <c r="K11" s="26">
        <f t="shared" si="20"/>
        <v>500</v>
      </c>
      <c r="L11" s="26">
        <f ca="1">IFERROR(__xludf.DUMMYFUNCTION("ROUND(GOOGLEFINANCE(""Currency:EURKZT"")*H11)"),4059342)</f>
        <v>4059342</v>
      </c>
      <c r="M11" s="26">
        <f ca="1">IFERROR(__xludf.DUMMYFUNCTION("ROUND(GOOGLEFINANCE(""Currency:EURKZT"")*J11)"),238785)</f>
        <v>238785</v>
      </c>
      <c r="N11" s="26">
        <f ca="1">IFERROR(__xludf.DUMMYFUNCTION("ROUND(GOOGLEFINANCE(""Currency:EURKZT"")*K11)"),238785)</f>
        <v>238785</v>
      </c>
      <c r="O11" s="26">
        <f t="shared" ca="1" si="3"/>
        <v>487121</v>
      </c>
      <c r="P11" s="26">
        <f t="shared" ca="1" si="4"/>
        <v>5024033</v>
      </c>
      <c r="Q11" s="26">
        <f ca="1">IFERROR(__xludf.DUMMYFUNCTION("ROUND(GOOGLEFINANCE(""Currency:EURKZT"")*I11+P11)"),5795308)</f>
        <v>5795308</v>
      </c>
      <c r="R11" s="26">
        <f ca="1">IFERROR(__xludf.DUMMYFUNCTION("D11*GOOGLEFINANCE(""RUBKZT"")*1000/F11"),3851428.7036046)</f>
        <v>3851428.7036045999</v>
      </c>
      <c r="S11" s="27">
        <f t="shared" ca="1" si="5"/>
        <v>-0.33542294842576098</v>
      </c>
      <c r="T11" s="27">
        <f t="shared" ca="1" si="6"/>
        <v>-0.39973685664262282</v>
      </c>
      <c r="U11" s="32">
        <f t="shared" ca="1" si="7"/>
        <v>115906.16</v>
      </c>
      <c r="V11" s="32">
        <f t="shared" ca="1" si="8"/>
        <v>103487.64285714286</v>
      </c>
      <c r="W11" s="32">
        <f ca="1">IFERROR(__xludf.DUMMYFUNCTION("D11*GOOGLEFINANCE(""RUBKZT"")/1.24"),62119.8178000742)</f>
        <v>62119.817800074197</v>
      </c>
      <c r="X11" s="27">
        <f t="shared" ca="1" si="9"/>
        <v>-0.39973685664262276</v>
      </c>
      <c r="Y11" s="32">
        <f t="shared" ca="1" si="10"/>
        <v>103487.64285714286</v>
      </c>
      <c r="Z11" s="32">
        <v>101756.17857142855</v>
      </c>
      <c r="AA11" s="32">
        <v>60577</v>
      </c>
      <c r="AB11" s="32">
        <f t="shared" ref="AB11:AB12" si="21">AA11*1</f>
        <v>60577</v>
      </c>
      <c r="AC11" s="32">
        <f t="shared" ca="1" si="11"/>
        <v>-55329.16</v>
      </c>
      <c r="AD11" s="32">
        <v>114009.14000000001</v>
      </c>
      <c r="AE11" s="32">
        <v>103477.76785714286</v>
      </c>
      <c r="AF11" s="32">
        <f ca="1">IFERROR(__xludf.DUMMYFUNCTION("AE11*GOOGLEFINANCE(""KZTRUB"")"),13260.9243389268)</f>
        <v>13260.924338926799</v>
      </c>
      <c r="AG11" s="32">
        <f t="shared" ca="1" si="12"/>
        <v>16708.764667047766</v>
      </c>
      <c r="AH11" s="32">
        <v>16922.009505539758</v>
      </c>
    </row>
    <row r="12" spans="1:34" ht="12.75" customHeight="1" x14ac:dyDescent="0.2">
      <c r="A12" s="28" t="s">
        <v>725</v>
      </c>
      <c r="B12" s="28" t="s">
        <v>723</v>
      </c>
      <c r="C12" s="29" t="s">
        <v>726</v>
      </c>
      <c r="D12" s="30">
        <v>9982</v>
      </c>
      <c r="E12" s="31" t="s">
        <v>16</v>
      </c>
      <c r="F12" s="10">
        <v>20</v>
      </c>
      <c r="G12" s="26">
        <v>120</v>
      </c>
      <c r="H12" s="26">
        <f t="shared" si="0"/>
        <v>6000</v>
      </c>
      <c r="I12" s="26">
        <f t="shared" si="1"/>
        <v>1140</v>
      </c>
      <c r="J12" s="26">
        <f t="shared" ref="J12:K12" si="22">J$3</f>
        <v>500</v>
      </c>
      <c r="K12" s="26">
        <f t="shared" si="22"/>
        <v>500</v>
      </c>
      <c r="L12" s="26">
        <f ca="1">IFERROR(__xludf.DUMMYFUNCTION("ROUND(GOOGLEFINANCE(""Currency:EURKZT"")*H12)"),2865418)</f>
        <v>2865418</v>
      </c>
      <c r="M12" s="26">
        <f ca="1">IFERROR(__xludf.DUMMYFUNCTION("ROUND(GOOGLEFINANCE(""Currency:EURKZT"")*J12)"),238785)</f>
        <v>238785</v>
      </c>
      <c r="N12" s="26">
        <f ca="1">IFERROR(__xludf.DUMMYFUNCTION("ROUND(GOOGLEFINANCE(""Currency:EURKZT"")*K12)"),238785)</f>
        <v>238785</v>
      </c>
      <c r="O12" s="26">
        <f t="shared" ca="1" si="3"/>
        <v>343850</v>
      </c>
      <c r="P12" s="26">
        <f t="shared" ca="1" si="4"/>
        <v>3686838</v>
      </c>
      <c r="Q12" s="26">
        <f ca="1">IFERROR(__xludf.DUMMYFUNCTION("ROUND(GOOGLEFINANCE(""Currency:EURKZT"")*I12+P12)"),4231267)</f>
        <v>4231267</v>
      </c>
      <c r="R12" s="26">
        <f ca="1">IFERROR(__xludf.DUMMYFUNCTION("D12*GOOGLEFINANCE(""RUBKZT"")*1000/F12"),3894738.2554332)</f>
        <v>3894738.2554331999</v>
      </c>
      <c r="S12" s="27">
        <f t="shared" ca="1" si="5"/>
        <v>-7.9533800293576387E-2</v>
      </c>
      <c r="T12" s="27">
        <f t="shared" ca="1" si="6"/>
        <v>-0.16861117445871418</v>
      </c>
      <c r="U12" s="32">
        <f t="shared" ca="1" si="7"/>
        <v>84625.34</v>
      </c>
      <c r="V12" s="32">
        <f t="shared" ca="1" si="8"/>
        <v>75558.339285714275</v>
      </c>
      <c r="W12" s="32">
        <f ca="1">IFERROR(__xludf.DUMMYFUNCTION("D12*GOOGLEFINANCE(""RUBKZT"")/1.24"),62818.3589586)</f>
        <v>62818.358958600002</v>
      </c>
      <c r="X12" s="27">
        <f t="shared" ca="1" si="9"/>
        <v>-0.16861117445871401</v>
      </c>
      <c r="Y12" s="32">
        <f t="shared" ca="1" si="10"/>
        <v>75558.339285714275</v>
      </c>
      <c r="Z12" s="32">
        <v>74294.160714285696</v>
      </c>
      <c r="AA12" s="32">
        <v>61255</v>
      </c>
      <c r="AB12" s="32">
        <f t="shared" si="21"/>
        <v>61255</v>
      </c>
      <c r="AC12" s="32">
        <f t="shared" ca="1" si="11"/>
        <v>-23370.339999999997</v>
      </c>
      <c r="AD12" s="32">
        <v>83240.3</v>
      </c>
      <c r="AE12" s="32">
        <v>75551.142857142855</v>
      </c>
      <c r="AF12" s="32">
        <f ca="1">IFERROR(__xludf.DUMMYFUNCTION("AE12*GOOGLEFINANCE(""KZTRUB"")"),9682.06031010617)</f>
        <v>9682.0603101061697</v>
      </c>
      <c r="AG12" s="32">
        <f t="shared" ca="1" si="12"/>
        <v>12199.395990733774</v>
      </c>
      <c r="AH12" s="32">
        <v>12355.090219456381</v>
      </c>
    </row>
    <row r="13" spans="1:34" ht="12.75" customHeight="1" x14ac:dyDescent="0.2">
      <c r="A13" s="28" t="s">
        <v>727</v>
      </c>
      <c r="B13" s="28" t="s">
        <v>353</v>
      </c>
      <c r="C13" s="29" t="s">
        <v>728</v>
      </c>
      <c r="D13" s="30">
        <v>9428</v>
      </c>
      <c r="E13" s="31" t="s">
        <v>16</v>
      </c>
      <c r="F13" s="10">
        <v>15</v>
      </c>
      <c r="G13" s="26">
        <v>92</v>
      </c>
      <c r="H13" s="26">
        <f t="shared" si="0"/>
        <v>6133</v>
      </c>
      <c r="I13" s="26">
        <f t="shared" si="1"/>
        <v>1165.27</v>
      </c>
      <c r="J13" s="26">
        <f t="shared" ref="J13:K13" si="23">J$3</f>
        <v>500</v>
      </c>
      <c r="K13" s="26">
        <f t="shared" si="23"/>
        <v>500</v>
      </c>
      <c r="L13" s="26">
        <f ca="1">IFERROR(__xludf.DUMMYFUNCTION("ROUND(GOOGLEFINANCE(""Currency:EURKZT"")*H13)"),2928934)</f>
        <v>2928934</v>
      </c>
      <c r="M13" s="26">
        <f ca="1">IFERROR(__xludf.DUMMYFUNCTION("ROUND(GOOGLEFINANCE(""Currency:EURKZT"")*J13)"),238785)</f>
        <v>238785</v>
      </c>
      <c r="N13" s="26">
        <f ca="1">IFERROR(__xludf.DUMMYFUNCTION("ROUND(GOOGLEFINANCE(""Currency:EURKZT"")*K13)"),238785)</f>
        <v>238785</v>
      </c>
      <c r="O13" s="26">
        <f t="shared" ca="1" si="3"/>
        <v>351472</v>
      </c>
      <c r="P13" s="26">
        <f t="shared" ca="1" si="4"/>
        <v>3757976</v>
      </c>
      <c r="Q13" s="26">
        <f ca="1">IFERROR(__xludf.DUMMYFUNCTION("ROUND(GOOGLEFINANCE(""Currency:EURKZT"")*I13+P13)"),4314474)</f>
        <v>4314474</v>
      </c>
      <c r="R13" s="26">
        <f ca="1">IFERROR(__xludf.DUMMYFUNCTION("D13*GOOGLEFINANCE(""RUBKZT"")*1000/F13"),4904774.2299104)</f>
        <v>4904774.2299103998</v>
      </c>
      <c r="S13" s="27">
        <f t="shared" ca="1" si="5"/>
        <v>0.13681858551248652</v>
      </c>
      <c r="T13" s="27">
        <f t="shared" ca="1" si="6"/>
        <v>2.6803883688697575E-2</v>
      </c>
      <c r="U13" s="32">
        <f t="shared" ca="1" si="7"/>
        <v>64717.11</v>
      </c>
      <c r="V13" s="32">
        <f t="shared" ca="1" si="8"/>
        <v>57783.13392857142</v>
      </c>
      <c r="W13" s="32">
        <f ca="1">IFERROR(__xludf.DUMMYFUNCTION("D13*GOOGLEFINANCE(""RUBKZT"")/1.24"),59331.9463295612)</f>
        <v>59331.9463295612</v>
      </c>
      <c r="X13" s="27">
        <f t="shared" ca="1" si="9"/>
        <v>2.6803883688696142E-2</v>
      </c>
      <c r="Y13" s="32">
        <f t="shared" ca="1" si="10"/>
        <v>59331.9463295612</v>
      </c>
      <c r="Z13" s="32">
        <v>58936.36513466452</v>
      </c>
      <c r="AA13" s="32"/>
      <c r="AB13" s="32"/>
      <c r="AC13" s="32"/>
      <c r="AD13" s="32">
        <v>63657.899999999994</v>
      </c>
      <c r="AE13" s="32">
        <v>57777.62946428571</v>
      </c>
      <c r="AF13" s="32">
        <f ca="1">IFERROR(__xludf.DUMMYFUNCTION("AE13*GOOGLEFINANCE(""KZTRUB"")"),7404.34190526998)</f>
        <v>7404.3419052699801</v>
      </c>
      <c r="AG13" s="32">
        <f t="shared" ca="1" si="12"/>
        <v>9329.4708006401761</v>
      </c>
      <c r="AH13" s="32">
        <v>9448.5377414788054</v>
      </c>
    </row>
    <row r="14" spans="1:34" ht="12.75" customHeight="1" x14ac:dyDescent="0.2">
      <c r="A14" s="28"/>
      <c r="B14" s="28"/>
      <c r="C14" s="29"/>
      <c r="D14" s="30"/>
      <c r="E14" s="31"/>
      <c r="F14" s="10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7"/>
      <c r="T14" s="27"/>
      <c r="U14" s="32"/>
      <c r="V14" s="32"/>
      <c r="W14" s="32"/>
      <c r="X14" s="27"/>
      <c r="Y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34" ht="12.75" customHeight="1" x14ac:dyDescent="0.2">
      <c r="A15" s="28"/>
      <c r="B15" s="28"/>
      <c r="C15" s="29"/>
      <c r="D15" s="30"/>
      <c r="E15" s="31"/>
      <c r="F15" s="10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7"/>
      <c r="T15" s="27"/>
      <c r="U15" s="32"/>
      <c r="V15" s="32"/>
      <c r="W15" s="32"/>
      <c r="X15" s="27"/>
      <c r="Y15" s="32"/>
      <c r="Z15" s="32"/>
      <c r="AA15" s="32"/>
      <c r="AB15" s="32"/>
      <c r="AC15" s="32"/>
      <c r="AD15" s="32"/>
      <c r="AE15" s="32"/>
      <c r="AF15" s="32"/>
      <c r="AG15" s="32"/>
      <c r="AH15" s="32"/>
    </row>
    <row r="16" spans="1:34" ht="12.75" customHeight="1" x14ac:dyDescent="0.2">
      <c r="A16" s="28" t="s">
        <v>729</v>
      </c>
      <c r="B16" s="28" t="s">
        <v>488</v>
      </c>
      <c r="C16" s="29" t="s">
        <v>730</v>
      </c>
      <c r="D16" s="30">
        <v>9696</v>
      </c>
      <c r="E16" s="31" t="s">
        <v>7</v>
      </c>
      <c r="F16" s="10">
        <v>12</v>
      </c>
      <c r="G16" s="26">
        <v>97</v>
      </c>
      <c r="H16" s="26">
        <f t="shared" ref="H16:H19" si="24">ROUND(G16/F16*1000,0)</f>
        <v>8083</v>
      </c>
      <c r="I16" s="26">
        <f t="shared" ref="I16:I19" si="25">H16*I$3</f>
        <v>1535.77</v>
      </c>
      <c r="J16" s="26">
        <f t="shared" ref="J16:K16" si="26">J$3</f>
        <v>500</v>
      </c>
      <c r="K16" s="26">
        <f t="shared" si="26"/>
        <v>500</v>
      </c>
      <c r="L16" s="26">
        <f ca="1">IFERROR(__xludf.DUMMYFUNCTION("ROUND(GOOGLEFINANCE(""Currency:EURKZT"")*H16)"),3860195)</f>
        <v>3860195</v>
      </c>
      <c r="M16" s="26">
        <f ca="1">IFERROR(__xludf.DUMMYFUNCTION("ROUND(GOOGLEFINANCE(""Currency:EURKZT"")*J16)"),238785)</f>
        <v>238785</v>
      </c>
      <c r="N16" s="26">
        <f ca="1">IFERROR(__xludf.DUMMYFUNCTION("ROUND(GOOGLEFINANCE(""Currency:EURKZT"")*K16)"),238785)</f>
        <v>238785</v>
      </c>
      <c r="O16" s="26">
        <f t="shared" ref="O16:O19" ca="1" si="27">ROUND(L16*O$3,0)</f>
        <v>463223</v>
      </c>
      <c r="P16" s="26">
        <f t="shared" ref="P16:P19" ca="1" si="28">SUM(L16:O16)</f>
        <v>4800988</v>
      </c>
      <c r="Q16" s="26">
        <f ca="1">IFERROR(__xludf.DUMMYFUNCTION("ROUND(GOOGLEFINANCE(""Currency:EURKZT"")*I16+P16)"),5534425)</f>
        <v>5534425</v>
      </c>
      <c r="R16" s="26">
        <f ca="1">IFERROR(__xludf.DUMMYFUNCTION("D16*GOOGLEFINANCE(""RUBKZT"")*1000/F16"),6305246.464416)</f>
        <v>6305246.4644160001</v>
      </c>
      <c r="S16" s="27">
        <f t="shared" ref="S16:S19" ca="1" si="29">(R16-Q16)/Q16</f>
        <v>0.13927760596918382</v>
      </c>
      <c r="T16" s="27">
        <f t="shared" ref="T16:T19" ca="1" si="30">(R16/1.24-Q16/1.12)/Q16*1.12</f>
        <v>2.9024934423778927E-2</v>
      </c>
      <c r="U16" s="32">
        <f t="shared" ref="U16:U19" ca="1" si="31">Q16/1000*F16</f>
        <v>66413.100000000006</v>
      </c>
      <c r="V16" s="32">
        <f t="shared" ref="V16:V19" ca="1" si="32">U16/1.12</f>
        <v>59297.410714285717</v>
      </c>
      <c r="W16" s="32">
        <f ca="1">IFERROR(__xludf.DUMMYFUNCTION("D16*GOOGLEFINANCE(""RUBKZT"")/1.24"),61018.5141717677)</f>
        <v>61018.514171767703</v>
      </c>
      <c r="X16" s="27">
        <f t="shared" ref="X16:X19" ca="1" si="33">(W16-V16)/V16</f>
        <v>2.9024934423778202E-2</v>
      </c>
      <c r="Y16" s="32">
        <f t="shared" ref="Y16:Y19" ca="1" si="34">MAX(V16:W16)</f>
        <v>61018.514171767703</v>
      </c>
      <c r="Z16" s="32">
        <v>60611.688199587101</v>
      </c>
      <c r="AA16" s="32">
        <v>4959</v>
      </c>
      <c r="AB16" s="32">
        <f>AA16*12</f>
        <v>59508</v>
      </c>
      <c r="AC16" s="32">
        <f t="shared" ref="AC16:AC19" ca="1" si="35">AB16-U16</f>
        <v>-6905.1000000000058</v>
      </c>
      <c r="AD16" s="32">
        <v>65326.14</v>
      </c>
      <c r="AE16" s="32">
        <v>59291.753571428562</v>
      </c>
      <c r="AF16" s="32">
        <f ca="1">IFERROR(__xludf.DUMMYFUNCTION("AE16*GOOGLEFINANCE(""KZTRUB"")"),7598.38054410384)</f>
        <v>7598.3805441038403</v>
      </c>
      <c r="AG16" s="32">
        <f t="shared" ref="AG16:AG19" ca="1" si="36">AF16*1.05*1.2</f>
        <v>9573.9594855708383</v>
      </c>
      <c r="AH16" s="32">
        <v>9696.1467019756237</v>
      </c>
    </row>
    <row r="17" spans="1:34" ht="12.75" customHeight="1" x14ac:dyDescent="0.2">
      <c r="A17" s="28" t="s">
        <v>731</v>
      </c>
      <c r="B17" s="28" t="s">
        <v>461</v>
      </c>
      <c r="C17" s="29" t="s">
        <v>732</v>
      </c>
      <c r="D17" s="30">
        <v>8506</v>
      </c>
      <c r="E17" s="31" t="s">
        <v>7</v>
      </c>
      <c r="F17" s="10">
        <v>12</v>
      </c>
      <c r="G17" s="26">
        <v>85</v>
      </c>
      <c r="H17" s="26">
        <f t="shared" si="24"/>
        <v>7083</v>
      </c>
      <c r="I17" s="26">
        <f t="shared" si="25"/>
        <v>1345.77</v>
      </c>
      <c r="J17" s="26">
        <f t="shared" ref="J17:K17" si="37">J$3</f>
        <v>500</v>
      </c>
      <c r="K17" s="26">
        <f t="shared" si="37"/>
        <v>500</v>
      </c>
      <c r="L17" s="26">
        <f ca="1">IFERROR(__xludf.DUMMYFUNCTION("ROUND(GOOGLEFINANCE(""Currency:EURKZT"")*H17)"),3382626)</f>
        <v>3382626</v>
      </c>
      <c r="M17" s="26">
        <f ca="1">IFERROR(__xludf.DUMMYFUNCTION("ROUND(GOOGLEFINANCE(""Currency:EURKZT"")*J17)"),238785)</f>
        <v>238785</v>
      </c>
      <c r="N17" s="26">
        <f ca="1">IFERROR(__xludf.DUMMYFUNCTION("ROUND(GOOGLEFINANCE(""Currency:EURKZT"")*K17)"),238785)</f>
        <v>238785</v>
      </c>
      <c r="O17" s="26">
        <f t="shared" ca="1" si="27"/>
        <v>405915</v>
      </c>
      <c r="P17" s="26">
        <f t="shared" ca="1" si="28"/>
        <v>4266111</v>
      </c>
      <c r="Q17" s="26">
        <f ca="1">IFERROR(__xludf.DUMMYFUNCTION("ROUND(GOOGLEFINANCE(""Currency:EURKZT"")*I17+P17)"),4908810)</f>
        <v>4908810</v>
      </c>
      <c r="R17" s="26">
        <f ca="1">IFERROR(__xludf.DUMMYFUNCTION("D17*GOOGLEFINANCE(""RUBKZT"")*1000/F17"),5531397.114926)</f>
        <v>5531397.1149260001</v>
      </c>
      <c r="S17" s="27">
        <f t="shared" ca="1" si="29"/>
        <v>0.12683055871504501</v>
      </c>
      <c r="T17" s="27">
        <f t="shared" ca="1" si="30"/>
        <v>1.7782440129718208E-2</v>
      </c>
      <c r="U17" s="32">
        <f t="shared" ca="1" si="31"/>
        <v>58905.72</v>
      </c>
      <c r="V17" s="32">
        <f t="shared" ca="1" si="32"/>
        <v>52594.392857142855</v>
      </c>
      <c r="W17" s="32">
        <f ca="1">IFERROR(__xludf.DUMMYFUNCTION("D17*GOOGLEFINANCE(""RUBKZT"")/1.24"),53529.6494992838)</f>
        <v>53529.649499283798</v>
      </c>
      <c r="X17" s="27">
        <f t="shared" ca="1" si="33"/>
        <v>1.7782440129716706E-2</v>
      </c>
      <c r="Y17" s="32">
        <f t="shared" ca="1" si="34"/>
        <v>53529.649499283798</v>
      </c>
      <c r="Z17" s="32">
        <v>53172.753694893545</v>
      </c>
      <c r="AA17" s="32">
        <v>17399</v>
      </c>
      <c r="AB17" s="32">
        <f t="shared" ref="AB17:AB19" si="38">AA17*3</f>
        <v>52197</v>
      </c>
      <c r="AC17" s="32">
        <f t="shared" ca="1" si="35"/>
        <v>-6708.7200000000012</v>
      </c>
      <c r="AD17" s="32">
        <v>57941.627999999997</v>
      </c>
      <c r="AE17" s="32">
        <v>52589.367857142854</v>
      </c>
      <c r="AF17" s="32">
        <f ca="1">IFERROR(__xludf.DUMMYFUNCTION("AE17*GOOGLEFINANCE(""KZTRUB"")"),6739.45372641146)</f>
        <v>6739.4537264114597</v>
      </c>
      <c r="AG17" s="32">
        <f t="shared" ca="1" si="36"/>
        <v>8491.7116952784399</v>
      </c>
      <c r="AH17" s="32">
        <v>8600.0867741704878</v>
      </c>
    </row>
    <row r="18" spans="1:34" ht="12.75" customHeight="1" x14ac:dyDescent="0.2">
      <c r="A18" s="28" t="s">
        <v>536</v>
      </c>
      <c r="B18" s="28" t="s">
        <v>353</v>
      </c>
      <c r="C18" s="29" t="s">
        <v>733</v>
      </c>
      <c r="D18" s="30">
        <v>10631</v>
      </c>
      <c r="E18" s="31" t="s">
        <v>7</v>
      </c>
      <c r="F18" s="10">
        <v>15</v>
      </c>
      <c r="G18" s="26">
        <v>106</v>
      </c>
      <c r="H18" s="26">
        <f t="shared" si="24"/>
        <v>7067</v>
      </c>
      <c r="I18" s="26">
        <f t="shared" si="25"/>
        <v>1342.73</v>
      </c>
      <c r="J18" s="26">
        <f t="shared" ref="J18:K18" si="39">J$3</f>
        <v>500</v>
      </c>
      <c r="K18" s="26">
        <f t="shared" si="39"/>
        <v>500</v>
      </c>
      <c r="L18" s="26">
        <f ca="1">IFERROR(__xludf.DUMMYFUNCTION("ROUND(GOOGLEFINANCE(""Currency:EURKZT"")*H18)"),3374984)</f>
        <v>3374984</v>
      </c>
      <c r="M18" s="26">
        <f ca="1">IFERROR(__xludf.DUMMYFUNCTION("ROUND(GOOGLEFINANCE(""Currency:EURKZT"")*J18)"),238785)</f>
        <v>238785</v>
      </c>
      <c r="N18" s="26">
        <f ca="1">IFERROR(__xludf.DUMMYFUNCTION("ROUND(GOOGLEFINANCE(""Currency:EURKZT"")*K18)"),238785)</f>
        <v>238785</v>
      </c>
      <c r="O18" s="26">
        <f t="shared" ca="1" si="27"/>
        <v>404998</v>
      </c>
      <c r="P18" s="26">
        <f t="shared" ca="1" si="28"/>
        <v>4257552</v>
      </c>
      <c r="Q18" s="26">
        <f ca="1">IFERROR(__xludf.DUMMYFUNCTION("ROUND(GOOGLEFINANCE(""Currency:EURKZT"")*I18+P18)"),4898799)</f>
        <v>4898799</v>
      </c>
      <c r="R18" s="26">
        <f ca="1">IFERROR(__xludf.DUMMYFUNCTION("D18*GOOGLEFINANCE(""RUBKZT"")*1000/F18"),5530616.7626408)</f>
        <v>5530616.7626408003</v>
      </c>
      <c r="S18" s="27">
        <f t="shared" ca="1" si="29"/>
        <v>0.12897401233257383</v>
      </c>
      <c r="T18" s="27">
        <f t="shared" ca="1" si="30"/>
        <v>1.97184627520023E-2</v>
      </c>
      <c r="U18" s="32">
        <f t="shared" ca="1" si="31"/>
        <v>73481.985000000001</v>
      </c>
      <c r="V18" s="32">
        <f t="shared" ca="1" si="32"/>
        <v>65608.91517857142</v>
      </c>
      <c r="W18" s="32">
        <f ca="1">IFERROR(__xludf.DUMMYFUNCTION("D18*GOOGLEFINANCE(""RUBKZT"")/1.24"),66902.6221287193)</f>
        <v>66902.622128719304</v>
      </c>
      <c r="X18" s="27">
        <f t="shared" ca="1" si="33"/>
        <v>1.9718462752001457E-2</v>
      </c>
      <c r="Y18" s="32">
        <f t="shared" ca="1" si="34"/>
        <v>66902.622128719304</v>
      </c>
      <c r="Z18" s="32">
        <v>66456.565310417747</v>
      </c>
      <c r="AA18" s="32">
        <v>21747</v>
      </c>
      <c r="AB18" s="32">
        <f t="shared" si="38"/>
        <v>65241</v>
      </c>
      <c r="AC18" s="32">
        <f t="shared" ca="1" si="35"/>
        <v>-8240.9850000000006</v>
      </c>
      <c r="AD18" s="32">
        <v>72279.345000000001</v>
      </c>
      <c r="AE18" s="32">
        <v>65602.674107142841</v>
      </c>
      <c r="AF18" s="32">
        <f ca="1">IFERROR(__xludf.DUMMYFUNCTION("AE18*GOOGLEFINANCE(""KZTRUB"")"),8407.14015948928)</f>
        <v>8407.1401594892795</v>
      </c>
      <c r="AG18" s="32">
        <f t="shared" ca="1" si="36"/>
        <v>10592.996600956492</v>
      </c>
      <c r="AH18" s="32">
        <v>10728.18923155065</v>
      </c>
    </row>
    <row r="19" spans="1:34" ht="12.75" customHeight="1" x14ac:dyDescent="0.2">
      <c r="A19" s="28" t="s">
        <v>734</v>
      </c>
      <c r="B19" s="28" t="s">
        <v>461</v>
      </c>
      <c r="C19" s="29">
        <v>213909</v>
      </c>
      <c r="D19" s="30">
        <v>8204</v>
      </c>
      <c r="E19" s="31" t="s">
        <v>7</v>
      </c>
      <c r="F19" s="10">
        <v>12</v>
      </c>
      <c r="G19" s="26">
        <v>80</v>
      </c>
      <c r="H19" s="26">
        <f t="shared" si="24"/>
        <v>6667</v>
      </c>
      <c r="I19" s="26">
        <f t="shared" si="25"/>
        <v>1266.73</v>
      </c>
      <c r="J19" s="26">
        <f t="shared" ref="J19:K19" si="40">J$3</f>
        <v>500</v>
      </c>
      <c r="K19" s="26">
        <f t="shared" si="40"/>
        <v>500</v>
      </c>
      <c r="L19" s="26">
        <f ca="1">IFERROR(__xludf.DUMMYFUNCTION("ROUND(GOOGLEFINANCE(""Currency:EURKZT"")*H19)"),3183957)</f>
        <v>3183957</v>
      </c>
      <c r="M19" s="26">
        <f ca="1">IFERROR(__xludf.DUMMYFUNCTION("ROUND(GOOGLEFINANCE(""Currency:EURKZT"")*J19)"),238785)</f>
        <v>238785</v>
      </c>
      <c r="N19" s="26">
        <f ca="1">IFERROR(__xludf.DUMMYFUNCTION("ROUND(GOOGLEFINANCE(""Currency:EURKZT"")*K19)"),238785)</f>
        <v>238785</v>
      </c>
      <c r="O19" s="26">
        <f t="shared" ca="1" si="27"/>
        <v>382075</v>
      </c>
      <c r="P19" s="26">
        <f t="shared" ca="1" si="28"/>
        <v>4043602</v>
      </c>
      <c r="Q19" s="26">
        <f ca="1">IFERROR(__xludf.DUMMYFUNCTION("ROUND(GOOGLEFINANCE(""Currency:EURKZT"")*I19+P19)"),4648554)</f>
        <v>4648554</v>
      </c>
      <c r="R19" s="26">
        <f ca="1">IFERROR(__xludf.DUMMYFUNCTION("D19*GOOGLEFINANCE(""RUBKZT"")*1000/F19"),5335008.456484)</f>
        <v>5335008.4564840002</v>
      </c>
      <c r="S19" s="27">
        <f t="shared" ca="1" si="29"/>
        <v>0.14767053507047573</v>
      </c>
      <c r="T19" s="27">
        <f t="shared" ca="1" si="30"/>
        <v>3.6605644579784623E-2</v>
      </c>
      <c r="U19" s="32">
        <f t="shared" ca="1" si="31"/>
        <v>55782.648000000001</v>
      </c>
      <c r="V19" s="32">
        <f t="shared" ca="1" si="32"/>
        <v>49805.935714285712</v>
      </c>
      <c r="W19" s="32">
        <f ca="1">IFERROR(__xludf.DUMMYFUNCTION("D19*GOOGLEFINANCE(""RUBKZT"")/1.24"),51629.1140950064)</f>
        <v>51629.1140950064</v>
      </c>
      <c r="X19" s="27">
        <f t="shared" ca="1" si="33"/>
        <v>3.6605644579783506E-2</v>
      </c>
      <c r="Y19" s="32">
        <f t="shared" ca="1" si="34"/>
        <v>51629.1140950064</v>
      </c>
      <c r="Z19" s="32">
        <v>51284.889644122588</v>
      </c>
      <c r="AA19" s="32">
        <v>16784</v>
      </c>
      <c r="AB19" s="32">
        <f t="shared" si="38"/>
        <v>50352</v>
      </c>
      <c r="AC19" s="32">
        <f t="shared" ca="1" si="35"/>
        <v>-5430.648000000001</v>
      </c>
      <c r="AD19" s="32">
        <v>54869.651999999995</v>
      </c>
      <c r="AE19" s="32">
        <v>49801.167857142857</v>
      </c>
      <c r="AF19" s="32">
        <f ca="1">IFERROR(__xludf.DUMMYFUNCTION("AE19*GOOGLEFINANCE(""KZTRUB"")"),6382.13920361618)</f>
        <v>6382.1392036161797</v>
      </c>
      <c r="AG19" s="32">
        <f t="shared" ca="1" si="36"/>
        <v>8041.4953965563864</v>
      </c>
      <c r="AH19" s="32">
        <v>8144.1246106989747</v>
      </c>
    </row>
    <row r="20" spans="1:34" ht="12.75" customHeight="1" x14ac:dyDescent="0.2">
      <c r="A20" s="28"/>
      <c r="B20" s="28"/>
      <c r="C20" s="29"/>
      <c r="D20" s="30"/>
      <c r="E20" s="31"/>
      <c r="F20" s="10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1:34" ht="12.75" customHeight="1" x14ac:dyDescent="0.2">
      <c r="A21" s="28"/>
      <c r="B21" s="28"/>
      <c r="C21" s="29"/>
      <c r="D21" s="30"/>
      <c r="E21" s="31"/>
      <c r="F21" s="10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1:34" ht="12.75" customHeight="1" x14ac:dyDescent="0.2">
      <c r="A22" s="28"/>
      <c r="B22" s="28"/>
      <c r="C22" s="29"/>
      <c r="D22" s="30"/>
      <c r="E22" s="31"/>
      <c r="F22" s="10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spans="1:34" ht="12.75" customHeight="1" x14ac:dyDescent="0.2">
      <c r="A23" s="28"/>
      <c r="B23" s="28"/>
      <c r="C23" s="29"/>
      <c r="D23" s="30"/>
      <c r="E23" s="31"/>
      <c r="F23" s="10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1:34" ht="12.75" customHeight="1" x14ac:dyDescent="0.2">
      <c r="A24" s="28"/>
      <c r="B24" s="28"/>
      <c r="C24" s="29"/>
      <c r="D24" s="30"/>
      <c r="E24" s="31"/>
      <c r="F24" s="10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</sheetData>
  <autoFilter ref="A4:S24" xr:uid="{00000000-0009-0000-0000-000002000000}">
    <sortState xmlns:xlrd2="http://schemas.microsoft.com/office/spreadsheetml/2017/richdata2" ref="A4:S24">
      <sortCondition ref="B4:B24"/>
    </sortState>
  </autoFilter>
  <conditionalFormatting sqref="S5:T19 X5:AH19">
    <cfRule type="cellIs" dxfId="0" priority="1" operator="greaterThan">
      <formula>0</formula>
    </cfRule>
  </conditionalFormatting>
  <pageMargins left="0.70866141732283472" right="0.70866141732283472" top="0.74803149606299213" bottom="0.74803149606299213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7"/>
  <sheetViews>
    <sheetView workbookViewId="0"/>
  </sheetViews>
  <sheetFormatPr baseColWidth="10" defaultColWidth="14.5" defaultRowHeight="15" customHeight="1" x14ac:dyDescent="0.2"/>
  <sheetData>
    <row r="1" spans="1:22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0" t="s">
        <v>689</v>
      </c>
      <c r="G1" s="11" t="s">
        <v>690</v>
      </c>
      <c r="H1" s="11" t="s">
        <v>691</v>
      </c>
      <c r="I1" s="11" t="s">
        <v>692</v>
      </c>
      <c r="J1" s="12" t="s">
        <v>693</v>
      </c>
      <c r="K1" s="12" t="s">
        <v>694</v>
      </c>
      <c r="L1" s="12" t="s">
        <v>695</v>
      </c>
      <c r="M1" s="12" t="s">
        <v>696</v>
      </c>
      <c r="N1" s="12" t="s">
        <v>697</v>
      </c>
      <c r="O1" s="12" t="s">
        <v>694</v>
      </c>
      <c r="P1" s="12" t="s">
        <v>696</v>
      </c>
      <c r="Q1" s="12" t="s">
        <v>697</v>
      </c>
      <c r="R1" s="12" t="s">
        <v>698</v>
      </c>
      <c r="S1" s="12" t="s">
        <v>699</v>
      </c>
      <c r="T1" s="12" t="s">
        <v>700</v>
      </c>
      <c r="U1" s="12" t="s">
        <v>701</v>
      </c>
      <c r="V1" s="12" t="s">
        <v>702</v>
      </c>
    </row>
    <row r="2" spans="1:22" x14ac:dyDescent="0.2">
      <c r="A2" s="6"/>
      <c r="B2" s="6"/>
      <c r="C2" s="7"/>
      <c r="D2" s="8"/>
      <c r="E2" s="9"/>
      <c r="F2" s="10" t="s">
        <v>703</v>
      </c>
      <c r="G2" s="11" t="s">
        <v>704</v>
      </c>
      <c r="H2" s="11" t="s">
        <v>704</v>
      </c>
      <c r="I2" s="11" t="s">
        <v>705</v>
      </c>
      <c r="J2" s="12" t="s">
        <v>706</v>
      </c>
      <c r="K2" s="12" t="s">
        <v>706</v>
      </c>
      <c r="L2" s="12" t="s">
        <v>706</v>
      </c>
      <c r="M2" s="12" t="s">
        <v>706</v>
      </c>
      <c r="N2" s="12" t="s">
        <v>706</v>
      </c>
      <c r="O2" s="12" t="s">
        <v>705</v>
      </c>
      <c r="P2" s="12" t="s">
        <v>705</v>
      </c>
      <c r="Q2" s="12" t="s">
        <v>705</v>
      </c>
      <c r="R2" s="12" t="s">
        <v>705</v>
      </c>
      <c r="S2" s="12" t="s">
        <v>705</v>
      </c>
      <c r="T2" s="12" t="s">
        <v>705</v>
      </c>
      <c r="U2" s="12" t="s">
        <v>705</v>
      </c>
      <c r="V2" s="12" t="s">
        <v>705</v>
      </c>
    </row>
    <row r="3" spans="1:22" x14ac:dyDescent="0.2">
      <c r="A3" s="6"/>
      <c r="B3" s="6"/>
      <c r="C3" s="7"/>
      <c r="D3" s="8"/>
      <c r="E3" s="9"/>
      <c r="F3" s="13"/>
      <c r="G3" s="14"/>
      <c r="H3" s="14">
        <v>0.55000000000000004</v>
      </c>
      <c r="I3" s="14"/>
      <c r="J3" s="15"/>
      <c r="K3" s="16"/>
      <c r="L3" s="17">
        <v>0.19</v>
      </c>
      <c r="M3" s="18">
        <v>500</v>
      </c>
      <c r="N3" s="18">
        <v>500</v>
      </c>
      <c r="O3" s="16"/>
      <c r="P3" s="16"/>
      <c r="Q3" s="16"/>
      <c r="R3" s="17">
        <v>0.12</v>
      </c>
      <c r="S3" s="16"/>
      <c r="T3" s="16"/>
      <c r="U3" s="16"/>
      <c r="V3" s="16"/>
    </row>
    <row r="4" spans="1:22" x14ac:dyDescent="0.2">
      <c r="A4" s="19"/>
      <c r="B4" s="19"/>
      <c r="C4" s="19"/>
      <c r="D4" s="20"/>
      <c r="E4" s="21"/>
      <c r="F4" s="22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x14ac:dyDescent="0.2">
      <c r="A5" s="6" t="s">
        <v>463</v>
      </c>
      <c r="B5" s="6" t="s">
        <v>488</v>
      </c>
      <c r="C5" s="7">
        <v>213764</v>
      </c>
      <c r="D5" s="8">
        <v>9679.1999999999989</v>
      </c>
      <c r="E5" s="9" t="s">
        <v>16</v>
      </c>
      <c r="F5" s="23">
        <v>12</v>
      </c>
      <c r="G5" s="25"/>
      <c r="H5" s="14">
        <f t="shared" ref="H5:H7" si="0">H$3+G5</f>
        <v>0.55000000000000004</v>
      </c>
      <c r="I5" s="25">
        <f ca="1">IFERROR(__xludf.DUMMYFUNCTION("ROUND(D5*GOOGLEFINANCE(""RUBKZT"")*H5)"),41543)</f>
        <v>41543</v>
      </c>
      <c r="J5" s="26">
        <f ca="1">IFERROR(__xludf.DUMMYFUNCTION("ROUND(I5*GOOGLEFINANCE(""KZTEUR""))"),87)</f>
        <v>87</v>
      </c>
      <c r="K5" s="26">
        <f t="shared" ref="K5:K7" ca="1" si="1">ROUND(J5/F5*1000,0)</f>
        <v>7250</v>
      </c>
      <c r="L5" s="26">
        <f t="shared" ref="L5:L7" ca="1" si="2">K5*L$3</f>
        <v>1377.5</v>
      </c>
      <c r="M5" s="26">
        <f t="shared" ref="M5:N5" si="3">M$3</f>
        <v>500</v>
      </c>
      <c r="N5" s="26">
        <f t="shared" si="3"/>
        <v>500</v>
      </c>
      <c r="O5" s="26">
        <f ca="1">IFERROR(__xludf.DUMMYFUNCTION("ROUND(GOOGLEFINANCE(""Currency:EURKZT"")*K5)"),3462380)</f>
        <v>3462380</v>
      </c>
      <c r="P5" s="26">
        <f ca="1">IFERROR(__xludf.DUMMYFUNCTION("ROUND(GOOGLEFINANCE(""Currency:EURKZT"")*M5)"),238785)</f>
        <v>238785</v>
      </c>
      <c r="Q5" s="26">
        <f ca="1">IFERROR(__xludf.DUMMYFUNCTION("ROUND(GOOGLEFINANCE(""Currency:EURKZT"")*N5)"),238785)</f>
        <v>238785</v>
      </c>
      <c r="R5" s="26">
        <f t="shared" ref="R5:R7" ca="1" si="4">ROUND(O5*R$3,0)</f>
        <v>415486</v>
      </c>
      <c r="S5" s="26">
        <f t="shared" ref="S5:S7" ca="1" si="5">SUM(O5:R5)</f>
        <v>4355436</v>
      </c>
      <c r="T5" s="26">
        <f ca="1">IFERROR(__xludf.DUMMYFUNCTION("ROUND(GOOGLEFINANCE(""Currency:EURKZT"")*L5+S5)"),5013288)</f>
        <v>5013288</v>
      </c>
      <c r="U5" s="26">
        <f ca="1">IFERROR(__xludf.DUMMYFUNCTION("D5*GOOGLEFINANCE(""RUBKZT"")*1000/F5"),6294321.53242319)</f>
        <v>6294321.5324231898</v>
      </c>
      <c r="V5" s="27">
        <f t="shared" ref="V5:V7" ca="1" si="6">(U5-T5)/T5</f>
        <v>0.25552761629158144</v>
      </c>
    </row>
    <row r="6" spans="1:22" x14ac:dyDescent="0.2">
      <c r="A6" s="6" t="s">
        <v>463</v>
      </c>
      <c r="B6" s="6" t="s">
        <v>461</v>
      </c>
      <c r="C6" s="7">
        <v>216565</v>
      </c>
      <c r="D6" s="8">
        <v>7926</v>
      </c>
      <c r="E6" s="9" t="s">
        <v>16</v>
      </c>
      <c r="F6" s="23">
        <v>12</v>
      </c>
      <c r="G6" s="25"/>
      <c r="H6" s="14">
        <f t="shared" si="0"/>
        <v>0.55000000000000004</v>
      </c>
      <c r="I6" s="25">
        <f ca="1">IFERROR(__xludf.DUMMYFUNCTION("ROUND(D6*GOOGLEFINANCE(""RUBKZT"")*H6)"),34018)</f>
        <v>34018</v>
      </c>
      <c r="J6" s="26">
        <f ca="1">IFERROR(__xludf.DUMMYFUNCTION("ROUND(I6*GOOGLEFINANCE(""KZTEUR""))"),71)</f>
        <v>71</v>
      </c>
      <c r="K6" s="26">
        <f t="shared" ca="1" si="1"/>
        <v>5917</v>
      </c>
      <c r="L6" s="26">
        <f t="shared" ca="1" si="2"/>
        <v>1124.23</v>
      </c>
      <c r="M6" s="26">
        <f t="shared" ref="M6:N6" si="7">M$3</f>
        <v>500</v>
      </c>
      <c r="N6" s="26">
        <f t="shared" si="7"/>
        <v>500</v>
      </c>
      <c r="O6" s="26">
        <f ca="1">IFERROR(__xludf.DUMMYFUNCTION("ROUND(GOOGLEFINANCE(""Currency:EURKZT"")*K6)"),2825779)</f>
        <v>2825779</v>
      </c>
      <c r="P6" s="26">
        <f ca="1">IFERROR(__xludf.DUMMYFUNCTION("ROUND(GOOGLEFINANCE(""Currency:EURKZT"")*M6)"),238785)</f>
        <v>238785</v>
      </c>
      <c r="Q6" s="26">
        <f ca="1">IFERROR(__xludf.DUMMYFUNCTION("ROUND(GOOGLEFINANCE(""Currency:EURKZT"")*N6)"),238785)</f>
        <v>238785</v>
      </c>
      <c r="R6" s="26">
        <f t="shared" ca="1" si="4"/>
        <v>339093</v>
      </c>
      <c r="S6" s="26">
        <f t="shared" ca="1" si="5"/>
        <v>3642442</v>
      </c>
      <c r="T6" s="26">
        <f ca="1">IFERROR(__xludf.DUMMYFUNCTION("ROUND(GOOGLEFINANCE(""Currency:EURKZT"")*L6+S6)"),4179340)</f>
        <v>4179340</v>
      </c>
      <c r="U6" s="26">
        <f ca="1">IFERROR(__xludf.DUMMYFUNCTION("D6*GOOGLEFINANCE(""RUBKZT"")*1000/F6"),5154226.843746)</f>
        <v>5154226.843746</v>
      </c>
      <c r="V6" s="27">
        <f t="shared" ca="1" si="6"/>
        <v>0.23326334869764126</v>
      </c>
    </row>
    <row r="7" spans="1:22" x14ac:dyDescent="0.2">
      <c r="A7" s="6" t="s">
        <v>70</v>
      </c>
      <c r="B7" s="6" t="s">
        <v>6</v>
      </c>
      <c r="C7" s="7">
        <v>132353</v>
      </c>
      <c r="D7" s="8">
        <v>32210.399999999998</v>
      </c>
      <c r="E7" s="9" t="s">
        <v>16</v>
      </c>
      <c r="F7" s="10">
        <v>60</v>
      </c>
      <c r="G7" s="25"/>
      <c r="H7" s="14">
        <f t="shared" si="0"/>
        <v>0.55000000000000004</v>
      </c>
      <c r="I7" s="25">
        <f ca="1">IFERROR(__xludf.DUMMYFUNCTION("ROUND(D7*GOOGLEFINANCE(""RUBKZT"")*H7)"),138245)</f>
        <v>138245</v>
      </c>
      <c r="J7" s="26">
        <f ca="1">IFERROR(__xludf.DUMMYFUNCTION("ROUND(I7*GOOGLEFINANCE(""KZTEUR""))"),290)</f>
        <v>290</v>
      </c>
      <c r="K7" s="26">
        <f t="shared" ca="1" si="1"/>
        <v>4833</v>
      </c>
      <c r="L7" s="26">
        <f t="shared" ca="1" si="2"/>
        <v>918.27</v>
      </c>
      <c r="M7" s="26">
        <f t="shared" ref="M7:N7" si="8">M$3</f>
        <v>500</v>
      </c>
      <c r="N7" s="26">
        <f t="shared" si="8"/>
        <v>500</v>
      </c>
      <c r="O7" s="26">
        <f ca="1">IFERROR(__xludf.DUMMYFUNCTION("ROUND(GOOGLEFINANCE(""Currency:EURKZT"")*K7)"),2308094)</f>
        <v>2308094</v>
      </c>
      <c r="P7" s="26">
        <f ca="1">IFERROR(__xludf.DUMMYFUNCTION("ROUND(GOOGLEFINANCE(""Currency:EURKZT"")*M7)"),238785)</f>
        <v>238785</v>
      </c>
      <c r="Q7" s="26">
        <f ca="1">IFERROR(__xludf.DUMMYFUNCTION("ROUND(GOOGLEFINANCE(""Currency:EURKZT"")*N7)"),238785)</f>
        <v>238785</v>
      </c>
      <c r="R7" s="26">
        <f t="shared" ca="1" si="4"/>
        <v>276971</v>
      </c>
      <c r="S7" s="26">
        <f t="shared" ca="1" si="5"/>
        <v>3062635</v>
      </c>
      <c r="T7" s="26">
        <f ca="1">IFERROR(__xludf.DUMMYFUNCTION("ROUND(GOOGLEFINANCE(""Currency:EURKZT"")*L7+S7)"),3501173)</f>
        <v>3501173</v>
      </c>
      <c r="U7" s="26">
        <f ca="1">IFERROR(__xludf.DUMMYFUNCTION("D7*GOOGLEFINANCE(""RUBKZT"")*1000/F7"),4189243.20786768)</f>
        <v>4189243.2078676801</v>
      </c>
      <c r="V7" s="27">
        <f t="shared" ca="1" si="6"/>
        <v>0.19652562380313116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baseColWidth="10" defaultColWidth="14.5" defaultRowHeight="15" customHeight="1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1355"/>
  <sheetViews>
    <sheetView workbookViewId="0"/>
  </sheetViews>
  <sheetFormatPr baseColWidth="10" defaultColWidth="14.5" defaultRowHeight="15" customHeight="1" x14ac:dyDescent="0.2"/>
  <cols>
    <col min="1" max="1" width="31" customWidth="1"/>
    <col min="2" max="2" width="20.33203125" customWidth="1"/>
    <col min="3" max="3" width="9.6640625" customWidth="1"/>
    <col min="4" max="22" width="16.1640625" customWidth="1"/>
  </cols>
  <sheetData>
    <row r="1" spans="1:22" ht="37.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2" t="s">
        <v>689</v>
      </c>
      <c r="G1" s="11" t="s">
        <v>690</v>
      </c>
      <c r="H1" s="11" t="s">
        <v>691</v>
      </c>
      <c r="I1" s="11" t="s">
        <v>692</v>
      </c>
      <c r="J1" s="12" t="s">
        <v>693</v>
      </c>
      <c r="K1" s="12" t="s">
        <v>694</v>
      </c>
      <c r="L1" s="12" t="s">
        <v>695</v>
      </c>
      <c r="M1" s="12" t="s">
        <v>696</v>
      </c>
      <c r="N1" s="12" t="s">
        <v>697</v>
      </c>
      <c r="O1" s="12" t="s">
        <v>694</v>
      </c>
      <c r="P1" s="12" t="s">
        <v>696</v>
      </c>
      <c r="Q1" s="12" t="s">
        <v>697</v>
      </c>
      <c r="R1" s="12" t="s">
        <v>698</v>
      </c>
      <c r="S1" s="12" t="s">
        <v>699</v>
      </c>
      <c r="T1" s="12" t="s">
        <v>700</v>
      </c>
      <c r="U1" s="12" t="s">
        <v>701</v>
      </c>
      <c r="V1" s="12" t="s">
        <v>702</v>
      </c>
    </row>
    <row r="2" spans="1:22" ht="12.75" customHeight="1" x14ac:dyDescent="0.2">
      <c r="A2" s="6"/>
      <c r="B2" s="6"/>
      <c r="C2" s="7"/>
      <c r="D2" s="8"/>
      <c r="E2" s="9"/>
      <c r="F2" s="12" t="s">
        <v>703</v>
      </c>
      <c r="G2" s="11" t="s">
        <v>704</v>
      </c>
      <c r="H2" s="11" t="s">
        <v>704</v>
      </c>
      <c r="I2" s="11" t="s">
        <v>705</v>
      </c>
      <c r="J2" s="12" t="s">
        <v>706</v>
      </c>
      <c r="K2" s="12" t="s">
        <v>706</v>
      </c>
      <c r="L2" s="12" t="s">
        <v>706</v>
      </c>
      <c r="M2" s="12" t="s">
        <v>706</v>
      </c>
      <c r="N2" s="12" t="s">
        <v>706</v>
      </c>
      <c r="O2" s="12" t="s">
        <v>705</v>
      </c>
      <c r="P2" s="12" t="s">
        <v>705</v>
      </c>
      <c r="Q2" s="12" t="s">
        <v>705</v>
      </c>
      <c r="R2" s="12" t="s">
        <v>705</v>
      </c>
      <c r="S2" s="12" t="s">
        <v>705</v>
      </c>
      <c r="T2" s="12" t="s">
        <v>705</v>
      </c>
      <c r="U2" s="12" t="s">
        <v>705</v>
      </c>
      <c r="V2" s="12" t="s">
        <v>705</v>
      </c>
    </row>
    <row r="3" spans="1:22" ht="12.75" customHeight="1" x14ac:dyDescent="0.2">
      <c r="A3" s="6"/>
      <c r="B3" s="6"/>
      <c r="C3" s="7"/>
      <c r="D3" s="8"/>
      <c r="E3" s="9"/>
      <c r="F3" s="33"/>
      <c r="G3" s="14"/>
      <c r="H3" s="14">
        <v>0.55000000000000004</v>
      </c>
      <c r="I3" s="14"/>
      <c r="J3" s="15"/>
      <c r="K3" s="16"/>
      <c r="L3" s="17">
        <v>0.19</v>
      </c>
      <c r="M3" s="18">
        <v>500</v>
      </c>
      <c r="N3" s="18">
        <v>500</v>
      </c>
      <c r="O3" s="16"/>
      <c r="P3" s="16"/>
      <c r="Q3" s="16"/>
      <c r="R3" s="17">
        <v>0.12</v>
      </c>
      <c r="S3" s="16"/>
      <c r="T3" s="16"/>
      <c r="U3" s="16"/>
      <c r="V3" s="16"/>
    </row>
    <row r="4" spans="1:22" ht="13.5" customHeight="1" x14ac:dyDescent="0.2">
      <c r="A4" s="19"/>
      <c r="B4" s="19"/>
      <c r="C4" s="34"/>
      <c r="D4" s="20"/>
      <c r="E4" s="21"/>
      <c r="F4" s="35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2.75" customHeight="1" x14ac:dyDescent="0.2">
      <c r="A5" s="6" t="s">
        <v>60</v>
      </c>
      <c r="B5" s="6" t="s">
        <v>136</v>
      </c>
      <c r="C5" s="7">
        <v>112703</v>
      </c>
      <c r="D5" s="8">
        <v>358964.39999999997</v>
      </c>
      <c r="E5" s="9" t="s">
        <v>16</v>
      </c>
      <c r="F5" s="36">
        <v>1000</v>
      </c>
      <c r="G5" s="25"/>
      <c r="H5" s="14">
        <f>H$3+G5</f>
        <v>0.55000000000000004</v>
      </c>
      <c r="I5" s="25">
        <f ca="1">IFERROR(__xludf.DUMMYFUNCTION("ROUND(D5*GOOGLEFINANCE(""RUBKZT"")*H5)"),1540653)</f>
        <v>1540653</v>
      </c>
      <c r="J5" s="26">
        <f ca="1">IFERROR(__xludf.DUMMYFUNCTION("ROUND(I5*GOOGLEFINANCE(""KZTEUR""))"),3227)</f>
        <v>3227</v>
      </c>
      <c r="K5" s="26">
        <f ca="1">ROUND(J5/F5*1000,0)</f>
        <v>3227</v>
      </c>
      <c r="L5" s="26">
        <f ca="1">K5*L$3</f>
        <v>613.13</v>
      </c>
      <c r="M5" s="26">
        <f t="shared" ref="M5:N5" si="0">M$3</f>
        <v>500</v>
      </c>
      <c r="N5" s="26">
        <f t="shared" si="0"/>
        <v>500</v>
      </c>
      <c r="O5" s="26">
        <f ca="1">IFERROR(__xludf.DUMMYFUNCTION("ROUND(GOOGLEFINANCE(""Currency:EURKZT"")*K5)"),1541117)</f>
        <v>1541117</v>
      </c>
      <c r="P5" s="26">
        <f ca="1">IFERROR(__xludf.DUMMYFUNCTION("ROUND(GOOGLEFINANCE(""Currency:EURKZT"")*M5)"),238785)</f>
        <v>238785</v>
      </c>
      <c r="Q5" s="26">
        <f ca="1">IFERROR(__xludf.DUMMYFUNCTION("ROUND(GOOGLEFINANCE(""Currency:EURKZT"")*N5)"),238785)</f>
        <v>238785</v>
      </c>
      <c r="R5" s="26">
        <f ca="1">ROUND(O5*R$3,0)</f>
        <v>184934</v>
      </c>
      <c r="S5" s="26">
        <f ca="1">SUM(O5:R5)</f>
        <v>2203621</v>
      </c>
      <c r="T5" s="26">
        <f ca="1">IFERROR(__xludf.DUMMYFUNCTION("ROUND(GOOGLEFINANCE(""Currency:EURKZT"")*L5+S5)"),2496433)</f>
        <v>2496433</v>
      </c>
      <c r="U5" s="26">
        <f ca="1">IFERROR(__xludf.DUMMYFUNCTION("D5*GOOGLEFINANCE(""RUBKZT"")*1000/F5"),2801186.89845446)</f>
        <v>2801186.8984544598</v>
      </c>
      <c r="V5" s="27">
        <f ca="1">(U5-T5)/T5</f>
        <v>0.12207573704339746</v>
      </c>
    </row>
    <row r="6" spans="1:22" ht="12.75" customHeight="1" x14ac:dyDescent="0.2">
      <c r="A6" s="6" t="s">
        <v>61</v>
      </c>
      <c r="B6" s="6" t="s">
        <v>136</v>
      </c>
      <c r="C6" s="7">
        <v>112704</v>
      </c>
      <c r="D6" s="8">
        <v>371970</v>
      </c>
      <c r="E6" s="9" t="s">
        <v>16</v>
      </c>
      <c r="F6" s="36">
        <v>1000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ht="12.75" customHeight="1" x14ac:dyDescent="0.2">
      <c r="A7" s="6" t="s">
        <v>62</v>
      </c>
      <c r="B7" s="6" t="s">
        <v>136</v>
      </c>
      <c r="C7" s="7">
        <v>112705</v>
      </c>
      <c r="D7" s="8">
        <v>384501.6</v>
      </c>
      <c r="E7" s="9" t="s">
        <v>16</v>
      </c>
      <c r="F7" s="36">
        <v>1000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ht="12.75" customHeight="1" x14ac:dyDescent="0.2">
      <c r="A8" s="6" t="s">
        <v>98</v>
      </c>
      <c r="B8" s="6" t="s">
        <v>136</v>
      </c>
      <c r="C8" s="7">
        <v>112720</v>
      </c>
      <c r="D8" s="8">
        <v>822393.6</v>
      </c>
      <c r="E8" s="9" t="s">
        <v>16</v>
      </c>
      <c r="F8" s="36">
        <v>1000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ht="12.75" customHeight="1" x14ac:dyDescent="0.2">
      <c r="A9" s="6" t="s">
        <v>137</v>
      </c>
      <c r="B9" s="6" t="s">
        <v>136</v>
      </c>
      <c r="C9" s="7">
        <v>134333</v>
      </c>
      <c r="D9" s="8">
        <v>361814.39999999997</v>
      </c>
      <c r="E9" s="9" t="s">
        <v>16</v>
      </c>
      <c r="F9" s="36">
        <v>1000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ht="12.75" customHeight="1" x14ac:dyDescent="0.2">
      <c r="A10" s="6" t="s">
        <v>188</v>
      </c>
      <c r="B10" s="6" t="s">
        <v>136</v>
      </c>
      <c r="C10" s="7">
        <v>148771</v>
      </c>
      <c r="D10" s="8">
        <v>367755.6</v>
      </c>
      <c r="E10" s="9" t="s">
        <v>16</v>
      </c>
      <c r="F10" s="36">
        <v>1000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ht="12.75" customHeight="1" x14ac:dyDescent="0.2">
      <c r="A11" s="6" t="s">
        <v>198</v>
      </c>
      <c r="B11" s="6" t="s">
        <v>136</v>
      </c>
      <c r="C11" s="7">
        <v>149359</v>
      </c>
      <c r="D11" s="8">
        <v>281623.2</v>
      </c>
      <c r="E11" s="9" t="s">
        <v>16</v>
      </c>
      <c r="F11" s="36">
        <v>1000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ht="12.75" customHeight="1" x14ac:dyDescent="0.2">
      <c r="A12" s="6" t="s">
        <v>199</v>
      </c>
      <c r="B12" s="6" t="s">
        <v>136</v>
      </c>
      <c r="C12" s="7">
        <v>156061</v>
      </c>
      <c r="D12" s="8">
        <v>425881.2</v>
      </c>
      <c r="E12" s="9" t="s">
        <v>16</v>
      </c>
      <c r="F12" s="36">
        <v>1000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ht="12.75" customHeight="1" x14ac:dyDescent="0.2">
      <c r="A13" s="6" t="s">
        <v>213</v>
      </c>
      <c r="B13" s="6" t="s">
        <v>136</v>
      </c>
      <c r="C13" s="7">
        <v>156302</v>
      </c>
      <c r="D13" s="8">
        <v>435024</v>
      </c>
      <c r="E13" s="9" t="s">
        <v>16</v>
      </c>
      <c r="F13" s="36">
        <v>1000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ht="12.75" customHeight="1" x14ac:dyDescent="0.2">
      <c r="A14" s="6" t="s">
        <v>215</v>
      </c>
      <c r="B14" s="6" t="s">
        <v>136</v>
      </c>
      <c r="C14" s="7">
        <v>156354</v>
      </c>
      <c r="D14" s="8">
        <v>586425.59999999998</v>
      </c>
      <c r="E14" s="9" t="s">
        <v>16</v>
      </c>
      <c r="F14" s="36">
        <v>1000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ht="12.75" customHeight="1" x14ac:dyDescent="0.2">
      <c r="A15" s="6" t="s">
        <v>73</v>
      </c>
      <c r="B15" s="6" t="s">
        <v>136</v>
      </c>
      <c r="C15" s="7">
        <v>156820</v>
      </c>
      <c r="D15" s="8">
        <v>435670.8</v>
      </c>
      <c r="E15" s="9" t="s">
        <v>16</v>
      </c>
      <c r="F15" s="36">
        <v>1000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2.75" customHeight="1" x14ac:dyDescent="0.2">
      <c r="A16" s="6" t="s">
        <v>221</v>
      </c>
      <c r="B16" s="6" t="s">
        <v>136</v>
      </c>
      <c r="C16" s="7">
        <v>157465</v>
      </c>
      <c r="D16" s="8">
        <v>532410</v>
      </c>
      <c r="E16" s="9" t="s">
        <v>16</v>
      </c>
      <c r="F16" s="36">
        <v>1000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2.75" customHeight="1" x14ac:dyDescent="0.2">
      <c r="A17" s="6" t="s">
        <v>203</v>
      </c>
      <c r="B17" s="6" t="s">
        <v>136</v>
      </c>
      <c r="C17" s="7">
        <v>157590</v>
      </c>
      <c r="D17" s="8">
        <v>586471.19999999995</v>
      </c>
      <c r="E17" s="9" t="s">
        <v>16</v>
      </c>
      <c r="F17" s="36">
        <v>1000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2.75" customHeight="1" x14ac:dyDescent="0.2">
      <c r="A18" s="6" t="s">
        <v>232</v>
      </c>
      <c r="B18" s="6" t="s">
        <v>136</v>
      </c>
      <c r="C18" s="7">
        <v>159213</v>
      </c>
      <c r="D18" s="8">
        <v>419803.2</v>
      </c>
      <c r="E18" s="9" t="s">
        <v>16</v>
      </c>
      <c r="F18" s="36">
        <v>1000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2.75" customHeight="1" x14ac:dyDescent="0.2">
      <c r="A19" s="6" t="s">
        <v>208</v>
      </c>
      <c r="B19" s="6" t="s">
        <v>136</v>
      </c>
      <c r="C19" s="7">
        <v>164819</v>
      </c>
      <c r="D19" s="8">
        <v>517544.39999999997</v>
      </c>
      <c r="E19" s="9" t="s">
        <v>16</v>
      </c>
      <c r="F19" s="36">
        <v>1000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2.75" customHeight="1" x14ac:dyDescent="0.2">
      <c r="A20" s="6" t="s">
        <v>264</v>
      </c>
      <c r="B20" s="6" t="s">
        <v>136</v>
      </c>
      <c r="C20" s="7">
        <v>168817</v>
      </c>
      <c r="D20" s="8">
        <v>473259.6</v>
      </c>
      <c r="E20" s="9" t="s">
        <v>16</v>
      </c>
      <c r="F20" s="36">
        <v>1000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2.75" customHeight="1" x14ac:dyDescent="0.2">
      <c r="A21" s="6" t="s">
        <v>70</v>
      </c>
      <c r="B21" s="6" t="s">
        <v>136</v>
      </c>
      <c r="C21" s="7">
        <v>174239</v>
      </c>
      <c r="D21" s="8">
        <v>541650</v>
      </c>
      <c r="E21" s="9" t="s">
        <v>16</v>
      </c>
      <c r="F21" s="36">
        <v>1000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2.75" customHeight="1" x14ac:dyDescent="0.2">
      <c r="A22" s="6" t="s">
        <v>285</v>
      </c>
      <c r="B22" s="6" t="s">
        <v>136</v>
      </c>
      <c r="C22" s="7">
        <v>193708</v>
      </c>
      <c r="D22" s="8">
        <v>669672</v>
      </c>
      <c r="E22" s="9" t="s">
        <v>16</v>
      </c>
      <c r="F22" s="36">
        <v>1000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2.75" customHeight="1" x14ac:dyDescent="0.2">
      <c r="A23" s="6" t="s">
        <v>356</v>
      </c>
      <c r="B23" s="6" t="s">
        <v>136</v>
      </c>
      <c r="C23" s="7">
        <v>194779</v>
      </c>
      <c r="D23" s="8">
        <v>553728</v>
      </c>
      <c r="E23" s="9" t="s">
        <v>7</v>
      </c>
      <c r="F23" s="36">
        <v>1000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2.75" customHeight="1" x14ac:dyDescent="0.2">
      <c r="A24" s="6" t="s">
        <v>302</v>
      </c>
      <c r="B24" s="6" t="s">
        <v>136</v>
      </c>
      <c r="C24" s="7">
        <v>195189</v>
      </c>
      <c r="D24" s="8">
        <v>460669.2</v>
      </c>
      <c r="E24" s="9" t="s">
        <v>16</v>
      </c>
      <c r="F24" s="36">
        <v>1000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2.75" customHeight="1" x14ac:dyDescent="0.2">
      <c r="A25" s="6" t="s">
        <v>274</v>
      </c>
      <c r="B25" s="6" t="s">
        <v>136</v>
      </c>
      <c r="C25" s="7">
        <v>195347</v>
      </c>
      <c r="D25" s="8">
        <v>623932.79999999993</v>
      </c>
      <c r="E25" s="9" t="s">
        <v>16</v>
      </c>
      <c r="F25" s="36">
        <v>1000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2.75" customHeight="1" x14ac:dyDescent="0.2">
      <c r="A26" s="6" t="s">
        <v>309</v>
      </c>
      <c r="B26" s="6" t="s">
        <v>136</v>
      </c>
      <c r="C26" s="7">
        <v>196294</v>
      </c>
      <c r="D26" s="8">
        <v>750817.2</v>
      </c>
      <c r="E26" s="9" t="s">
        <v>16</v>
      </c>
      <c r="F26" s="36">
        <v>1000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2.75" customHeight="1" x14ac:dyDescent="0.2">
      <c r="A27" s="6" t="s">
        <v>377</v>
      </c>
      <c r="B27" s="6" t="s">
        <v>136</v>
      </c>
      <c r="C27" s="7">
        <v>198183</v>
      </c>
      <c r="D27" s="8">
        <v>479145.6</v>
      </c>
      <c r="E27" s="9" t="s">
        <v>16</v>
      </c>
      <c r="F27" s="36">
        <v>1000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2.75" customHeight="1" x14ac:dyDescent="0.2">
      <c r="A28" s="6" t="s">
        <v>373</v>
      </c>
      <c r="B28" s="6" t="s">
        <v>136</v>
      </c>
      <c r="C28" s="7">
        <v>202075</v>
      </c>
      <c r="D28" s="8">
        <v>526401.6</v>
      </c>
      <c r="E28" s="9" t="s">
        <v>16</v>
      </c>
      <c r="F28" s="36">
        <v>1000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12.75" customHeight="1" x14ac:dyDescent="0.2">
      <c r="A29" s="6" t="s">
        <v>422</v>
      </c>
      <c r="B29" s="6" t="s">
        <v>136</v>
      </c>
      <c r="C29" s="7">
        <v>203998</v>
      </c>
      <c r="D29" s="8">
        <v>668744.4</v>
      </c>
      <c r="E29" s="9" t="s">
        <v>16</v>
      </c>
      <c r="F29" s="36">
        <v>1000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2.75" customHeight="1" x14ac:dyDescent="0.2">
      <c r="A30" s="6" t="s">
        <v>437</v>
      </c>
      <c r="B30" s="6" t="s">
        <v>136</v>
      </c>
      <c r="C30" s="7">
        <v>207425</v>
      </c>
      <c r="D30" s="8">
        <v>456781.2</v>
      </c>
      <c r="E30" s="9" t="s">
        <v>16</v>
      </c>
      <c r="F30" s="36">
        <v>1000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2.75" customHeight="1" x14ac:dyDescent="0.2">
      <c r="A31" s="6" t="s">
        <v>438</v>
      </c>
      <c r="B31" s="6" t="s">
        <v>136</v>
      </c>
      <c r="C31" s="7">
        <v>207446</v>
      </c>
      <c r="D31" s="8">
        <v>462056.39999999997</v>
      </c>
      <c r="E31" s="9" t="s">
        <v>16</v>
      </c>
      <c r="F31" s="36">
        <v>1000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2.75" customHeight="1" x14ac:dyDescent="0.2">
      <c r="A32" s="6" t="s">
        <v>439</v>
      </c>
      <c r="B32" s="6" t="s">
        <v>136</v>
      </c>
      <c r="C32" s="7">
        <v>207451</v>
      </c>
      <c r="D32" s="8">
        <v>475357.19999999995</v>
      </c>
      <c r="E32" s="9" t="s">
        <v>16</v>
      </c>
      <c r="F32" s="36">
        <v>1000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2.75" customHeight="1" x14ac:dyDescent="0.2">
      <c r="A33" s="6" t="s">
        <v>441</v>
      </c>
      <c r="B33" s="6" t="s">
        <v>136</v>
      </c>
      <c r="C33" s="7">
        <v>207860</v>
      </c>
      <c r="D33" s="8">
        <v>422804.39999999997</v>
      </c>
      <c r="E33" s="9" t="s">
        <v>16</v>
      </c>
      <c r="F33" s="36">
        <v>1000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2.75" customHeight="1" x14ac:dyDescent="0.2">
      <c r="A34" s="6" t="s">
        <v>442</v>
      </c>
      <c r="B34" s="6" t="s">
        <v>136</v>
      </c>
      <c r="C34" s="7">
        <v>207894</v>
      </c>
      <c r="D34" s="8">
        <v>427848</v>
      </c>
      <c r="E34" s="9" t="s">
        <v>16</v>
      </c>
      <c r="F34" s="36">
        <v>1000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2.75" customHeight="1" x14ac:dyDescent="0.2">
      <c r="A35" s="6" t="s">
        <v>448</v>
      </c>
      <c r="B35" s="6" t="s">
        <v>136</v>
      </c>
      <c r="C35" s="7">
        <v>213100</v>
      </c>
      <c r="D35" s="8">
        <v>596102.40000000002</v>
      </c>
      <c r="E35" s="9" t="s">
        <v>16</v>
      </c>
      <c r="F35" s="36">
        <v>1000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2.75" customHeight="1" x14ac:dyDescent="0.2">
      <c r="A36" s="6" t="s">
        <v>451</v>
      </c>
      <c r="B36" s="6" t="s">
        <v>136</v>
      </c>
      <c r="C36" s="7">
        <v>213653</v>
      </c>
      <c r="D36" s="8">
        <v>603729.6</v>
      </c>
      <c r="E36" s="9" t="s">
        <v>16</v>
      </c>
      <c r="F36" s="36">
        <v>1000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2.75" customHeight="1" x14ac:dyDescent="0.2">
      <c r="A37" s="6" t="s">
        <v>455</v>
      </c>
      <c r="B37" s="6" t="s">
        <v>136</v>
      </c>
      <c r="C37" s="7">
        <v>213774</v>
      </c>
      <c r="D37" s="8">
        <v>422442</v>
      </c>
      <c r="E37" s="9" t="s">
        <v>16</v>
      </c>
      <c r="F37" s="36">
        <v>1000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2.75" customHeight="1" x14ac:dyDescent="0.2">
      <c r="A38" s="6" t="s">
        <v>598</v>
      </c>
      <c r="B38" s="6" t="s">
        <v>136</v>
      </c>
      <c r="C38" s="7">
        <v>214091</v>
      </c>
      <c r="D38" s="8">
        <v>440574</v>
      </c>
      <c r="E38" s="9" t="s">
        <v>16</v>
      </c>
      <c r="F38" s="36">
        <v>1000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2.75" customHeight="1" x14ac:dyDescent="0.2">
      <c r="A39" s="6" t="s">
        <v>608</v>
      </c>
      <c r="B39" s="6" t="s">
        <v>136</v>
      </c>
      <c r="C39" s="7">
        <v>214140</v>
      </c>
      <c r="D39" s="8">
        <v>558022.79999999993</v>
      </c>
      <c r="E39" s="9" t="s">
        <v>16</v>
      </c>
      <c r="F39" s="36">
        <v>1000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2.75" customHeight="1" x14ac:dyDescent="0.2">
      <c r="A40" s="6" t="s">
        <v>612</v>
      </c>
      <c r="B40" s="6" t="s">
        <v>136</v>
      </c>
      <c r="C40" s="7">
        <v>214151</v>
      </c>
      <c r="D40" s="8">
        <v>537837.6</v>
      </c>
      <c r="E40" s="9" t="s">
        <v>16</v>
      </c>
      <c r="F40" s="36">
        <v>1000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2.75" customHeight="1" x14ac:dyDescent="0.2">
      <c r="A41" s="6" t="s">
        <v>595</v>
      </c>
      <c r="B41" s="6" t="s">
        <v>136</v>
      </c>
      <c r="C41" s="7">
        <v>214173</v>
      </c>
      <c r="D41" s="8">
        <v>551041.19999999995</v>
      </c>
      <c r="E41" s="9" t="s">
        <v>16</v>
      </c>
      <c r="F41" s="36">
        <v>1000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2.75" customHeight="1" x14ac:dyDescent="0.2">
      <c r="A42" s="6" t="s">
        <v>630</v>
      </c>
      <c r="B42" s="6" t="s">
        <v>136</v>
      </c>
      <c r="C42" s="7">
        <v>215818</v>
      </c>
      <c r="D42" s="8">
        <v>486972</v>
      </c>
      <c r="E42" s="9" t="s">
        <v>7</v>
      </c>
      <c r="F42" s="36">
        <v>1000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2.75" customHeight="1" x14ac:dyDescent="0.2">
      <c r="A43" s="6" t="s">
        <v>449</v>
      </c>
      <c r="B43" s="6" t="s">
        <v>136</v>
      </c>
      <c r="C43" s="7">
        <v>225399</v>
      </c>
      <c r="D43" s="8">
        <v>615666</v>
      </c>
      <c r="E43" s="9" t="s">
        <v>16</v>
      </c>
      <c r="F43" s="36">
        <v>1000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2.75" customHeight="1" x14ac:dyDescent="0.2">
      <c r="A44" s="6" t="s">
        <v>644</v>
      </c>
      <c r="B44" s="6" t="s">
        <v>136</v>
      </c>
      <c r="C44" s="7">
        <v>10081201</v>
      </c>
      <c r="D44" s="8">
        <v>349584</v>
      </c>
      <c r="E44" s="9" t="s">
        <v>16</v>
      </c>
      <c r="F44" s="36">
        <v>1000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2.75" customHeight="1" x14ac:dyDescent="0.2">
      <c r="A45" s="6" t="s">
        <v>647</v>
      </c>
      <c r="B45" s="6" t="s">
        <v>136</v>
      </c>
      <c r="C45" s="7">
        <v>10091201</v>
      </c>
      <c r="D45" s="8">
        <v>294408</v>
      </c>
      <c r="E45" s="9" t="s">
        <v>16</v>
      </c>
      <c r="F45" s="36">
        <v>1000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2.75" customHeight="1" x14ac:dyDescent="0.2">
      <c r="A46" s="6" t="s">
        <v>61</v>
      </c>
      <c r="B46" s="6" t="s">
        <v>136</v>
      </c>
      <c r="C46" s="7">
        <v>10121201</v>
      </c>
      <c r="D46" s="8">
        <v>307293.59999999998</v>
      </c>
      <c r="E46" s="9" t="s">
        <v>16</v>
      </c>
      <c r="F46" s="36">
        <v>1000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2.75" customHeight="1" x14ac:dyDescent="0.2">
      <c r="A47" s="6" t="s">
        <v>137</v>
      </c>
      <c r="B47" s="6" t="s">
        <v>136</v>
      </c>
      <c r="C47" s="7">
        <v>10271201</v>
      </c>
      <c r="D47" s="8">
        <v>361814.39999999997</v>
      </c>
      <c r="E47" s="9" t="s">
        <v>16</v>
      </c>
      <c r="F47" s="36">
        <v>1000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2.75" customHeight="1" x14ac:dyDescent="0.2">
      <c r="A48" s="6" t="s">
        <v>643</v>
      </c>
      <c r="B48" s="6" t="s">
        <v>136</v>
      </c>
      <c r="C48" s="7" t="s">
        <v>675</v>
      </c>
      <c r="D48" s="8">
        <v>349584</v>
      </c>
      <c r="E48" s="9" t="s">
        <v>16</v>
      </c>
      <c r="F48" s="36">
        <v>1000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2.75" customHeight="1" x14ac:dyDescent="0.2">
      <c r="A49" s="6" t="s">
        <v>667</v>
      </c>
      <c r="B49" s="6" t="s">
        <v>136</v>
      </c>
      <c r="C49" s="7" t="s">
        <v>678</v>
      </c>
      <c r="D49" s="8">
        <v>439232.39999999997</v>
      </c>
      <c r="E49" s="9" t="s">
        <v>16</v>
      </c>
      <c r="F49" s="36">
        <v>1000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2.75" customHeight="1" x14ac:dyDescent="0.2">
      <c r="A50" s="6" t="s">
        <v>419</v>
      </c>
      <c r="B50" s="6" t="s">
        <v>420</v>
      </c>
      <c r="C50" s="7">
        <v>202540</v>
      </c>
      <c r="D50" s="8">
        <v>19894.8</v>
      </c>
      <c r="E50" s="9" t="s">
        <v>7</v>
      </c>
      <c r="F50" s="36">
        <f t="shared" ref="F50:F51" si="1">12*0.5</f>
        <v>6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2.75" customHeight="1" x14ac:dyDescent="0.2">
      <c r="A51" s="6" t="s">
        <v>465</v>
      </c>
      <c r="B51" s="6" t="s">
        <v>420</v>
      </c>
      <c r="C51" s="7">
        <v>181942</v>
      </c>
      <c r="D51" s="8">
        <v>4068</v>
      </c>
      <c r="E51" s="9" t="s">
        <v>16</v>
      </c>
      <c r="F51" s="36">
        <f t="shared" si="1"/>
        <v>6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2.75" customHeight="1" x14ac:dyDescent="0.2">
      <c r="A52" s="6" t="s">
        <v>460</v>
      </c>
      <c r="B52" s="6" t="s">
        <v>488</v>
      </c>
      <c r="C52" s="7">
        <v>213737</v>
      </c>
      <c r="D52" s="8">
        <v>6046.8</v>
      </c>
      <c r="E52" s="9" t="s">
        <v>16</v>
      </c>
      <c r="F52" s="36">
        <v>12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2.75" customHeight="1" x14ac:dyDescent="0.2">
      <c r="A53" s="6" t="s">
        <v>454</v>
      </c>
      <c r="B53" s="6" t="s">
        <v>488</v>
      </c>
      <c r="C53" s="7">
        <v>213740</v>
      </c>
      <c r="D53" s="8">
        <v>8221.1999999999989</v>
      </c>
      <c r="E53" s="9" t="s">
        <v>16</v>
      </c>
      <c r="F53" s="36">
        <v>12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2.75" customHeight="1" x14ac:dyDescent="0.2">
      <c r="A54" s="6" t="s">
        <v>489</v>
      </c>
      <c r="B54" s="6" t="s">
        <v>488</v>
      </c>
      <c r="C54" s="7">
        <v>213754</v>
      </c>
      <c r="D54" s="8">
        <v>7846.7999999999993</v>
      </c>
      <c r="E54" s="9" t="s">
        <v>16</v>
      </c>
      <c r="F54" s="36">
        <v>12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2.75" customHeight="1" x14ac:dyDescent="0.2">
      <c r="A55" s="6" t="s">
        <v>451</v>
      </c>
      <c r="B55" s="6" t="s">
        <v>488</v>
      </c>
      <c r="C55" s="7">
        <v>213755</v>
      </c>
      <c r="D55" s="8">
        <v>7663.2</v>
      </c>
      <c r="E55" s="9" t="s">
        <v>16</v>
      </c>
      <c r="F55" s="36">
        <v>12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2.75" customHeight="1" x14ac:dyDescent="0.2">
      <c r="A56" s="6" t="s">
        <v>490</v>
      </c>
      <c r="B56" s="6" t="s">
        <v>488</v>
      </c>
      <c r="C56" s="7">
        <v>213756</v>
      </c>
      <c r="D56" s="8">
        <v>10582.8</v>
      </c>
      <c r="E56" s="9" t="s">
        <v>16</v>
      </c>
      <c r="F56" s="36">
        <v>12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2.75" customHeight="1" x14ac:dyDescent="0.2">
      <c r="A57" s="6" t="s">
        <v>455</v>
      </c>
      <c r="B57" s="6" t="s">
        <v>488</v>
      </c>
      <c r="C57" s="7">
        <v>213757</v>
      </c>
      <c r="D57" s="8">
        <v>6714</v>
      </c>
      <c r="E57" s="9" t="s">
        <v>16</v>
      </c>
      <c r="F57" s="36">
        <v>12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2.75" customHeight="1" x14ac:dyDescent="0.2">
      <c r="A58" s="6" t="s">
        <v>491</v>
      </c>
      <c r="B58" s="6" t="s">
        <v>488</v>
      </c>
      <c r="C58" s="7">
        <v>213758</v>
      </c>
      <c r="D58" s="8">
        <v>10497.6</v>
      </c>
      <c r="E58" s="9" t="s">
        <v>16</v>
      </c>
      <c r="F58" s="36">
        <v>12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2.75" customHeight="1" x14ac:dyDescent="0.2">
      <c r="A59" s="6" t="s">
        <v>492</v>
      </c>
      <c r="B59" s="6" t="s">
        <v>488</v>
      </c>
      <c r="C59" s="7">
        <v>213759</v>
      </c>
      <c r="D59" s="8">
        <v>18430.8</v>
      </c>
      <c r="E59" s="9" t="s">
        <v>16</v>
      </c>
      <c r="F59" s="36">
        <v>12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2.75" customHeight="1" x14ac:dyDescent="0.2">
      <c r="A60" s="6" t="s">
        <v>467</v>
      </c>
      <c r="B60" s="6" t="s">
        <v>488</v>
      </c>
      <c r="C60" s="7">
        <v>213760</v>
      </c>
      <c r="D60" s="8">
        <v>8845.1999999999989</v>
      </c>
      <c r="E60" s="9" t="s">
        <v>16</v>
      </c>
      <c r="F60" s="36">
        <v>12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2.75" customHeight="1" x14ac:dyDescent="0.2">
      <c r="A61" s="6" t="s">
        <v>468</v>
      </c>
      <c r="B61" s="6" t="s">
        <v>488</v>
      </c>
      <c r="C61" s="7">
        <v>213761</v>
      </c>
      <c r="D61" s="8">
        <v>8719.1999999999989</v>
      </c>
      <c r="E61" s="9" t="s">
        <v>16</v>
      </c>
      <c r="F61" s="36">
        <v>12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2.75" customHeight="1" x14ac:dyDescent="0.2">
      <c r="A62" s="6" t="s">
        <v>466</v>
      </c>
      <c r="B62" s="6" t="s">
        <v>488</v>
      </c>
      <c r="C62" s="7">
        <v>213762</v>
      </c>
      <c r="D62" s="8">
        <v>6974.4</v>
      </c>
      <c r="E62" s="9" t="s">
        <v>16</v>
      </c>
      <c r="F62" s="36">
        <v>12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2.75" customHeight="1" x14ac:dyDescent="0.2">
      <c r="A63" s="6" t="s">
        <v>462</v>
      </c>
      <c r="B63" s="6" t="s">
        <v>488</v>
      </c>
      <c r="C63" s="7">
        <v>213763</v>
      </c>
      <c r="D63" s="8">
        <v>6103.2</v>
      </c>
      <c r="E63" s="9" t="s">
        <v>16</v>
      </c>
      <c r="F63" s="36">
        <v>12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2.75" customHeight="1" x14ac:dyDescent="0.2">
      <c r="A64" s="6" t="s">
        <v>463</v>
      </c>
      <c r="B64" s="6" t="s">
        <v>488</v>
      </c>
      <c r="C64" s="7">
        <v>213764</v>
      </c>
      <c r="D64" s="8">
        <v>9679.1999999999989</v>
      </c>
      <c r="E64" s="9" t="s">
        <v>16</v>
      </c>
      <c r="F64" s="36">
        <v>12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2.75" customHeight="1" x14ac:dyDescent="0.2">
      <c r="A65" s="6" t="s">
        <v>475</v>
      </c>
      <c r="B65" s="6" t="s">
        <v>488</v>
      </c>
      <c r="C65" s="7">
        <v>213765</v>
      </c>
      <c r="D65" s="8">
        <v>8385.6</v>
      </c>
      <c r="E65" s="9" t="s">
        <v>16</v>
      </c>
      <c r="F65" s="36">
        <v>12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2.75" customHeight="1" x14ac:dyDescent="0.2">
      <c r="A66" s="6" t="s">
        <v>464</v>
      </c>
      <c r="B66" s="6" t="s">
        <v>488</v>
      </c>
      <c r="C66" s="7">
        <v>213766</v>
      </c>
      <c r="D66" s="8">
        <v>6723.5999999999995</v>
      </c>
      <c r="E66" s="9" t="s">
        <v>16</v>
      </c>
      <c r="F66" s="36">
        <v>12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2.75" customHeight="1" x14ac:dyDescent="0.2">
      <c r="A67" s="6" t="s">
        <v>470</v>
      </c>
      <c r="B67" s="6" t="s">
        <v>488</v>
      </c>
      <c r="C67" s="7">
        <v>213767</v>
      </c>
      <c r="D67" s="8">
        <v>9681.6</v>
      </c>
      <c r="E67" s="9" t="s">
        <v>16</v>
      </c>
      <c r="F67" s="36">
        <v>12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2.75" customHeight="1" x14ac:dyDescent="0.2">
      <c r="A68" s="6" t="s">
        <v>469</v>
      </c>
      <c r="B68" s="6" t="s">
        <v>488</v>
      </c>
      <c r="C68" s="7">
        <v>213768</v>
      </c>
      <c r="D68" s="8">
        <v>8707.1999999999989</v>
      </c>
      <c r="E68" s="9" t="s">
        <v>16</v>
      </c>
      <c r="F68" s="36">
        <v>12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2.75" customHeight="1" x14ac:dyDescent="0.2">
      <c r="A69" s="6" t="s">
        <v>476</v>
      </c>
      <c r="B69" s="6" t="s">
        <v>488</v>
      </c>
      <c r="C69" s="7">
        <v>213769</v>
      </c>
      <c r="D69" s="8">
        <v>10738.8</v>
      </c>
      <c r="E69" s="9" t="s">
        <v>16</v>
      </c>
      <c r="F69" s="36">
        <v>12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2.75" customHeight="1" x14ac:dyDescent="0.2">
      <c r="A70" s="6" t="s">
        <v>477</v>
      </c>
      <c r="B70" s="6" t="s">
        <v>488</v>
      </c>
      <c r="C70" s="7">
        <v>213770</v>
      </c>
      <c r="D70" s="8">
        <v>6890.4</v>
      </c>
      <c r="E70" s="9" t="s">
        <v>16</v>
      </c>
      <c r="F70" s="36">
        <v>12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2.75" customHeight="1" x14ac:dyDescent="0.2">
      <c r="A71" s="6" t="s">
        <v>494</v>
      </c>
      <c r="B71" s="6" t="s">
        <v>488</v>
      </c>
      <c r="C71" s="7">
        <v>213777</v>
      </c>
      <c r="D71" s="8">
        <v>9160.7999999999993</v>
      </c>
      <c r="E71" s="9" t="s">
        <v>16</v>
      </c>
      <c r="F71" s="36">
        <v>12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2.75" customHeight="1" x14ac:dyDescent="0.2">
      <c r="A72" s="6" t="s">
        <v>495</v>
      </c>
      <c r="B72" s="6" t="s">
        <v>488</v>
      </c>
      <c r="C72" s="7">
        <v>213781</v>
      </c>
      <c r="D72" s="8">
        <v>7543.2</v>
      </c>
      <c r="E72" s="9" t="s">
        <v>16</v>
      </c>
      <c r="F72" s="36">
        <v>12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2.75" customHeight="1" x14ac:dyDescent="0.2">
      <c r="A73" s="6" t="s">
        <v>456</v>
      </c>
      <c r="B73" s="6" t="s">
        <v>488</v>
      </c>
      <c r="C73" s="7">
        <v>213782</v>
      </c>
      <c r="D73" s="8">
        <v>6301.2</v>
      </c>
      <c r="E73" s="9" t="s">
        <v>16</v>
      </c>
      <c r="F73" s="36">
        <v>12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2.75" customHeight="1" x14ac:dyDescent="0.2">
      <c r="A74" s="6" t="s">
        <v>496</v>
      </c>
      <c r="B74" s="6" t="s">
        <v>488</v>
      </c>
      <c r="C74" s="7">
        <v>213785</v>
      </c>
      <c r="D74" s="8">
        <v>7567.2</v>
      </c>
      <c r="E74" s="9" t="s">
        <v>16</v>
      </c>
      <c r="F74" s="36">
        <v>12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2.75" customHeight="1" x14ac:dyDescent="0.2">
      <c r="A75" s="6" t="s">
        <v>497</v>
      </c>
      <c r="B75" s="6" t="s">
        <v>488</v>
      </c>
      <c r="C75" s="7">
        <v>213789</v>
      </c>
      <c r="D75" s="8">
        <v>8799.6</v>
      </c>
      <c r="E75" s="9" t="s">
        <v>16</v>
      </c>
      <c r="F75" s="36">
        <v>12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2.75" customHeight="1" x14ac:dyDescent="0.2">
      <c r="A76" s="6" t="s">
        <v>498</v>
      </c>
      <c r="B76" s="6" t="s">
        <v>488</v>
      </c>
      <c r="C76" s="7">
        <v>213804</v>
      </c>
      <c r="D76" s="8">
        <v>10251.6</v>
      </c>
      <c r="E76" s="9" t="s">
        <v>16</v>
      </c>
      <c r="F76" s="36">
        <v>12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2.75" customHeight="1" x14ac:dyDescent="0.2">
      <c r="A77" s="6" t="s">
        <v>500</v>
      </c>
      <c r="B77" s="6" t="s">
        <v>488</v>
      </c>
      <c r="C77" s="7">
        <v>213814</v>
      </c>
      <c r="D77" s="8">
        <v>8102.4</v>
      </c>
      <c r="E77" s="9" t="s">
        <v>16</v>
      </c>
      <c r="F77" s="36">
        <v>12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2.75" customHeight="1" x14ac:dyDescent="0.2">
      <c r="A78" s="6" t="s">
        <v>502</v>
      </c>
      <c r="B78" s="6" t="s">
        <v>488</v>
      </c>
      <c r="C78" s="7">
        <v>213818</v>
      </c>
      <c r="D78" s="8">
        <v>9597.6</v>
      </c>
      <c r="E78" s="9" t="s">
        <v>16</v>
      </c>
      <c r="F78" s="36">
        <v>12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2.75" customHeight="1" x14ac:dyDescent="0.2">
      <c r="A79" s="6" t="s">
        <v>481</v>
      </c>
      <c r="B79" s="6" t="s">
        <v>488</v>
      </c>
      <c r="C79" s="7">
        <v>213821</v>
      </c>
      <c r="D79" s="8">
        <v>9280.7999999999993</v>
      </c>
      <c r="E79" s="9" t="s">
        <v>16</v>
      </c>
      <c r="F79" s="36">
        <v>12</v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2.75" customHeight="1" x14ac:dyDescent="0.2">
      <c r="A80" s="6" t="s">
        <v>508</v>
      </c>
      <c r="B80" s="6" t="s">
        <v>488</v>
      </c>
      <c r="C80" s="7">
        <v>213826</v>
      </c>
      <c r="D80" s="8">
        <v>9645.6</v>
      </c>
      <c r="E80" s="9" t="s">
        <v>16</v>
      </c>
      <c r="F80" s="36">
        <v>12</v>
      </c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2.75" customHeight="1" x14ac:dyDescent="0.2">
      <c r="A81" s="6" t="s">
        <v>509</v>
      </c>
      <c r="B81" s="6" t="s">
        <v>488</v>
      </c>
      <c r="C81" s="7">
        <v>213830</v>
      </c>
      <c r="D81" s="8">
        <v>9625.1999999999989</v>
      </c>
      <c r="E81" s="9" t="s">
        <v>16</v>
      </c>
      <c r="F81" s="36">
        <v>12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2.75" customHeight="1" x14ac:dyDescent="0.2">
      <c r="A82" s="6" t="s">
        <v>510</v>
      </c>
      <c r="B82" s="6" t="s">
        <v>488</v>
      </c>
      <c r="C82" s="7">
        <v>213838</v>
      </c>
      <c r="D82" s="8">
        <v>10620</v>
      </c>
      <c r="E82" s="9" t="s">
        <v>16</v>
      </c>
      <c r="F82" s="36">
        <v>12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2.75" customHeight="1" x14ac:dyDescent="0.2">
      <c r="A83" s="6" t="s">
        <v>512</v>
      </c>
      <c r="B83" s="6" t="s">
        <v>488</v>
      </c>
      <c r="C83" s="7">
        <v>213842</v>
      </c>
      <c r="D83" s="8">
        <v>7389.5999999999995</v>
      </c>
      <c r="E83" s="9" t="s">
        <v>16</v>
      </c>
      <c r="F83" s="36">
        <v>12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2.75" customHeight="1" x14ac:dyDescent="0.2">
      <c r="A84" s="6" t="s">
        <v>513</v>
      </c>
      <c r="B84" s="6" t="s">
        <v>488</v>
      </c>
      <c r="C84" s="7">
        <v>213844</v>
      </c>
      <c r="D84" s="8">
        <v>7762.7999999999993</v>
      </c>
      <c r="E84" s="9" t="s">
        <v>16</v>
      </c>
      <c r="F84" s="36">
        <v>12</v>
      </c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2.75" customHeight="1" x14ac:dyDescent="0.2">
      <c r="A85" s="6" t="s">
        <v>514</v>
      </c>
      <c r="B85" s="6" t="s">
        <v>488</v>
      </c>
      <c r="C85" s="7">
        <v>213845</v>
      </c>
      <c r="D85" s="8">
        <v>7548</v>
      </c>
      <c r="E85" s="9" t="s">
        <v>16</v>
      </c>
      <c r="F85" s="36">
        <v>12</v>
      </c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2.75" customHeight="1" x14ac:dyDescent="0.2">
      <c r="A86" s="6" t="s">
        <v>515</v>
      </c>
      <c r="B86" s="6" t="s">
        <v>488</v>
      </c>
      <c r="C86" s="7">
        <v>213846</v>
      </c>
      <c r="D86" s="8">
        <v>8950.7999999999993</v>
      </c>
      <c r="E86" s="9" t="s">
        <v>16</v>
      </c>
      <c r="F86" s="36">
        <v>12</v>
      </c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12.75" customHeight="1" x14ac:dyDescent="0.2">
      <c r="A87" s="6" t="s">
        <v>516</v>
      </c>
      <c r="B87" s="6" t="s">
        <v>488</v>
      </c>
      <c r="C87" s="7">
        <v>213847</v>
      </c>
      <c r="D87" s="8">
        <v>7752</v>
      </c>
      <c r="E87" s="9" t="s">
        <v>16</v>
      </c>
      <c r="F87" s="36">
        <v>12</v>
      </c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2.75" customHeight="1" x14ac:dyDescent="0.2">
      <c r="A88" s="6" t="s">
        <v>517</v>
      </c>
      <c r="B88" s="6" t="s">
        <v>488</v>
      </c>
      <c r="C88" s="7">
        <v>213850</v>
      </c>
      <c r="D88" s="8">
        <v>6158.4</v>
      </c>
      <c r="E88" s="9" t="s">
        <v>16</v>
      </c>
      <c r="F88" s="36">
        <v>12</v>
      </c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2.75" customHeight="1" x14ac:dyDescent="0.2">
      <c r="A89" s="6" t="s">
        <v>518</v>
      </c>
      <c r="B89" s="6" t="s">
        <v>488</v>
      </c>
      <c r="C89" s="7">
        <v>213861</v>
      </c>
      <c r="D89" s="8">
        <v>8941.1999999999989</v>
      </c>
      <c r="E89" s="9" t="s">
        <v>7</v>
      </c>
      <c r="F89" s="36">
        <v>12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2.75" customHeight="1" x14ac:dyDescent="0.2">
      <c r="A90" s="6" t="s">
        <v>520</v>
      </c>
      <c r="B90" s="6" t="s">
        <v>488</v>
      </c>
      <c r="C90" s="7">
        <v>213862</v>
      </c>
      <c r="D90" s="8">
        <v>11283.6</v>
      </c>
      <c r="E90" s="9" t="s">
        <v>7</v>
      </c>
      <c r="F90" s="36">
        <v>12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2.75" customHeight="1" x14ac:dyDescent="0.2">
      <c r="A91" s="6" t="s">
        <v>521</v>
      </c>
      <c r="B91" s="6" t="s">
        <v>488</v>
      </c>
      <c r="C91" s="7">
        <v>213863</v>
      </c>
      <c r="D91" s="8">
        <v>7818</v>
      </c>
      <c r="E91" s="9" t="s">
        <v>7</v>
      </c>
      <c r="F91" s="36">
        <v>12</v>
      </c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2.75" customHeight="1" x14ac:dyDescent="0.2">
      <c r="A92" s="6" t="s">
        <v>522</v>
      </c>
      <c r="B92" s="6" t="s">
        <v>488</v>
      </c>
      <c r="C92" s="7">
        <v>213864</v>
      </c>
      <c r="D92" s="8">
        <v>7622.4</v>
      </c>
      <c r="E92" s="9" t="s">
        <v>7</v>
      </c>
      <c r="F92" s="36">
        <v>12</v>
      </c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2.75" customHeight="1" x14ac:dyDescent="0.2">
      <c r="A93" s="6" t="s">
        <v>523</v>
      </c>
      <c r="B93" s="6" t="s">
        <v>488</v>
      </c>
      <c r="C93" s="7">
        <v>213866</v>
      </c>
      <c r="D93" s="8">
        <v>5952</v>
      </c>
      <c r="E93" s="9" t="s">
        <v>7</v>
      </c>
      <c r="F93" s="36">
        <v>12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2.75" customHeight="1" x14ac:dyDescent="0.2">
      <c r="A94" s="6" t="s">
        <v>524</v>
      </c>
      <c r="B94" s="6" t="s">
        <v>488</v>
      </c>
      <c r="C94" s="7">
        <v>213867</v>
      </c>
      <c r="D94" s="8">
        <v>7720.7999999999993</v>
      </c>
      <c r="E94" s="9" t="s">
        <v>7</v>
      </c>
      <c r="F94" s="36">
        <v>12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2.75" customHeight="1" x14ac:dyDescent="0.2">
      <c r="A95" s="6" t="s">
        <v>525</v>
      </c>
      <c r="B95" s="6" t="s">
        <v>488</v>
      </c>
      <c r="C95" s="7">
        <v>213868</v>
      </c>
      <c r="D95" s="8">
        <v>9714</v>
      </c>
      <c r="E95" s="9" t="s">
        <v>7</v>
      </c>
      <c r="F95" s="36">
        <v>12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2.75" customHeight="1" x14ac:dyDescent="0.2">
      <c r="A96" s="6" t="s">
        <v>527</v>
      </c>
      <c r="B96" s="6" t="s">
        <v>488</v>
      </c>
      <c r="C96" s="7">
        <v>213870</v>
      </c>
      <c r="D96" s="8">
        <v>6693.5999999999995</v>
      </c>
      <c r="E96" s="9" t="s">
        <v>7</v>
      </c>
      <c r="F96" s="36">
        <v>12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2.75" customHeight="1" x14ac:dyDescent="0.2">
      <c r="A97" s="6" t="s">
        <v>528</v>
      </c>
      <c r="B97" s="6" t="s">
        <v>488</v>
      </c>
      <c r="C97" s="7">
        <v>213871</v>
      </c>
      <c r="D97" s="8">
        <v>12736.8</v>
      </c>
      <c r="E97" s="9" t="s">
        <v>7</v>
      </c>
      <c r="F97" s="36">
        <v>12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12.75" customHeight="1" x14ac:dyDescent="0.2">
      <c r="A98" s="6" t="s">
        <v>529</v>
      </c>
      <c r="B98" s="6" t="s">
        <v>488</v>
      </c>
      <c r="C98" s="7">
        <v>213872</v>
      </c>
      <c r="D98" s="8">
        <v>10351.199999999999</v>
      </c>
      <c r="E98" s="9" t="s">
        <v>7</v>
      </c>
      <c r="F98" s="36">
        <v>12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12.75" customHeight="1" x14ac:dyDescent="0.2">
      <c r="A99" s="6" t="s">
        <v>530</v>
      </c>
      <c r="B99" s="6" t="s">
        <v>488</v>
      </c>
      <c r="C99" s="7">
        <v>213873</v>
      </c>
      <c r="D99" s="8">
        <v>10483.199999999999</v>
      </c>
      <c r="E99" s="9" t="s">
        <v>7</v>
      </c>
      <c r="F99" s="36">
        <v>12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2.75" customHeight="1" x14ac:dyDescent="0.2">
      <c r="A100" s="6" t="s">
        <v>532</v>
      </c>
      <c r="B100" s="6" t="s">
        <v>488</v>
      </c>
      <c r="C100" s="7">
        <v>213876</v>
      </c>
      <c r="D100" s="8">
        <v>13422</v>
      </c>
      <c r="E100" s="9" t="s">
        <v>7</v>
      </c>
      <c r="F100" s="36">
        <v>12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2.75" customHeight="1" x14ac:dyDescent="0.2">
      <c r="A101" s="6" t="s">
        <v>536</v>
      </c>
      <c r="B101" s="6" t="s">
        <v>488</v>
      </c>
      <c r="C101" s="7">
        <v>213888</v>
      </c>
      <c r="D101" s="8">
        <v>9696</v>
      </c>
      <c r="E101" s="9" t="s">
        <v>7</v>
      </c>
      <c r="F101" s="36">
        <v>12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2.75" customHeight="1" x14ac:dyDescent="0.2">
      <c r="A102" s="6" t="s">
        <v>534</v>
      </c>
      <c r="B102" s="6" t="s">
        <v>488</v>
      </c>
      <c r="C102" s="7">
        <v>213891</v>
      </c>
      <c r="D102" s="8">
        <v>7831.2</v>
      </c>
      <c r="E102" s="9" t="s">
        <v>7</v>
      </c>
      <c r="F102" s="36">
        <v>12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2.75" customHeight="1" x14ac:dyDescent="0.2">
      <c r="A103" s="6" t="s">
        <v>533</v>
      </c>
      <c r="B103" s="6" t="s">
        <v>488</v>
      </c>
      <c r="C103" s="7">
        <v>213893</v>
      </c>
      <c r="D103" s="8">
        <v>6060</v>
      </c>
      <c r="E103" s="9" t="s">
        <v>7</v>
      </c>
      <c r="F103" s="36">
        <v>12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2.75" customHeight="1" x14ac:dyDescent="0.2">
      <c r="A104" s="6" t="s">
        <v>537</v>
      </c>
      <c r="B104" s="6" t="s">
        <v>488</v>
      </c>
      <c r="C104" s="7">
        <v>213897</v>
      </c>
      <c r="D104" s="8">
        <v>7946.4</v>
      </c>
      <c r="E104" s="9" t="s">
        <v>7</v>
      </c>
      <c r="F104" s="36">
        <v>12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2.75" customHeight="1" x14ac:dyDescent="0.2">
      <c r="A105" s="6" t="s">
        <v>535</v>
      </c>
      <c r="B105" s="6" t="s">
        <v>488</v>
      </c>
      <c r="C105" s="7">
        <v>213898</v>
      </c>
      <c r="D105" s="8">
        <v>8169.5999999999995</v>
      </c>
      <c r="E105" s="9" t="s">
        <v>7</v>
      </c>
      <c r="F105" s="36">
        <v>12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2.75" customHeight="1" x14ac:dyDescent="0.2">
      <c r="A106" s="6" t="s">
        <v>538</v>
      </c>
      <c r="B106" s="6" t="s">
        <v>488</v>
      </c>
      <c r="C106" s="7">
        <v>213899</v>
      </c>
      <c r="D106" s="8">
        <v>6051.5999999999995</v>
      </c>
      <c r="E106" s="9" t="s">
        <v>7</v>
      </c>
      <c r="F106" s="36">
        <v>12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2.75" customHeight="1" x14ac:dyDescent="0.2">
      <c r="A107" s="6" t="s">
        <v>539</v>
      </c>
      <c r="B107" s="6" t="s">
        <v>488</v>
      </c>
      <c r="C107" s="7">
        <v>213905</v>
      </c>
      <c r="D107" s="8">
        <v>9292.7999999999993</v>
      </c>
      <c r="E107" s="9" t="s">
        <v>7</v>
      </c>
      <c r="F107" s="36">
        <v>12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2.75" customHeight="1" x14ac:dyDescent="0.2">
      <c r="A108" s="6" t="s">
        <v>540</v>
      </c>
      <c r="B108" s="6" t="s">
        <v>488</v>
      </c>
      <c r="C108" s="7">
        <v>213911</v>
      </c>
      <c r="D108" s="8">
        <v>9538.7999999999993</v>
      </c>
      <c r="E108" s="9" t="s">
        <v>7</v>
      </c>
      <c r="F108" s="36">
        <v>12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2.75" customHeight="1" x14ac:dyDescent="0.2">
      <c r="A109" s="6" t="s">
        <v>541</v>
      </c>
      <c r="B109" s="6" t="s">
        <v>488</v>
      </c>
      <c r="C109" s="7">
        <v>213916</v>
      </c>
      <c r="D109" s="8">
        <v>8308.7999999999993</v>
      </c>
      <c r="E109" s="9" t="s">
        <v>7</v>
      </c>
      <c r="F109" s="36">
        <v>12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2.75" customHeight="1" x14ac:dyDescent="0.2">
      <c r="A110" s="6" t="s">
        <v>542</v>
      </c>
      <c r="B110" s="6" t="s">
        <v>488</v>
      </c>
      <c r="C110" s="7">
        <v>213918</v>
      </c>
      <c r="D110" s="8">
        <v>8566.7999999999993</v>
      </c>
      <c r="E110" s="9" t="s">
        <v>7</v>
      </c>
      <c r="F110" s="36">
        <v>12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12.75" customHeight="1" x14ac:dyDescent="0.2">
      <c r="A111" s="6" t="s">
        <v>543</v>
      </c>
      <c r="B111" s="6" t="s">
        <v>488</v>
      </c>
      <c r="C111" s="7">
        <v>213921</v>
      </c>
      <c r="D111" s="8">
        <v>8334</v>
      </c>
      <c r="E111" s="9" t="s">
        <v>7</v>
      </c>
      <c r="F111" s="36">
        <v>12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2.75" customHeight="1" x14ac:dyDescent="0.2">
      <c r="A112" s="6" t="s">
        <v>544</v>
      </c>
      <c r="B112" s="6" t="s">
        <v>488</v>
      </c>
      <c r="C112" s="7">
        <v>213931</v>
      </c>
      <c r="D112" s="8">
        <v>9045.6</v>
      </c>
      <c r="E112" s="9" t="s">
        <v>7</v>
      </c>
      <c r="F112" s="36">
        <v>12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12.75" customHeight="1" x14ac:dyDescent="0.2">
      <c r="A113" s="6" t="s">
        <v>545</v>
      </c>
      <c r="B113" s="6" t="s">
        <v>488</v>
      </c>
      <c r="C113" s="7">
        <v>213933</v>
      </c>
      <c r="D113" s="8">
        <v>8265.6</v>
      </c>
      <c r="E113" s="9" t="s">
        <v>7</v>
      </c>
      <c r="F113" s="36">
        <v>12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12.75" customHeight="1" x14ac:dyDescent="0.2">
      <c r="A114" s="6" t="s">
        <v>546</v>
      </c>
      <c r="B114" s="6" t="s">
        <v>488</v>
      </c>
      <c r="C114" s="7">
        <v>213937</v>
      </c>
      <c r="D114" s="8">
        <v>8054.4</v>
      </c>
      <c r="E114" s="9" t="s">
        <v>7</v>
      </c>
      <c r="F114" s="36">
        <v>12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12.75" customHeight="1" x14ac:dyDescent="0.2">
      <c r="A115" s="6" t="s">
        <v>547</v>
      </c>
      <c r="B115" s="6" t="s">
        <v>488</v>
      </c>
      <c r="C115" s="7">
        <v>213939</v>
      </c>
      <c r="D115" s="8">
        <v>9571.1999999999989</v>
      </c>
      <c r="E115" s="9" t="s">
        <v>7</v>
      </c>
      <c r="F115" s="36">
        <v>12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2.75" customHeight="1" x14ac:dyDescent="0.2">
      <c r="A116" s="6" t="s">
        <v>548</v>
      </c>
      <c r="B116" s="6" t="s">
        <v>488</v>
      </c>
      <c r="C116" s="7">
        <v>213942</v>
      </c>
      <c r="D116" s="8">
        <v>7922.4</v>
      </c>
      <c r="E116" s="9" t="s">
        <v>7</v>
      </c>
      <c r="F116" s="36">
        <v>12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2.75" customHeight="1" x14ac:dyDescent="0.2">
      <c r="A117" s="6" t="s">
        <v>549</v>
      </c>
      <c r="B117" s="6" t="s">
        <v>488</v>
      </c>
      <c r="C117" s="7">
        <v>213943</v>
      </c>
      <c r="D117" s="8">
        <v>7542</v>
      </c>
      <c r="E117" s="9" t="s">
        <v>7</v>
      </c>
      <c r="F117" s="36">
        <v>12</v>
      </c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2.75" customHeight="1" x14ac:dyDescent="0.2">
      <c r="A118" s="6" t="s">
        <v>550</v>
      </c>
      <c r="B118" s="6" t="s">
        <v>488</v>
      </c>
      <c r="C118" s="7">
        <v>213944</v>
      </c>
      <c r="D118" s="8">
        <v>8052</v>
      </c>
      <c r="E118" s="9" t="s">
        <v>7</v>
      </c>
      <c r="F118" s="36">
        <v>12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2.75" customHeight="1" x14ac:dyDescent="0.2">
      <c r="A119" s="6" t="s">
        <v>551</v>
      </c>
      <c r="B119" s="6" t="s">
        <v>488</v>
      </c>
      <c r="C119" s="7">
        <v>213947</v>
      </c>
      <c r="D119" s="8">
        <v>9698.4</v>
      </c>
      <c r="E119" s="9" t="s">
        <v>7</v>
      </c>
      <c r="F119" s="36">
        <v>12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2.75" customHeight="1" x14ac:dyDescent="0.2">
      <c r="A120" s="6" t="s">
        <v>552</v>
      </c>
      <c r="B120" s="6" t="s">
        <v>488</v>
      </c>
      <c r="C120" s="7">
        <v>213949</v>
      </c>
      <c r="D120" s="8">
        <v>7605.5999999999995</v>
      </c>
      <c r="E120" s="9" t="s">
        <v>7</v>
      </c>
      <c r="F120" s="36">
        <v>12</v>
      </c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2.75" customHeight="1" x14ac:dyDescent="0.2">
      <c r="A121" s="6" t="s">
        <v>553</v>
      </c>
      <c r="B121" s="6" t="s">
        <v>488</v>
      </c>
      <c r="C121" s="7">
        <v>213951</v>
      </c>
      <c r="D121" s="8">
        <v>9231.6</v>
      </c>
      <c r="E121" s="9" t="s">
        <v>7</v>
      </c>
      <c r="F121" s="36">
        <v>12</v>
      </c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2.75" customHeight="1" x14ac:dyDescent="0.2">
      <c r="A122" s="6" t="s">
        <v>554</v>
      </c>
      <c r="B122" s="6" t="s">
        <v>488</v>
      </c>
      <c r="C122" s="7">
        <v>213952</v>
      </c>
      <c r="D122" s="8">
        <v>7354.8</v>
      </c>
      <c r="E122" s="9" t="s">
        <v>7</v>
      </c>
      <c r="F122" s="36">
        <v>12</v>
      </c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2.75" customHeight="1" x14ac:dyDescent="0.2">
      <c r="A123" s="6" t="s">
        <v>555</v>
      </c>
      <c r="B123" s="6" t="s">
        <v>488</v>
      </c>
      <c r="C123" s="7">
        <v>213954</v>
      </c>
      <c r="D123" s="8">
        <v>7594.7999999999993</v>
      </c>
      <c r="E123" s="9" t="s">
        <v>7</v>
      </c>
      <c r="F123" s="36">
        <v>12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2.75" customHeight="1" x14ac:dyDescent="0.2">
      <c r="A124" s="6" t="s">
        <v>556</v>
      </c>
      <c r="B124" s="6" t="s">
        <v>488</v>
      </c>
      <c r="C124" s="7">
        <v>213956</v>
      </c>
      <c r="D124" s="8">
        <v>7500</v>
      </c>
      <c r="E124" s="9" t="s">
        <v>7</v>
      </c>
      <c r="F124" s="36">
        <v>12</v>
      </c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2.75" customHeight="1" x14ac:dyDescent="0.2">
      <c r="A125" s="6" t="s">
        <v>557</v>
      </c>
      <c r="B125" s="6" t="s">
        <v>488</v>
      </c>
      <c r="C125" s="7">
        <v>213957</v>
      </c>
      <c r="D125" s="8">
        <v>6810</v>
      </c>
      <c r="E125" s="9" t="s">
        <v>7</v>
      </c>
      <c r="F125" s="36">
        <v>12</v>
      </c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2.75" customHeight="1" x14ac:dyDescent="0.2">
      <c r="A126" s="6" t="s">
        <v>558</v>
      </c>
      <c r="B126" s="6" t="s">
        <v>488</v>
      </c>
      <c r="C126" s="7">
        <v>213959</v>
      </c>
      <c r="D126" s="8">
        <v>9231.6</v>
      </c>
      <c r="E126" s="9" t="s">
        <v>7</v>
      </c>
      <c r="F126" s="36">
        <v>12</v>
      </c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2.75" customHeight="1" x14ac:dyDescent="0.2">
      <c r="A127" s="6" t="s">
        <v>559</v>
      </c>
      <c r="B127" s="6" t="s">
        <v>488</v>
      </c>
      <c r="C127" s="7">
        <v>213960</v>
      </c>
      <c r="D127" s="8">
        <v>7489.2</v>
      </c>
      <c r="E127" s="9" t="s">
        <v>7</v>
      </c>
      <c r="F127" s="36">
        <v>12</v>
      </c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2.75" customHeight="1" x14ac:dyDescent="0.2">
      <c r="A128" s="6" t="s">
        <v>560</v>
      </c>
      <c r="B128" s="6" t="s">
        <v>488</v>
      </c>
      <c r="C128" s="7">
        <v>213961</v>
      </c>
      <c r="D128" s="8">
        <v>6765.5999999999995</v>
      </c>
      <c r="E128" s="9" t="s">
        <v>7</v>
      </c>
      <c r="F128" s="36">
        <v>12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2.75" customHeight="1" x14ac:dyDescent="0.2">
      <c r="A129" s="6" t="s">
        <v>561</v>
      </c>
      <c r="B129" s="6" t="s">
        <v>488</v>
      </c>
      <c r="C129" s="7">
        <v>213962</v>
      </c>
      <c r="D129" s="8">
        <v>7255.2</v>
      </c>
      <c r="E129" s="9" t="s">
        <v>7</v>
      </c>
      <c r="F129" s="36">
        <v>12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2.75" customHeight="1" x14ac:dyDescent="0.2">
      <c r="A130" s="6" t="s">
        <v>569</v>
      </c>
      <c r="B130" s="6" t="s">
        <v>488</v>
      </c>
      <c r="C130" s="7">
        <v>213971</v>
      </c>
      <c r="D130" s="8">
        <v>8870.4</v>
      </c>
      <c r="E130" s="9" t="s">
        <v>7</v>
      </c>
      <c r="F130" s="36">
        <v>12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2.75" customHeight="1" x14ac:dyDescent="0.2">
      <c r="A131" s="6" t="s">
        <v>570</v>
      </c>
      <c r="B131" s="6" t="s">
        <v>488</v>
      </c>
      <c r="C131" s="7">
        <v>213973</v>
      </c>
      <c r="D131" s="8">
        <v>6794.4</v>
      </c>
      <c r="E131" s="9" t="s">
        <v>7</v>
      </c>
      <c r="F131" s="36">
        <v>12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2.75" customHeight="1" x14ac:dyDescent="0.2">
      <c r="A132" s="6" t="s">
        <v>571</v>
      </c>
      <c r="B132" s="6" t="s">
        <v>488</v>
      </c>
      <c r="C132" s="7">
        <v>213974</v>
      </c>
      <c r="D132" s="8">
        <v>8683.1999999999989</v>
      </c>
      <c r="E132" s="9" t="s">
        <v>7</v>
      </c>
      <c r="F132" s="36">
        <v>12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2.75" customHeight="1" x14ac:dyDescent="0.2">
      <c r="A133" s="6" t="s">
        <v>519</v>
      </c>
      <c r="B133" s="6" t="s">
        <v>488</v>
      </c>
      <c r="C133" s="7">
        <v>213978</v>
      </c>
      <c r="D133" s="8">
        <v>9165.6</v>
      </c>
      <c r="E133" s="9" t="s">
        <v>16</v>
      </c>
      <c r="F133" s="36">
        <v>12</v>
      </c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2.75" customHeight="1" x14ac:dyDescent="0.2">
      <c r="A134" s="6" t="s">
        <v>573</v>
      </c>
      <c r="B134" s="6" t="s">
        <v>488</v>
      </c>
      <c r="C134" s="7">
        <v>213982</v>
      </c>
      <c r="D134" s="8">
        <v>7825.2</v>
      </c>
      <c r="E134" s="9" t="s">
        <v>7</v>
      </c>
      <c r="F134" s="36">
        <v>12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2.75" customHeight="1" x14ac:dyDescent="0.2">
      <c r="A135" s="6" t="s">
        <v>574</v>
      </c>
      <c r="B135" s="6" t="s">
        <v>488</v>
      </c>
      <c r="C135" s="7">
        <v>213983</v>
      </c>
      <c r="D135" s="8">
        <v>6854.4</v>
      </c>
      <c r="E135" s="9" t="s">
        <v>7</v>
      </c>
      <c r="F135" s="36">
        <v>12</v>
      </c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2.75" customHeight="1" x14ac:dyDescent="0.2">
      <c r="A136" s="6" t="s">
        <v>575</v>
      </c>
      <c r="B136" s="6" t="s">
        <v>488</v>
      </c>
      <c r="C136" s="7">
        <v>213988</v>
      </c>
      <c r="D136" s="8">
        <v>10216.799999999999</v>
      </c>
      <c r="E136" s="9" t="s">
        <v>16</v>
      </c>
      <c r="F136" s="36">
        <v>12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2.75" customHeight="1" x14ac:dyDescent="0.2">
      <c r="A137" s="6" t="s">
        <v>577</v>
      </c>
      <c r="B137" s="6" t="s">
        <v>488</v>
      </c>
      <c r="C137" s="7">
        <v>213994</v>
      </c>
      <c r="D137" s="8">
        <v>9564</v>
      </c>
      <c r="E137" s="9" t="s">
        <v>7</v>
      </c>
      <c r="F137" s="36">
        <v>12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2.75" customHeight="1" x14ac:dyDescent="0.2">
      <c r="A138" s="6" t="s">
        <v>578</v>
      </c>
      <c r="B138" s="6" t="s">
        <v>488</v>
      </c>
      <c r="C138" s="7">
        <v>214002</v>
      </c>
      <c r="D138" s="8">
        <v>8874</v>
      </c>
      <c r="E138" s="9" t="s">
        <v>16</v>
      </c>
      <c r="F138" s="36">
        <v>12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2.75" customHeight="1" x14ac:dyDescent="0.2">
      <c r="A139" s="6" t="s">
        <v>579</v>
      </c>
      <c r="B139" s="6" t="s">
        <v>488</v>
      </c>
      <c r="C139" s="7">
        <v>214003</v>
      </c>
      <c r="D139" s="8">
        <v>8138.4</v>
      </c>
      <c r="E139" s="9" t="s">
        <v>7</v>
      </c>
      <c r="F139" s="36">
        <v>12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2.75" customHeight="1" x14ac:dyDescent="0.2">
      <c r="A140" s="6" t="s">
        <v>580</v>
      </c>
      <c r="B140" s="6" t="s">
        <v>488</v>
      </c>
      <c r="C140" s="7">
        <v>214004</v>
      </c>
      <c r="D140" s="8">
        <v>7946.4</v>
      </c>
      <c r="E140" s="9" t="s">
        <v>7</v>
      </c>
      <c r="F140" s="36">
        <v>12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2.75" customHeight="1" x14ac:dyDescent="0.2">
      <c r="A141" s="6" t="s">
        <v>581</v>
      </c>
      <c r="B141" s="6" t="s">
        <v>488</v>
      </c>
      <c r="C141" s="7">
        <v>214005</v>
      </c>
      <c r="D141" s="8">
        <v>14162.4</v>
      </c>
      <c r="E141" s="9" t="s">
        <v>7</v>
      </c>
      <c r="F141" s="36">
        <v>12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2.75" customHeight="1" x14ac:dyDescent="0.2">
      <c r="A142" s="6" t="s">
        <v>582</v>
      </c>
      <c r="B142" s="6" t="s">
        <v>488</v>
      </c>
      <c r="C142" s="7">
        <v>214012</v>
      </c>
      <c r="D142" s="8">
        <v>8901.6</v>
      </c>
      <c r="E142" s="9" t="s">
        <v>16</v>
      </c>
      <c r="F142" s="36">
        <v>12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2.75" customHeight="1" x14ac:dyDescent="0.2">
      <c r="A143" s="6" t="s">
        <v>584</v>
      </c>
      <c r="B143" s="6" t="s">
        <v>488</v>
      </c>
      <c r="C143" s="7">
        <v>214016</v>
      </c>
      <c r="D143" s="8">
        <v>7438.7999999999993</v>
      </c>
      <c r="E143" s="9" t="s">
        <v>16</v>
      </c>
      <c r="F143" s="36">
        <v>12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2.75" customHeight="1" x14ac:dyDescent="0.2">
      <c r="A144" s="6" t="s">
        <v>585</v>
      </c>
      <c r="B144" s="6" t="s">
        <v>488</v>
      </c>
      <c r="C144" s="7">
        <v>214024</v>
      </c>
      <c r="D144" s="8">
        <v>26216.399999999998</v>
      </c>
      <c r="E144" s="9" t="s">
        <v>7</v>
      </c>
      <c r="F144" s="36">
        <v>12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2.75" customHeight="1" x14ac:dyDescent="0.2">
      <c r="A145" s="6" t="s">
        <v>587</v>
      </c>
      <c r="B145" s="6" t="s">
        <v>488</v>
      </c>
      <c r="C145" s="7">
        <v>214026</v>
      </c>
      <c r="D145" s="8">
        <v>28466.399999999998</v>
      </c>
      <c r="E145" s="9" t="s">
        <v>7</v>
      </c>
      <c r="F145" s="36">
        <v>12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2.75" customHeight="1" x14ac:dyDescent="0.2">
      <c r="A146" s="6" t="s">
        <v>588</v>
      </c>
      <c r="B146" s="6" t="s">
        <v>488</v>
      </c>
      <c r="C146" s="7">
        <v>214027</v>
      </c>
      <c r="D146" s="8">
        <v>8680.7999999999993</v>
      </c>
      <c r="E146" s="9" t="s">
        <v>16</v>
      </c>
      <c r="F146" s="36">
        <v>12</v>
      </c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2.75" customHeight="1" x14ac:dyDescent="0.2">
      <c r="A147" s="6" t="s">
        <v>583</v>
      </c>
      <c r="B147" s="6" t="s">
        <v>488</v>
      </c>
      <c r="C147" s="7">
        <v>214028</v>
      </c>
      <c r="D147" s="8">
        <v>7803.5999999999995</v>
      </c>
      <c r="E147" s="9" t="s">
        <v>16</v>
      </c>
      <c r="F147" s="36">
        <v>12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2.75" customHeight="1" x14ac:dyDescent="0.2">
      <c r="A148" s="6" t="s">
        <v>589</v>
      </c>
      <c r="B148" s="6" t="s">
        <v>488</v>
      </c>
      <c r="C148" s="7">
        <v>214029</v>
      </c>
      <c r="D148" s="8">
        <v>8354.4</v>
      </c>
      <c r="E148" s="9" t="s">
        <v>7</v>
      </c>
      <c r="F148" s="36">
        <v>12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2.75" customHeight="1" x14ac:dyDescent="0.2">
      <c r="A149" s="6" t="s">
        <v>590</v>
      </c>
      <c r="B149" s="6" t="s">
        <v>488</v>
      </c>
      <c r="C149" s="7">
        <v>214032</v>
      </c>
      <c r="D149" s="8">
        <v>29030.399999999998</v>
      </c>
      <c r="E149" s="9" t="s">
        <v>7</v>
      </c>
      <c r="F149" s="36">
        <v>12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2.75" customHeight="1" x14ac:dyDescent="0.2">
      <c r="A150" s="6" t="s">
        <v>581</v>
      </c>
      <c r="B150" s="6" t="s">
        <v>488</v>
      </c>
      <c r="C150" s="7">
        <v>214038</v>
      </c>
      <c r="D150" s="8">
        <v>14128.8</v>
      </c>
      <c r="E150" s="9" t="s">
        <v>7</v>
      </c>
      <c r="F150" s="36">
        <v>12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2.75" customHeight="1" x14ac:dyDescent="0.2">
      <c r="A151" s="6" t="s">
        <v>596</v>
      </c>
      <c r="B151" s="6" t="s">
        <v>488</v>
      </c>
      <c r="C151" s="7">
        <v>214082</v>
      </c>
      <c r="D151" s="8">
        <v>9304.7999999999993</v>
      </c>
      <c r="E151" s="9" t="s">
        <v>16</v>
      </c>
      <c r="F151" s="36">
        <v>12</v>
      </c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2.75" customHeight="1" x14ac:dyDescent="0.2">
      <c r="A152" s="6" t="s">
        <v>598</v>
      </c>
      <c r="B152" s="6" t="s">
        <v>488</v>
      </c>
      <c r="C152" s="7">
        <v>214086</v>
      </c>
      <c r="D152" s="8">
        <v>6852</v>
      </c>
      <c r="E152" s="9" t="s">
        <v>16</v>
      </c>
      <c r="F152" s="36">
        <v>12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2.75" customHeight="1" x14ac:dyDescent="0.2">
      <c r="A153" s="6" t="s">
        <v>602</v>
      </c>
      <c r="B153" s="6" t="s">
        <v>488</v>
      </c>
      <c r="C153" s="7">
        <v>214110</v>
      </c>
      <c r="D153" s="8">
        <v>8379.6</v>
      </c>
      <c r="E153" s="9" t="s">
        <v>16</v>
      </c>
      <c r="F153" s="36">
        <v>12</v>
      </c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2.75" customHeight="1" x14ac:dyDescent="0.2">
      <c r="A154" s="6" t="s">
        <v>603</v>
      </c>
      <c r="B154" s="6" t="s">
        <v>488</v>
      </c>
      <c r="C154" s="7">
        <v>214111</v>
      </c>
      <c r="D154" s="8">
        <v>5913.5999999999995</v>
      </c>
      <c r="E154" s="9" t="s">
        <v>16</v>
      </c>
      <c r="F154" s="36">
        <v>12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2.75" customHeight="1" x14ac:dyDescent="0.2">
      <c r="A155" s="6" t="s">
        <v>604</v>
      </c>
      <c r="B155" s="6" t="s">
        <v>488</v>
      </c>
      <c r="C155" s="7">
        <v>214112</v>
      </c>
      <c r="D155" s="8">
        <v>80136</v>
      </c>
      <c r="E155" s="9" t="s">
        <v>16</v>
      </c>
      <c r="F155" s="36">
        <v>12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2.75" customHeight="1" x14ac:dyDescent="0.2">
      <c r="A156" s="6" t="s">
        <v>605</v>
      </c>
      <c r="B156" s="6" t="s">
        <v>488</v>
      </c>
      <c r="C156" s="7">
        <v>214125</v>
      </c>
      <c r="D156" s="8">
        <v>8342.4</v>
      </c>
      <c r="E156" s="9" t="s">
        <v>7</v>
      </c>
      <c r="F156" s="36">
        <v>12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2.75" customHeight="1" x14ac:dyDescent="0.2">
      <c r="A157" s="6" t="s">
        <v>606</v>
      </c>
      <c r="B157" s="6" t="s">
        <v>488</v>
      </c>
      <c r="C157" s="7">
        <v>214126</v>
      </c>
      <c r="D157" s="8">
        <v>8964</v>
      </c>
      <c r="E157" s="9" t="s">
        <v>7</v>
      </c>
      <c r="F157" s="36">
        <v>12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2.75" customHeight="1" x14ac:dyDescent="0.2">
      <c r="A158" s="6" t="s">
        <v>609</v>
      </c>
      <c r="B158" s="6" t="s">
        <v>488</v>
      </c>
      <c r="C158" s="7">
        <v>214144</v>
      </c>
      <c r="D158" s="8">
        <v>10358.4</v>
      </c>
      <c r="E158" s="9" t="s">
        <v>16</v>
      </c>
      <c r="F158" s="36">
        <v>12</v>
      </c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2.75" customHeight="1" x14ac:dyDescent="0.2">
      <c r="A159" s="6" t="s">
        <v>610</v>
      </c>
      <c r="B159" s="6" t="s">
        <v>488</v>
      </c>
      <c r="C159" s="7">
        <v>214145</v>
      </c>
      <c r="D159" s="8">
        <v>12475.199999999999</v>
      </c>
      <c r="E159" s="9" t="s">
        <v>16</v>
      </c>
      <c r="F159" s="36">
        <v>12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2.75" customHeight="1" x14ac:dyDescent="0.2">
      <c r="A160" s="6" t="s">
        <v>615</v>
      </c>
      <c r="B160" s="6" t="s">
        <v>488</v>
      </c>
      <c r="C160" s="7">
        <v>214174</v>
      </c>
      <c r="D160" s="8">
        <v>7225.2</v>
      </c>
      <c r="E160" s="9" t="s">
        <v>16</v>
      </c>
      <c r="F160" s="36">
        <v>12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2.75" customHeight="1" x14ac:dyDescent="0.2">
      <c r="A161" s="6" t="s">
        <v>627</v>
      </c>
      <c r="B161" s="6" t="s">
        <v>488</v>
      </c>
      <c r="C161" s="7">
        <v>215734</v>
      </c>
      <c r="D161" s="8">
        <v>6895.2</v>
      </c>
      <c r="E161" s="9" t="s">
        <v>16</v>
      </c>
      <c r="F161" s="36">
        <v>12</v>
      </c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2.75" customHeight="1" x14ac:dyDescent="0.2">
      <c r="A162" s="6" t="s">
        <v>628</v>
      </c>
      <c r="B162" s="6" t="s">
        <v>488</v>
      </c>
      <c r="C162" s="7">
        <v>215735</v>
      </c>
      <c r="D162" s="8">
        <v>7044</v>
      </c>
      <c r="E162" s="9" t="s">
        <v>16</v>
      </c>
      <c r="F162" s="36">
        <v>12</v>
      </c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2.75" customHeight="1" x14ac:dyDescent="0.2">
      <c r="A163" s="6" t="s">
        <v>629</v>
      </c>
      <c r="B163" s="6" t="s">
        <v>488</v>
      </c>
      <c r="C163" s="7">
        <v>215834</v>
      </c>
      <c r="D163" s="8">
        <v>8466</v>
      </c>
      <c r="E163" s="9" t="s">
        <v>16</v>
      </c>
      <c r="F163" s="36">
        <v>12</v>
      </c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2.75" customHeight="1" x14ac:dyDescent="0.2">
      <c r="A164" s="6" t="s">
        <v>636</v>
      </c>
      <c r="B164" s="6" t="s">
        <v>488</v>
      </c>
      <c r="C164" s="7">
        <v>216184</v>
      </c>
      <c r="D164" s="8">
        <v>6806.4</v>
      </c>
      <c r="E164" s="9" t="s">
        <v>16</v>
      </c>
      <c r="F164" s="36">
        <v>12</v>
      </c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2.75" customHeight="1" x14ac:dyDescent="0.2">
      <c r="A165" s="6" t="s">
        <v>637</v>
      </c>
      <c r="B165" s="6" t="s">
        <v>488</v>
      </c>
      <c r="C165" s="7">
        <v>216186</v>
      </c>
      <c r="D165" s="8">
        <v>9042</v>
      </c>
      <c r="E165" s="9" t="s">
        <v>16</v>
      </c>
      <c r="F165" s="36">
        <v>12</v>
      </c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2.75" customHeight="1" x14ac:dyDescent="0.2">
      <c r="A166" s="6" t="s">
        <v>614</v>
      </c>
      <c r="B166" s="6" t="s">
        <v>488</v>
      </c>
      <c r="C166" s="7">
        <v>216250</v>
      </c>
      <c r="D166" s="8">
        <v>8758.7999999999993</v>
      </c>
      <c r="E166" s="9" t="s">
        <v>16</v>
      </c>
      <c r="F166" s="36">
        <v>12</v>
      </c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2.75" customHeight="1" x14ac:dyDescent="0.2">
      <c r="A167" s="6" t="s">
        <v>641</v>
      </c>
      <c r="B167" s="6" t="s">
        <v>488</v>
      </c>
      <c r="C167" s="7">
        <v>221345</v>
      </c>
      <c r="D167" s="8">
        <v>8703.6</v>
      </c>
      <c r="E167" s="9" t="s">
        <v>16</v>
      </c>
      <c r="F167" s="36">
        <v>12</v>
      </c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2.75" customHeight="1" x14ac:dyDescent="0.2">
      <c r="A168" s="6" t="s">
        <v>642</v>
      </c>
      <c r="B168" s="6" t="s">
        <v>488</v>
      </c>
      <c r="C168" s="7">
        <v>223519</v>
      </c>
      <c r="D168" s="8">
        <v>9733.1999999999989</v>
      </c>
      <c r="E168" s="9" t="s">
        <v>7</v>
      </c>
      <c r="F168" s="36">
        <v>12</v>
      </c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2.75" customHeight="1" x14ac:dyDescent="0.2">
      <c r="A169" s="6" t="s">
        <v>642</v>
      </c>
      <c r="B169" s="6" t="s">
        <v>488</v>
      </c>
      <c r="C169" s="7">
        <v>223626</v>
      </c>
      <c r="D169" s="8">
        <v>9733.1999999999989</v>
      </c>
      <c r="E169" s="9" t="s">
        <v>7</v>
      </c>
      <c r="F169" s="36">
        <v>12</v>
      </c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2.75" customHeight="1" x14ac:dyDescent="0.2">
      <c r="A170" s="6" t="s">
        <v>462</v>
      </c>
      <c r="B170" s="6" t="s">
        <v>488</v>
      </c>
      <c r="C170" s="7">
        <v>216591</v>
      </c>
      <c r="D170" s="8">
        <v>6103.2</v>
      </c>
      <c r="E170" s="9" t="s">
        <v>16</v>
      </c>
      <c r="F170" s="36">
        <v>12</v>
      </c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2.75" customHeight="1" x14ac:dyDescent="0.2">
      <c r="A171" s="6" t="s">
        <v>463</v>
      </c>
      <c r="B171" s="6" t="s">
        <v>488</v>
      </c>
      <c r="C171" s="7">
        <v>216594</v>
      </c>
      <c r="D171" s="8">
        <v>9679.1999999999989</v>
      </c>
      <c r="E171" s="9" t="s">
        <v>16</v>
      </c>
      <c r="F171" s="36">
        <v>12</v>
      </c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2.75" customHeight="1" x14ac:dyDescent="0.2">
      <c r="A172" s="6" t="s">
        <v>475</v>
      </c>
      <c r="B172" s="6" t="s">
        <v>488</v>
      </c>
      <c r="C172" s="7">
        <v>216599</v>
      </c>
      <c r="D172" s="8">
        <v>8385.6</v>
      </c>
      <c r="E172" s="9" t="s">
        <v>16</v>
      </c>
      <c r="F172" s="36">
        <v>12</v>
      </c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2.75" customHeight="1" x14ac:dyDescent="0.2">
      <c r="A173" s="6" t="s">
        <v>464</v>
      </c>
      <c r="B173" s="6" t="s">
        <v>488</v>
      </c>
      <c r="C173" s="7">
        <v>216592</v>
      </c>
      <c r="D173" s="8">
        <v>6723.5999999999995</v>
      </c>
      <c r="E173" s="9" t="s">
        <v>16</v>
      </c>
      <c r="F173" s="36">
        <v>12</v>
      </c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2.75" customHeight="1" x14ac:dyDescent="0.2">
      <c r="A174" s="6" t="s">
        <v>469</v>
      </c>
      <c r="B174" s="6" t="s">
        <v>488</v>
      </c>
      <c r="C174" s="7">
        <v>216633</v>
      </c>
      <c r="D174" s="8">
        <v>8707.1999999999989</v>
      </c>
      <c r="E174" s="9" t="s">
        <v>16</v>
      </c>
      <c r="F174" s="36">
        <v>12</v>
      </c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2.75" customHeight="1" x14ac:dyDescent="0.2">
      <c r="A175" s="6" t="s">
        <v>494</v>
      </c>
      <c r="B175" s="6" t="s">
        <v>488</v>
      </c>
      <c r="C175" s="7">
        <v>216625</v>
      </c>
      <c r="D175" s="8">
        <v>9160.7999999999993</v>
      </c>
      <c r="E175" s="9" t="s">
        <v>16</v>
      </c>
      <c r="F175" s="36">
        <v>12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2.75" customHeight="1" x14ac:dyDescent="0.2">
      <c r="A176" s="6" t="s">
        <v>536</v>
      </c>
      <c r="B176" s="6" t="s">
        <v>488</v>
      </c>
      <c r="C176" s="7">
        <v>216642</v>
      </c>
      <c r="D176" s="8">
        <v>9696</v>
      </c>
      <c r="E176" s="9" t="s">
        <v>7</v>
      </c>
      <c r="F176" s="36">
        <v>12</v>
      </c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2.75" customHeight="1" x14ac:dyDescent="0.2">
      <c r="A177" s="6" t="s">
        <v>533</v>
      </c>
      <c r="B177" s="6" t="s">
        <v>488</v>
      </c>
      <c r="C177" s="7">
        <v>216653</v>
      </c>
      <c r="D177" s="8">
        <v>6060</v>
      </c>
      <c r="E177" s="9" t="s">
        <v>7</v>
      </c>
      <c r="F177" s="36">
        <v>12</v>
      </c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2.75" customHeight="1" x14ac:dyDescent="0.2">
      <c r="A178" s="6" t="s">
        <v>537</v>
      </c>
      <c r="B178" s="6" t="s">
        <v>488</v>
      </c>
      <c r="C178" s="7">
        <v>217555</v>
      </c>
      <c r="D178" s="8">
        <v>7946.4</v>
      </c>
      <c r="E178" s="9" t="s">
        <v>7</v>
      </c>
      <c r="F178" s="36">
        <v>12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2.75" customHeight="1" x14ac:dyDescent="0.2">
      <c r="A179" s="6" t="s">
        <v>538</v>
      </c>
      <c r="B179" s="6" t="s">
        <v>488</v>
      </c>
      <c r="C179" s="7">
        <v>216640</v>
      </c>
      <c r="D179" s="8">
        <v>6051.5999999999995</v>
      </c>
      <c r="E179" s="9" t="s">
        <v>7</v>
      </c>
      <c r="F179" s="36">
        <v>12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2.75" customHeight="1" x14ac:dyDescent="0.2">
      <c r="A180" s="6" t="s">
        <v>540</v>
      </c>
      <c r="B180" s="6" t="s">
        <v>488</v>
      </c>
      <c r="C180" s="7">
        <v>216649</v>
      </c>
      <c r="D180" s="8">
        <v>9538.7999999999993</v>
      </c>
      <c r="E180" s="9" t="s">
        <v>7</v>
      </c>
      <c r="F180" s="36">
        <v>12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2.75" customHeight="1" x14ac:dyDescent="0.2">
      <c r="A181" s="6" t="s">
        <v>542</v>
      </c>
      <c r="B181" s="6" t="s">
        <v>488</v>
      </c>
      <c r="C181" s="7">
        <v>216683</v>
      </c>
      <c r="D181" s="8">
        <v>8566.7999999999993</v>
      </c>
      <c r="E181" s="9" t="s">
        <v>7</v>
      </c>
      <c r="F181" s="36">
        <v>12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2.75" customHeight="1" x14ac:dyDescent="0.2">
      <c r="A182" s="6" t="s">
        <v>545</v>
      </c>
      <c r="B182" s="6" t="s">
        <v>488</v>
      </c>
      <c r="C182" s="7">
        <v>216688</v>
      </c>
      <c r="D182" s="8">
        <v>8265.6</v>
      </c>
      <c r="E182" s="9" t="s">
        <v>7</v>
      </c>
      <c r="F182" s="36">
        <v>12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2.75" customHeight="1" x14ac:dyDescent="0.2">
      <c r="A183" s="6" t="s">
        <v>602</v>
      </c>
      <c r="B183" s="6" t="s">
        <v>488</v>
      </c>
      <c r="C183" s="7">
        <v>216674</v>
      </c>
      <c r="D183" s="8">
        <v>8379.6</v>
      </c>
      <c r="E183" s="9" t="s">
        <v>16</v>
      </c>
      <c r="F183" s="36">
        <v>12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2.75" customHeight="1" x14ac:dyDescent="0.2">
      <c r="A184" s="6" t="s">
        <v>603</v>
      </c>
      <c r="B184" s="6" t="s">
        <v>488</v>
      </c>
      <c r="C184" s="7">
        <v>216680</v>
      </c>
      <c r="D184" s="8">
        <v>5913.5999999999995</v>
      </c>
      <c r="E184" s="9" t="s">
        <v>16</v>
      </c>
      <c r="F184" s="36">
        <v>12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2.75" customHeight="1" x14ac:dyDescent="0.2">
      <c r="A185" s="6" t="s">
        <v>604</v>
      </c>
      <c r="B185" s="6" t="s">
        <v>488</v>
      </c>
      <c r="C185" s="7">
        <v>216677</v>
      </c>
      <c r="D185" s="8">
        <v>80136</v>
      </c>
      <c r="E185" s="9" t="s">
        <v>16</v>
      </c>
      <c r="F185" s="36">
        <v>12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2.75" customHeight="1" x14ac:dyDescent="0.2">
      <c r="A186" s="6" t="s">
        <v>605</v>
      </c>
      <c r="B186" s="6" t="s">
        <v>488</v>
      </c>
      <c r="C186" s="7">
        <v>216669</v>
      </c>
      <c r="D186" s="8">
        <v>8342.4</v>
      </c>
      <c r="E186" s="9" t="s">
        <v>7</v>
      </c>
      <c r="F186" s="36">
        <v>12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2.75" customHeight="1" x14ac:dyDescent="0.2">
      <c r="A187" s="6" t="s">
        <v>606</v>
      </c>
      <c r="B187" s="6" t="s">
        <v>488</v>
      </c>
      <c r="C187" s="7">
        <v>216671</v>
      </c>
      <c r="D187" s="8">
        <v>8964</v>
      </c>
      <c r="E187" s="9" t="s">
        <v>7</v>
      </c>
      <c r="F187" s="36">
        <v>12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2.75" customHeight="1" x14ac:dyDescent="0.2">
      <c r="A188" s="6" t="s">
        <v>358</v>
      </c>
      <c r="B188" s="6" t="s">
        <v>366</v>
      </c>
      <c r="C188" s="7">
        <v>194874</v>
      </c>
      <c r="D188" s="8">
        <v>19161.599999999999</v>
      </c>
      <c r="E188" s="9" t="s">
        <v>7</v>
      </c>
      <c r="F188" s="36">
        <v>24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2.75" customHeight="1" x14ac:dyDescent="0.2">
      <c r="A189" s="6" t="s">
        <v>21</v>
      </c>
      <c r="B189" s="6" t="s">
        <v>236</v>
      </c>
      <c r="C189" s="7">
        <v>160743</v>
      </c>
      <c r="D189" s="8">
        <v>10660.8</v>
      </c>
      <c r="E189" s="9" t="s">
        <v>16</v>
      </c>
      <c r="F189" s="36">
        <v>12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2.75" customHeight="1" x14ac:dyDescent="0.2">
      <c r="A190" s="6" t="s">
        <v>24</v>
      </c>
      <c r="B190" s="6" t="s">
        <v>236</v>
      </c>
      <c r="C190" s="7">
        <v>160746</v>
      </c>
      <c r="D190" s="8">
        <v>11382</v>
      </c>
      <c r="E190" s="9" t="s">
        <v>16</v>
      </c>
      <c r="F190" s="36">
        <v>12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2.75" customHeight="1" x14ac:dyDescent="0.2">
      <c r="A191" s="6" t="s">
        <v>163</v>
      </c>
      <c r="B191" s="6" t="s">
        <v>164</v>
      </c>
      <c r="C191" s="7">
        <v>140056</v>
      </c>
      <c r="D191" s="8">
        <v>7257.5999999999995</v>
      </c>
      <c r="E191" s="9" t="s">
        <v>16</v>
      </c>
      <c r="F191" s="36">
        <f t="shared" ref="F191:F195" si="2">12*0.4</f>
        <v>4.8000000000000007</v>
      </c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2.75" customHeight="1" x14ac:dyDescent="0.2">
      <c r="A192" s="6" t="s">
        <v>371</v>
      </c>
      <c r="B192" s="6" t="s">
        <v>164</v>
      </c>
      <c r="C192" s="7">
        <v>195628</v>
      </c>
      <c r="D192" s="8">
        <v>11228.4</v>
      </c>
      <c r="E192" s="9" t="s">
        <v>7</v>
      </c>
      <c r="F192" s="36">
        <f t="shared" si="2"/>
        <v>4.8000000000000007</v>
      </c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2.75" customHeight="1" x14ac:dyDescent="0.2">
      <c r="A193" s="6" t="s">
        <v>390</v>
      </c>
      <c r="B193" s="6" t="s">
        <v>164</v>
      </c>
      <c r="C193" s="7">
        <v>199406</v>
      </c>
      <c r="D193" s="8">
        <v>4490.3999999999996</v>
      </c>
      <c r="E193" s="9" t="s">
        <v>7</v>
      </c>
      <c r="F193" s="36">
        <f t="shared" si="2"/>
        <v>4.8000000000000007</v>
      </c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2.75" customHeight="1" x14ac:dyDescent="0.2">
      <c r="A194" s="6" t="s">
        <v>402</v>
      </c>
      <c r="B194" s="6" t="s">
        <v>164</v>
      </c>
      <c r="C194" s="7">
        <v>199795</v>
      </c>
      <c r="D194" s="8">
        <v>5358</v>
      </c>
      <c r="E194" s="9" t="s">
        <v>7</v>
      </c>
      <c r="F194" s="36">
        <f t="shared" si="2"/>
        <v>4.8000000000000007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2.75" customHeight="1" x14ac:dyDescent="0.2">
      <c r="A195" s="6" t="s">
        <v>403</v>
      </c>
      <c r="B195" s="6" t="s">
        <v>164</v>
      </c>
      <c r="C195" s="7">
        <v>199796</v>
      </c>
      <c r="D195" s="8">
        <v>5644.8</v>
      </c>
      <c r="E195" s="9" t="s">
        <v>7</v>
      </c>
      <c r="F195" s="36">
        <f t="shared" si="2"/>
        <v>4.8000000000000007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2.75" customHeight="1" x14ac:dyDescent="0.2">
      <c r="A196" s="6" t="s">
        <v>410</v>
      </c>
      <c r="B196" s="6" t="s">
        <v>411</v>
      </c>
      <c r="C196" s="7">
        <v>201304</v>
      </c>
      <c r="D196" s="8">
        <v>5780.4</v>
      </c>
      <c r="E196" s="9" t="s">
        <v>7</v>
      </c>
      <c r="F196" s="36">
        <f>12*0.25</f>
        <v>3</v>
      </c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2.75" customHeight="1" x14ac:dyDescent="0.2">
      <c r="A197" s="6" t="s">
        <v>504</v>
      </c>
      <c r="B197" s="6" t="s">
        <v>505</v>
      </c>
      <c r="C197" s="7">
        <v>213822</v>
      </c>
      <c r="D197" s="8">
        <v>5721.5999999999995</v>
      </c>
      <c r="E197" s="9" t="s">
        <v>16</v>
      </c>
      <c r="F197" s="36">
        <f t="shared" ref="F197:F211" si="3">16*0.5</f>
        <v>8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2.75" customHeight="1" x14ac:dyDescent="0.2">
      <c r="A198" s="6" t="s">
        <v>465</v>
      </c>
      <c r="B198" s="6" t="s">
        <v>505</v>
      </c>
      <c r="C198" s="7">
        <v>213824</v>
      </c>
      <c r="D198" s="8">
        <v>5424</v>
      </c>
      <c r="E198" s="9" t="s">
        <v>16</v>
      </c>
      <c r="F198" s="36">
        <f t="shared" si="3"/>
        <v>8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2.75" customHeight="1" x14ac:dyDescent="0.2">
      <c r="A199" s="6" t="s">
        <v>468</v>
      </c>
      <c r="B199" s="6" t="s">
        <v>505</v>
      </c>
      <c r="C199" s="7">
        <v>213837</v>
      </c>
      <c r="D199" s="8">
        <v>6524.4</v>
      </c>
      <c r="E199" s="9" t="s">
        <v>16</v>
      </c>
      <c r="F199" s="36">
        <f t="shared" si="3"/>
        <v>8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2.75" customHeight="1" x14ac:dyDescent="0.2">
      <c r="A200" s="6" t="s">
        <v>526</v>
      </c>
      <c r="B200" s="6" t="s">
        <v>505</v>
      </c>
      <c r="C200" s="7">
        <v>213869</v>
      </c>
      <c r="D200" s="8">
        <v>6757.2</v>
      </c>
      <c r="E200" s="9" t="s">
        <v>7</v>
      </c>
      <c r="F200" s="36">
        <f t="shared" si="3"/>
        <v>8</v>
      </c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2.75" customHeight="1" x14ac:dyDescent="0.2">
      <c r="A201" s="6" t="s">
        <v>556</v>
      </c>
      <c r="B201" s="6" t="s">
        <v>505</v>
      </c>
      <c r="C201" s="7">
        <v>213955</v>
      </c>
      <c r="D201" s="8">
        <v>5784</v>
      </c>
      <c r="E201" s="9" t="s">
        <v>7</v>
      </c>
      <c r="F201" s="36">
        <f t="shared" si="3"/>
        <v>8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2.75" customHeight="1" x14ac:dyDescent="0.2">
      <c r="A202" s="6" t="s">
        <v>562</v>
      </c>
      <c r="B202" s="6" t="s">
        <v>505</v>
      </c>
      <c r="C202" s="7">
        <v>213964</v>
      </c>
      <c r="D202" s="8">
        <v>5553.5999999999995</v>
      </c>
      <c r="E202" s="9" t="s">
        <v>7</v>
      </c>
      <c r="F202" s="36">
        <f t="shared" si="3"/>
        <v>8</v>
      </c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2.75" customHeight="1" x14ac:dyDescent="0.2">
      <c r="A203" s="6" t="s">
        <v>563</v>
      </c>
      <c r="B203" s="6" t="s">
        <v>505</v>
      </c>
      <c r="C203" s="7">
        <v>213965</v>
      </c>
      <c r="D203" s="8">
        <v>5410.8</v>
      </c>
      <c r="E203" s="9" t="s">
        <v>7</v>
      </c>
      <c r="F203" s="36">
        <f t="shared" si="3"/>
        <v>8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2.75" customHeight="1" x14ac:dyDescent="0.2">
      <c r="A204" s="6" t="s">
        <v>564</v>
      </c>
      <c r="B204" s="6" t="s">
        <v>505</v>
      </c>
      <c r="C204" s="7">
        <v>213966</v>
      </c>
      <c r="D204" s="8">
        <v>7896</v>
      </c>
      <c r="E204" s="9" t="s">
        <v>7</v>
      </c>
      <c r="F204" s="36">
        <f t="shared" si="3"/>
        <v>8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2.75" customHeight="1" x14ac:dyDescent="0.2">
      <c r="A205" s="6" t="s">
        <v>565</v>
      </c>
      <c r="B205" s="6" t="s">
        <v>505</v>
      </c>
      <c r="C205" s="7">
        <v>213967</v>
      </c>
      <c r="D205" s="8">
        <v>7842</v>
      </c>
      <c r="E205" s="9" t="s">
        <v>7</v>
      </c>
      <c r="F205" s="36">
        <f t="shared" si="3"/>
        <v>8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2.75" customHeight="1" x14ac:dyDescent="0.2">
      <c r="A206" s="6" t="s">
        <v>566</v>
      </c>
      <c r="B206" s="6" t="s">
        <v>505</v>
      </c>
      <c r="C206" s="7">
        <v>213968</v>
      </c>
      <c r="D206" s="8">
        <v>8065.2</v>
      </c>
      <c r="E206" s="9" t="s">
        <v>7</v>
      </c>
      <c r="F206" s="36">
        <f t="shared" si="3"/>
        <v>8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2.75" customHeight="1" x14ac:dyDescent="0.2">
      <c r="A207" s="6" t="s">
        <v>567</v>
      </c>
      <c r="B207" s="6" t="s">
        <v>505</v>
      </c>
      <c r="C207" s="7">
        <v>213969</v>
      </c>
      <c r="D207" s="8">
        <v>8311.1999999999989</v>
      </c>
      <c r="E207" s="9" t="s">
        <v>7</v>
      </c>
      <c r="F207" s="36">
        <f t="shared" si="3"/>
        <v>8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2.75" customHeight="1" x14ac:dyDescent="0.2">
      <c r="A208" s="6" t="s">
        <v>568</v>
      </c>
      <c r="B208" s="6" t="s">
        <v>505</v>
      </c>
      <c r="C208" s="7">
        <v>213970</v>
      </c>
      <c r="D208" s="8">
        <v>7206</v>
      </c>
      <c r="E208" s="9" t="s">
        <v>7</v>
      </c>
      <c r="F208" s="36">
        <f t="shared" si="3"/>
        <v>8</v>
      </c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2.75" customHeight="1" x14ac:dyDescent="0.2">
      <c r="A209" s="6" t="s">
        <v>571</v>
      </c>
      <c r="B209" s="6" t="s">
        <v>505</v>
      </c>
      <c r="C209" s="7">
        <v>213985</v>
      </c>
      <c r="D209" s="8">
        <v>8912.4</v>
      </c>
      <c r="E209" s="9" t="s">
        <v>7</v>
      </c>
      <c r="F209" s="36">
        <f t="shared" si="3"/>
        <v>8</v>
      </c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2.75" customHeight="1" x14ac:dyDescent="0.2">
      <c r="A210" s="6" t="s">
        <v>576</v>
      </c>
      <c r="B210" s="6" t="s">
        <v>505</v>
      </c>
      <c r="C210" s="7">
        <v>213990</v>
      </c>
      <c r="D210" s="8">
        <v>9879.6</v>
      </c>
      <c r="E210" s="9" t="s">
        <v>7</v>
      </c>
      <c r="F210" s="36">
        <f t="shared" si="3"/>
        <v>8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2.75" customHeight="1" x14ac:dyDescent="0.2">
      <c r="A211" s="6" t="s">
        <v>525</v>
      </c>
      <c r="B211" s="6" t="s">
        <v>505</v>
      </c>
      <c r="C211" s="7">
        <v>213996</v>
      </c>
      <c r="D211" s="8">
        <v>5958</v>
      </c>
      <c r="E211" s="9" t="s">
        <v>7</v>
      </c>
      <c r="F211" s="36">
        <f t="shared" si="3"/>
        <v>8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2.75" customHeight="1" x14ac:dyDescent="0.2">
      <c r="A212" s="6" t="s">
        <v>282</v>
      </c>
      <c r="B212" s="6" t="s">
        <v>283</v>
      </c>
      <c r="C212" s="7">
        <v>178225</v>
      </c>
      <c r="D212" s="8">
        <v>17276.399999999998</v>
      </c>
      <c r="E212" s="9" t="s">
        <v>16</v>
      </c>
      <c r="F212" s="36">
        <v>16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2.75" customHeight="1" x14ac:dyDescent="0.2">
      <c r="A213" s="6" t="s">
        <v>277</v>
      </c>
      <c r="B213" s="6" t="s">
        <v>283</v>
      </c>
      <c r="C213" s="7">
        <v>182305</v>
      </c>
      <c r="D213" s="8">
        <v>19345.2</v>
      </c>
      <c r="E213" s="9" t="s">
        <v>16</v>
      </c>
      <c r="F213" s="36">
        <v>16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2.75" customHeight="1" x14ac:dyDescent="0.2">
      <c r="A214" s="6" t="s">
        <v>310</v>
      </c>
      <c r="B214" s="6" t="s">
        <v>283</v>
      </c>
      <c r="C214" s="7">
        <v>187967</v>
      </c>
      <c r="D214" s="8">
        <v>17486.399999999998</v>
      </c>
      <c r="E214" s="9" t="s">
        <v>16</v>
      </c>
      <c r="F214" s="36">
        <v>16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2.75" customHeight="1" x14ac:dyDescent="0.2">
      <c r="A215" s="6" t="s">
        <v>314</v>
      </c>
      <c r="B215" s="6" t="s">
        <v>283</v>
      </c>
      <c r="C215" s="7">
        <v>188228</v>
      </c>
      <c r="D215" s="8">
        <v>16821.599999999999</v>
      </c>
      <c r="E215" s="9" t="s">
        <v>16</v>
      </c>
      <c r="F215" s="36">
        <v>16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2.75" customHeight="1" x14ac:dyDescent="0.2">
      <c r="A216" s="6" t="s">
        <v>315</v>
      </c>
      <c r="B216" s="6" t="s">
        <v>283</v>
      </c>
      <c r="C216" s="7">
        <v>188251</v>
      </c>
      <c r="D216" s="8">
        <v>16592.399999999998</v>
      </c>
      <c r="E216" s="9" t="s">
        <v>16</v>
      </c>
      <c r="F216" s="36">
        <v>16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2.75" customHeight="1" x14ac:dyDescent="0.2">
      <c r="A217" s="6" t="s">
        <v>305</v>
      </c>
      <c r="B217" s="6" t="s">
        <v>283</v>
      </c>
      <c r="C217" s="7">
        <v>188474</v>
      </c>
      <c r="D217" s="8">
        <v>18643.2</v>
      </c>
      <c r="E217" s="9" t="s">
        <v>16</v>
      </c>
      <c r="F217" s="36">
        <v>16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2.75" customHeight="1" x14ac:dyDescent="0.2">
      <c r="A218" s="6" t="s">
        <v>329</v>
      </c>
      <c r="B218" s="6" t="s">
        <v>283</v>
      </c>
      <c r="C218" s="7">
        <v>190492</v>
      </c>
      <c r="D218" s="8">
        <v>26914.799999999999</v>
      </c>
      <c r="E218" s="9" t="s">
        <v>16</v>
      </c>
      <c r="F218" s="36">
        <v>16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2.75" customHeight="1" x14ac:dyDescent="0.2">
      <c r="A219" s="6" t="s">
        <v>330</v>
      </c>
      <c r="B219" s="6" t="s">
        <v>283</v>
      </c>
      <c r="C219" s="7">
        <v>190496</v>
      </c>
      <c r="D219" s="8">
        <v>25414.799999999999</v>
      </c>
      <c r="E219" s="9" t="s">
        <v>16</v>
      </c>
      <c r="F219" s="36">
        <v>16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2.75" customHeight="1" x14ac:dyDescent="0.2">
      <c r="A220" s="6" t="s">
        <v>421</v>
      </c>
      <c r="B220" s="6" t="s">
        <v>283</v>
      </c>
      <c r="C220" s="7">
        <v>203581</v>
      </c>
      <c r="D220" s="8">
        <v>24798</v>
      </c>
      <c r="E220" s="9" t="s">
        <v>16</v>
      </c>
      <c r="F220" s="36">
        <v>16</v>
      </c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2.75" customHeight="1" x14ac:dyDescent="0.2">
      <c r="A221" s="6" t="s">
        <v>225</v>
      </c>
      <c r="B221" s="6" t="s">
        <v>226</v>
      </c>
      <c r="C221" s="7">
        <v>157634</v>
      </c>
      <c r="D221" s="8">
        <v>189351.6</v>
      </c>
      <c r="E221" s="9" t="s">
        <v>16</v>
      </c>
      <c r="F221" s="36">
        <v>170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2.75" customHeight="1" x14ac:dyDescent="0.2">
      <c r="A222" s="6" t="s">
        <v>252</v>
      </c>
      <c r="B222" s="6" t="s">
        <v>226</v>
      </c>
      <c r="C222" s="7">
        <v>164578</v>
      </c>
      <c r="D222" s="8">
        <v>229167.6</v>
      </c>
      <c r="E222" s="9" t="s">
        <v>16</v>
      </c>
      <c r="F222" s="36">
        <v>170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2.75" customHeight="1" x14ac:dyDescent="0.2">
      <c r="A223" s="6" t="s">
        <v>267</v>
      </c>
      <c r="B223" s="6" t="s">
        <v>226</v>
      </c>
      <c r="C223" s="7">
        <v>170667</v>
      </c>
      <c r="D223" s="8">
        <v>275848.8</v>
      </c>
      <c r="E223" s="9" t="s">
        <v>16</v>
      </c>
      <c r="F223" s="36">
        <v>170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2.75" customHeight="1" x14ac:dyDescent="0.2">
      <c r="A224" s="6" t="s">
        <v>240</v>
      </c>
      <c r="B224" s="6" t="s">
        <v>226</v>
      </c>
      <c r="C224" s="7">
        <v>182499</v>
      </c>
      <c r="D224" s="8">
        <v>263118</v>
      </c>
      <c r="E224" s="9" t="s">
        <v>16</v>
      </c>
      <c r="F224" s="36">
        <v>170</v>
      </c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2.75" customHeight="1" x14ac:dyDescent="0.2">
      <c r="A225" s="6" t="s">
        <v>238</v>
      </c>
      <c r="B225" s="6" t="s">
        <v>226</v>
      </c>
      <c r="C225" s="7">
        <v>182884</v>
      </c>
      <c r="D225" s="8">
        <v>263118</v>
      </c>
      <c r="E225" s="9" t="s">
        <v>16</v>
      </c>
      <c r="F225" s="36">
        <v>170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2.75" customHeight="1" x14ac:dyDescent="0.2">
      <c r="A226" s="6" t="s">
        <v>252</v>
      </c>
      <c r="B226" s="6" t="s">
        <v>256</v>
      </c>
      <c r="C226" s="7">
        <v>165886</v>
      </c>
      <c r="D226" s="8">
        <v>24614.399999999998</v>
      </c>
      <c r="E226" s="9" t="s">
        <v>16</v>
      </c>
      <c r="F226" s="36">
        <v>17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2.75" customHeight="1" x14ac:dyDescent="0.2">
      <c r="A227" s="6" t="s">
        <v>267</v>
      </c>
      <c r="B227" s="6" t="s">
        <v>256</v>
      </c>
      <c r="C227" s="7">
        <v>170669</v>
      </c>
      <c r="D227" s="8">
        <v>30555.599999999999</v>
      </c>
      <c r="E227" s="9" t="s">
        <v>16</v>
      </c>
      <c r="F227" s="36">
        <v>17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2.75" customHeight="1" x14ac:dyDescent="0.2">
      <c r="A228" s="6" t="s">
        <v>240</v>
      </c>
      <c r="B228" s="6" t="s">
        <v>256</v>
      </c>
      <c r="C228" s="7">
        <v>182690</v>
      </c>
      <c r="D228" s="8">
        <v>27585.599999999999</v>
      </c>
      <c r="E228" s="9" t="s">
        <v>16</v>
      </c>
      <c r="F228" s="36">
        <v>17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2.75" customHeight="1" x14ac:dyDescent="0.2">
      <c r="A229" s="6" t="s">
        <v>238</v>
      </c>
      <c r="B229" s="6" t="s">
        <v>256</v>
      </c>
      <c r="C229" s="7">
        <v>197566</v>
      </c>
      <c r="D229" s="8">
        <v>27585.599999999999</v>
      </c>
      <c r="E229" s="9" t="s">
        <v>16</v>
      </c>
      <c r="F229" s="36">
        <v>17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2.75" customHeight="1" x14ac:dyDescent="0.2">
      <c r="A230" s="6" t="s">
        <v>196</v>
      </c>
      <c r="B230" s="6" t="s">
        <v>256</v>
      </c>
      <c r="C230" s="7">
        <v>201089</v>
      </c>
      <c r="D230" s="8">
        <v>17960.399999999998</v>
      </c>
      <c r="E230" s="9" t="s">
        <v>16</v>
      </c>
      <c r="F230" s="36">
        <v>17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2.75" customHeight="1" x14ac:dyDescent="0.2">
      <c r="A231" s="6" t="s">
        <v>225</v>
      </c>
      <c r="B231" s="6" t="s">
        <v>256</v>
      </c>
      <c r="C231" s="7">
        <v>201128</v>
      </c>
      <c r="D231" s="8">
        <v>20098.8</v>
      </c>
      <c r="E231" s="9" t="s">
        <v>16</v>
      </c>
      <c r="F231" s="36">
        <v>17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2.75" customHeight="1" x14ac:dyDescent="0.2">
      <c r="A232" s="6" t="s">
        <v>17</v>
      </c>
      <c r="B232" s="6" t="s">
        <v>18</v>
      </c>
      <c r="C232" s="7">
        <v>110369</v>
      </c>
      <c r="D232" s="8">
        <v>147049.19999999998</v>
      </c>
      <c r="E232" s="9" t="s">
        <v>16</v>
      </c>
      <c r="F232" s="36">
        <v>180</v>
      </c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2.75" customHeight="1" x14ac:dyDescent="0.2">
      <c r="A233" s="6" t="s">
        <v>20</v>
      </c>
      <c r="B233" s="6" t="s">
        <v>18</v>
      </c>
      <c r="C233" s="7">
        <v>110378</v>
      </c>
      <c r="D233" s="8">
        <v>110509.2</v>
      </c>
      <c r="E233" s="9" t="s">
        <v>16</v>
      </c>
      <c r="F233" s="36">
        <v>180</v>
      </c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2.75" customHeight="1" x14ac:dyDescent="0.2">
      <c r="A234" s="6" t="s">
        <v>21</v>
      </c>
      <c r="B234" s="6" t="s">
        <v>18</v>
      </c>
      <c r="C234" s="7">
        <v>110382</v>
      </c>
      <c r="D234" s="8">
        <v>108960</v>
      </c>
      <c r="E234" s="9" t="s">
        <v>16</v>
      </c>
      <c r="F234" s="36">
        <v>180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2.75" customHeight="1" x14ac:dyDescent="0.2">
      <c r="A235" s="6" t="s">
        <v>24</v>
      </c>
      <c r="B235" s="6" t="s">
        <v>18</v>
      </c>
      <c r="C235" s="7">
        <v>110394</v>
      </c>
      <c r="D235" s="8">
        <v>122137.2</v>
      </c>
      <c r="E235" s="9" t="s">
        <v>16</v>
      </c>
      <c r="F235" s="36">
        <v>180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2.75" customHeight="1" x14ac:dyDescent="0.2">
      <c r="A236" s="6" t="s">
        <v>23</v>
      </c>
      <c r="B236" s="6" t="s">
        <v>18</v>
      </c>
      <c r="C236" s="7">
        <v>112826</v>
      </c>
      <c r="D236" s="8">
        <v>131293.19999999998</v>
      </c>
      <c r="E236" s="9" t="s">
        <v>16</v>
      </c>
      <c r="F236" s="36">
        <v>180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2.75" customHeight="1" x14ac:dyDescent="0.2">
      <c r="A237" s="6" t="s">
        <v>161</v>
      </c>
      <c r="B237" s="6" t="s">
        <v>18</v>
      </c>
      <c r="C237" s="7">
        <v>140000</v>
      </c>
      <c r="D237" s="8">
        <v>116539.2</v>
      </c>
      <c r="E237" s="9" t="s">
        <v>7</v>
      </c>
      <c r="F237" s="36">
        <v>180</v>
      </c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2.75" customHeight="1" x14ac:dyDescent="0.2">
      <c r="A238" s="6" t="s">
        <v>165</v>
      </c>
      <c r="B238" s="6" t="s">
        <v>18</v>
      </c>
      <c r="C238" s="7">
        <v>140060</v>
      </c>
      <c r="D238" s="8">
        <v>110509.2</v>
      </c>
      <c r="E238" s="9" t="s">
        <v>16</v>
      </c>
      <c r="F238" s="36">
        <v>180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2.75" customHeight="1" x14ac:dyDescent="0.2">
      <c r="A239" s="6" t="s">
        <v>168</v>
      </c>
      <c r="B239" s="6" t="s">
        <v>18</v>
      </c>
      <c r="C239" s="7">
        <v>140082</v>
      </c>
      <c r="D239" s="8">
        <v>146752.79999999999</v>
      </c>
      <c r="E239" s="9" t="s">
        <v>16</v>
      </c>
      <c r="F239" s="36">
        <v>180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2.75" customHeight="1" x14ac:dyDescent="0.2">
      <c r="A240" s="6" t="s">
        <v>78</v>
      </c>
      <c r="B240" s="6" t="s">
        <v>18</v>
      </c>
      <c r="C240" s="7">
        <v>140096</v>
      </c>
      <c r="D240" s="8">
        <v>112292.4</v>
      </c>
      <c r="E240" s="9" t="s">
        <v>16</v>
      </c>
      <c r="F240" s="36">
        <v>180</v>
      </c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2.75" customHeight="1" x14ac:dyDescent="0.2">
      <c r="A241" s="6" t="s">
        <v>25</v>
      </c>
      <c r="B241" s="6" t="s">
        <v>18</v>
      </c>
      <c r="C241" s="7">
        <v>140106</v>
      </c>
      <c r="D241" s="8">
        <v>173763.6</v>
      </c>
      <c r="E241" s="9" t="s">
        <v>16</v>
      </c>
      <c r="F241" s="36">
        <v>180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2.75" customHeight="1" x14ac:dyDescent="0.2">
      <c r="A242" s="6" t="s">
        <v>162</v>
      </c>
      <c r="B242" s="6" t="s">
        <v>18</v>
      </c>
      <c r="C242" s="7">
        <v>140168</v>
      </c>
      <c r="D242" s="8">
        <v>111079.2</v>
      </c>
      <c r="E242" s="9" t="s">
        <v>7</v>
      </c>
      <c r="F242" s="36">
        <v>180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2.75" customHeight="1" x14ac:dyDescent="0.2">
      <c r="A243" s="6" t="s">
        <v>172</v>
      </c>
      <c r="B243" s="6" t="s">
        <v>18</v>
      </c>
      <c r="C243" s="7">
        <v>140191</v>
      </c>
      <c r="D243" s="8">
        <v>160694.39999999999</v>
      </c>
      <c r="E243" s="9" t="s">
        <v>16</v>
      </c>
      <c r="F243" s="36">
        <v>180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2.75" customHeight="1" x14ac:dyDescent="0.2">
      <c r="A244" s="6" t="s">
        <v>174</v>
      </c>
      <c r="B244" s="6" t="s">
        <v>18</v>
      </c>
      <c r="C244" s="7">
        <v>140202</v>
      </c>
      <c r="D244" s="8">
        <v>252178.8</v>
      </c>
      <c r="E244" s="9" t="s">
        <v>16</v>
      </c>
      <c r="F244" s="36">
        <v>180</v>
      </c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2.75" customHeight="1" x14ac:dyDescent="0.2">
      <c r="A245" s="6" t="s">
        <v>171</v>
      </c>
      <c r="B245" s="6" t="s">
        <v>18</v>
      </c>
      <c r="C245" s="7">
        <v>146190</v>
      </c>
      <c r="D245" s="8">
        <v>132939.6</v>
      </c>
      <c r="E245" s="9" t="s">
        <v>16</v>
      </c>
      <c r="F245" s="36">
        <v>180</v>
      </c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2.75" customHeight="1" x14ac:dyDescent="0.2">
      <c r="A246" s="6" t="s">
        <v>182</v>
      </c>
      <c r="B246" s="6" t="s">
        <v>18</v>
      </c>
      <c r="C246" s="7">
        <v>147892</v>
      </c>
      <c r="D246" s="8">
        <v>132344.4</v>
      </c>
      <c r="E246" s="9" t="s">
        <v>16</v>
      </c>
      <c r="F246" s="36">
        <v>180</v>
      </c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2.75" customHeight="1" x14ac:dyDescent="0.2">
      <c r="A247" s="6" t="s">
        <v>183</v>
      </c>
      <c r="B247" s="6" t="s">
        <v>18</v>
      </c>
      <c r="C247" s="7">
        <v>147898</v>
      </c>
      <c r="D247" s="8">
        <v>165319.19999999998</v>
      </c>
      <c r="E247" s="9" t="s">
        <v>16</v>
      </c>
      <c r="F247" s="36">
        <v>180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2.75" customHeight="1" x14ac:dyDescent="0.2">
      <c r="A248" s="6" t="s">
        <v>206</v>
      </c>
      <c r="B248" s="6" t="s">
        <v>18</v>
      </c>
      <c r="C248" s="7">
        <v>152100</v>
      </c>
      <c r="D248" s="8">
        <v>151549.19999999998</v>
      </c>
      <c r="E248" s="9" t="s">
        <v>16</v>
      </c>
      <c r="F248" s="36">
        <v>180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2.75" customHeight="1" x14ac:dyDescent="0.2">
      <c r="A249" s="6" t="s">
        <v>211</v>
      </c>
      <c r="B249" s="6" t="s">
        <v>18</v>
      </c>
      <c r="C249" s="7">
        <v>155147</v>
      </c>
      <c r="D249" s="8">
        <v>133681.19999999998</v>
      </c>
      <c r="E249" s="9" t="s">
        <v>16</v>
      </c>
      <c r="F249" s="36">
        <v>180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2.75" customHeight="1" x14ac:dyDescent="0.2">
      <c r="A250" s="6" t="s">
        <v>184</v>
      </c>
      <c r="B250" s="6" t="s">
        <v>18</v>
      </c>
      <c r="C250" s="7">
        <v>157463</v>
      </c>
      <c r="D250" s="8">
        <v>147571.19999999998</v>
      </c>
      <c r="E250" s="9" t="s">
        <v>16</v>
      </c>
      <c r="F250" s="36">
        <v>180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2.75" customHeight="1" x14ac:dyDescent="0.2">
      <c r="A251" s="6" t="s">
        <v>281</v>
      </c>
      <c r="B251" s="6" t="s">
        <v>18</v>
      </c>
      <c r="C251" s="7">
        <v>176269</v>
      </c>
      <c r="D251" s="8">
        <v>138136.79999999999</v>
      </c>
      <c r="E251" s="9" t="s">
        <v>16</v>
      </c>
      <c r="F251" s="36">
        <v>180</v>
      </c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2.75" customHeight="1" x14ac:dyDescent="0.2">
      <c r="A252" s="6" t="s">
        <v>289</v>
      </c>
      <c r="B252" s="6" t="s">
        <v>18</v>
      </c>
      <c r="C252" s="7">
        <v>182158</v>
      </c>
      <c r="D252" s="8">
        <v>140538</v>
      </c>
      <c r="E252" s="9" t="s">
        <v>16</v>
      </c>
      <c r="F252" s="36">
        <v>180</v>
      </c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2.75" customHeight="1" x14ac:dyDescent="0.2">
      <c r="A253" s="6" t="s">
        <v>258</v>
      </c>
      <c r="B253" s="6" t="s">
        <v>18</v>
      </c>
      <c r="C253" s="7">
        <v>183447</v>
      </c>
      <c r="D253" s="8">
        <v>142592.4</v>
      </c>
      <c r="E253" s="9" t="s">
        <v>16</v>
      </c>
      <c r="F253" s="36">
        <v>180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2.75" customHeight="1" x14ac:dyDescent="0.2">
      <c r="A254" s="6" t="s">
        <v>316</v>
      </c>
      <c r="B254" s="6" t="s">
        <v>18</v>
      </c>
      <c r="C254" s="7">
        <v>188254</v>
      </c>
      <c r="D254" s="8">
        <v>271818</v>
      </c>
      <c r="E254" s="9" t="s">
        <v>16</v>
      </c>
      <c r="F254" s="36">
        <v>180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2.75" customHeight="1" x14ac:dyDescent="0.2">
      <c r="A255" s="6" t="s">
        <v>321</v>
      </c>
      <c r="B255" s="6" t="s">
        <v>18</v>
      </c>
      <c r="C255" s="7">
        <v>188518</v>
      </c>
      <c r="D255" s="8">
        <v>262959.59999999998</v>
      </c>
      <c r="E255" s="9" t="s">
        <v>16</v>
      </c>
      <c r="F255" s="36">
        <v>180</v>
      </c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2.75" customHeight="1" x14ac:dyDescent="0.2">
      <c r="A256" s="6" t="s">
        <v>322</v>
      </c>
      <c r="B256" s="6" t="s">
        <v>18</v>
      </c>
      <c r="C256" s="7">
        <v>188580</v>
      </c>
      <c r="D256" s="8">
        <v>236112</v>
      </c>
      <c r="E256" s="9" t="s">
        <v>16</v>
      </c>
      <c r="F256" s="36">
        <v>180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2.75" customHeight="1" x14ac:dyDescent="0.2">
      <c r="A257" s="6" t="s">
        <v>347</v>
      </c>
      <c r="B257" s="6" t="s">
        <v>18</v>
      </c>
      <c r="C257" s="7">
        <v>190641</v>
      </c>
      <c r="D257" s="8">
        <v>141301.19999999998</v>
      </c>
      <c r="E257" s="9" t="s">
        <v>16</v>
      </c>
      <c r="F257" s="36">
        <v>180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2.75" customHeight="1" x14ac:dyDescent="0.2">
      <c r="A258" s="6" t="s">
        <v>376</v>
      </c>
      <c r="B258" s="6" t="s">
        <v>18</v>
      </c>
      <c r="C258" s="7">
        <v>197276</v>
      </c>
      <c r="D258" s="8">
        <v>145044</v>
      </c>
      <c r="E258" s="9" t="s">
        <v>16</v>
      </c>
      <c r="F258" s="36">
        <v>180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2.75" customHeight="1" x14ac:dyDescent="0.2">
      <c r="A259" s="6" t="s">
        <v>391</v>
      </c>
      <c r="B259" s="6" t="s">
        <v>18</v>
      </c>
      <c r="C259" s="7">
        <v>199419</v>
      </c>
      <c r="D259" s="8">
        <v>199884</v>
      </c>
      <c r="E259" s="9" t="s">
        <v>16</v>
      </c>
      <c r="F259" s="36">
        <v>180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2.75" customHeight="1" x14ac:dyDescent="0.2">
      <c r="A260" s="6" t="s">
        <v>17</v>
      </c>
      <c r="B260" s="6" t="s">
        <v>18</v>
      </c>
      <c r="C260" s="7">
        <v>188854</v>
      </c>
      <c r="D260" s="8">
        <v>147049.19999999998</v>
      </c>
      <c r="E260" s="9" t="s">
        <v>16</v>
      </c>
      <c r="F260" s="36">
        <v>180</v>
      </c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2.75" customHeight="1" x14ac:dyDescent="0.2">
      <c r="A261" s="6" t="s">
        <v>20</v>
      </c>
      <c r="B261" s="6" t="s">
        <v>18</v>
      </c>
      <c r="C261" s="7">
        <v>190717</v>
      </c>
      <c r="D261" s="8">
        <v>110509.2</v>
      </c>
      <c r="E261" s="9" t="s">
        <v>16</v>
      </c>
      <c r="F261" s="36">
        <v>180</v>
      </c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2.75" customHeight="1" x14ac:dyDescent="0.2">
      <c r="A262" s="6" t="s">
        <v>21</v>
      </c>
      <c r="B262" s="6" t="s">
        <v>18</v>
      </c>
      <c r="C262" s="7">
        <v>190718</v>
      </c>
      <c r="D262" s="8">
        <v>108960</v>
      </c>
      <c r="E262" s="9" t="s">
        <v>16</v>
      </c>
      <c r="F262" s="36">
        <v>180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2.75" customHeight="1" x14ac:dyDescent="0.2">
      <c r="A263" s="6" t="s">
        <v>24</v>
      </c>
      <c r="B263" s="6" t="s">
        <v>18</v>
      </c>
      <c r="C263" s="7">
        <v>168555</v>
      </c>
      <c r="D263" s="8">
        <v>122137.2</v>
      </c>
      <c r="E263" s="9" t="s">
        <v>16</v>
      </c>
      <c r="F263" s="36">
        <v>180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2.75" customHeight="1" x14ac:dyDescent="0.2">
      <c r="A264" s="6" t="s">
        <v>23</v>
      </c>
      <c r="B264" s="6" t="s">
        <v>18</v>
      </c>
      <c r="C264" s="7">
        <v>190719</v>
      </c>
      <c r="D264" s="8">
        <v>131293.19999999998</v>
      </c>
      <c r="E264" s="9" t="s">
        <v>16</v>
      </c>
      <c r="F264" s="36">
        <v>180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2.75" customHeight="1" x14ac:dyDescent="0.2">
      <c r="A265" s="6" t="s">
        <v>165</v>
      </c>
      <c r="B265" s="6" t="s">
        <v>18</v>
      </c>
      <c r="C265" s="7">
        <v>195062</v>
      </c>
      <c r="D265" s="8">
        <v>110509.2</v>
      </c>
      <c r="E265" s="9" t="s">
        <v>16</v>
      </c>
      <c r="F265" s="36">
        <v>180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2.75" customHeight="1" x14ac:dyDescent="0.2">
      <c r="A266" s="6" t="s">
        <v>78</v>
      </c>
      <c r="B266" s="6" t="s">
        <v>18</v>
      </c>
      <c r="C266" s="7">
        <v>204234</v>
      </c>
      <c r="D266" s="8">
        <v>112292.4</v>
      </c>
      <c r="E266" s="9" t="s">
        <v>16</v>
      </c>
      <c r="F266" s="36">
        <v>180</v>
      </c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2.75" customHeight="1" x14ac:dyDescent="0.2">
      <c r="A267" s="6" t="s">
        <v>182</v>
      </c>
      <c r="B267" s="6" t="s">
        <v>18</v>
      </c>
      <c r="C267" s="7">
        <v>209684</v>
      </c>
      <c r="D267" s="8">
        <v>132344.4</v>
      </c>
      <c r="E267" s="9" t="s">
        <v>16</v>
      </c>
      <c r="F267" s="36">
        <v>180</v>
      </c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2.75" customHeight="1" x14ac:dyDescent="0.2">
      <c r="A268" s="6" t="s">
        <v>305</v>
      </c>
      <c r="B268" s="6" t="s">
        <v>306</v>
      </c>
      <c r="C268" s="7">
        <v>186780</v>
      </c>
      <c r="D268" s="8">
        <v>188569.19999999998</v>
      </c>
      <c r="E268" s="9" t="s">
        <v>16</v>
      </c>
      <c r="F268" s="36">
        <v>180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2.75" customHeight="1" x14ac:dyDescent="0.2">
      <c r="A269" s="6" t="s">
        <v>310</v>
      </c>
      <c r="B269" s="6" t="s">
        <v>306</v>
      </c>
      <c r="C269" s="7">
        <v>187965</v>
      </c>
      <c r="D269" s="8">
        <v>177157.19999999998</v>
      </c>
      <c r="E269" s="9" t="s">
        <v>16</v>
      </c>
      <c r="F269" s="36">
        <v>180</v>
      </c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2.75" customHeight="1" x14ac:dyDescent="0.2">
      <c r="A270" s="6" t="s">
        <v>314</v>
      </c>
      <c r="B270" s="6" t="s">
        <v>306</v>
      </c>
      <c r="C270" s="7">
        <v>188226</v>
      </c>
      <c r="D270" s="8">
        <v>169658.4</v>
      </c>
      <c r="E270" s="9" t="s">
        <v>16</v>
      </c>
      <c r="F270" s="36">
        <v>180</v>
      </c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2.75" customHeight="1" x14ac:dyDescent="0.2">
      <c r="A271" s="6" t="s">
        <v>282</v>
      </c>
      <c r="B271" s="6" t="s">
        <v>306</v>
      </c>
      <c r="C271" s="7">
        <v>188809</v>
      </c>
      <c r="D271" s="8">
        <v>176276.4</v>
      </c>
      <c r="E271" s="9" t="s">
        <v>16</v>
      </c>
      <c r="F271" s="36">
        <v>180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2.75" customHeight="1" x14ac:dyDescent="0.2">
      <c r="A272" s="6" t="s">
        <v>329</v>
      </c>
      <c r="B272" s="6" t="s">
        <v>306</v>
      </c>
      <c r="C272" s="7">
        <v>190490</v>
      </c>
      <c r="D272" s="8">
        <v>281623.2</v>
      </c>
      <c r="E272" s="9" t="s">
        <v>16</v>
      </c>
      <c r="F272" s="36">
        <v>180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2.75" customHeight="1" x14ac:dyDescent="0.2">
      <c r="A273" s="6" t="s">
        <v>330</v>
      </c>
      <c r="B273" s="6" t="s">
        <v>306</v>
      </c>
      <c r="C273" s="7">
        <v>190494</v>
      </c>
      <c r="D273" s="8">
        <v>274046.39999999997</v>
      </c>
      <c r="E273" s="9" t="s">
        <v>16</v>
      </c>
      <c r="F273" s="36">
        <v>180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2.75" customHeight="1" x14ac:dyDescent="0.2">
      <c r="A274" s="6" t="s">
        <v>421</v>
      </c>
      <c r="B274" s="6" t="s">
        <v>306</v>
      </c>
      <c r="C274" s="7">
        <v>203230</v>
      </c>
      <c r="D274" s="8">
        <v>264660</v>
      </c>
      <c r="E274" s="9" t="s">
        <v>16</v>
      </c>
      <c r="F274" s="36">
        <v>180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2.75" customHeight="1" x14ac:dyDescent="0.2">
      <c r="A275" s="6" t="s">
        <v>17</v>
      </c>
      <c r="B275" s="6" t="s">
        <v>306</v>
      </c>
      <c r="C275" s="7">
        <v>207553</v>
      </c>
      <c r="D275" s="8">
        <v>142249.19999999998</v>
      </c>
      <c r="E275" s="9" t="s">
        <v>16</v>
      </c>
      <c r="F275" s="36">
        <v>180</v>
      </c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2.75" customHeight="1" x14ac:dyDescent="0.2">
      <c r="A276" s="6" t="s">
        <v>281</v>
      </c>
      <c r="B276" s="6" t="s">
        <v>306</v>
      </c>
      <c r="C276" s="7">
        <v>207567</v>
      </c>
      <c r="D276" s="8">
        <v>138136.79999999999</v>
      </c>
      <c r="E276" s="9" t="s">
        <v>16</v>
      </c>
      <c r="F276" s="36">
        <v>180</v>
      </c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2.75" customHeight="1" x14ac:dyDescent="0.2">
      <c r="A277" s="6" t="s">
        <v>289</v>
      </c>
      <c r="B277" s="6" t="s">
        <v>306</v>
      </c>
      <c r="C277" s="7">
        <v>207568</v>
      </c>
      <c r="D277" s="8">
        <v>138694.79999999999</v>
      </c>
      <c r="E277" s="9" t="s">
        <v>16</v>
      </c>
      <c r="F277" s="36">
        <v>180</v>
      </c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2.75" customHeight="1" x14ac:dyDescent="0.2">
      <c r="A278" s="6" t="s">
        <v>272</v>
      </c>
      <c r="B278" s="6" t="s">
        <v>273</v>
      </c>
      <c r="C278" s="7">
        <v>172772</v>
      </c>
      <c r="D278" s="8">
        <v>11350.8</v>
      </c>
      <c r="E278" s="9" t="s">
        <v>16</v>
      </c>
      <c r="F278" s="36">
        <v>18</v>
      </c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2.75" customHeight="1" x14ac:dyDescent="0.2">
      <c r="A279" s="6" t="s">
        <v>404</v>
      </c>
      <c r="B279" s="6" t="s">
        <v>273</v>
      </c>
      <c r="C279" s="7">
        <v>200519</v>
      </c>
      <c r="D279" s="8">
        <v>40730.400000000001</v>
      </c>
      <c r="E279" s="9" t="s">
        <v>7</v>
      </c>
      <c r="F279" s="36">
        <v>18</v>
      </c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2.75" customHeight="1" x14ac:dyDescent="0.2">
      <c r="A280" s="6" t="s">
        <v>406</v>
      </c>
      <c r="B280" s="6" t="s">
        <v>273</v>
      </c>
      <c r="C280" s="7">
        <v>200537</v>
      </c>
      <c r="D280" s="8">
        <v>40616.400000000001</v>
      </c>
      <c r="E280" s="9" t="s">
        <v>7</v>
      </c>
      <c r="F280" s="36">
        <v>18</v>
      </c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2.75" customHeight="1" x14ac:dyDescent="0.2">
      <c r="A281" s="6" t="s">
        <v>460</v>
      </c>
      <c r="B281" s="6" t="s">
        <v>273</v>
      </c>
      <c r="C281" s="7">
        <v>166048</v>
      </c>
      <c r="D281" s="8">
        <v>9069.6</v>
      </c>
      <c r="E281" s="9" t="s">
        <v>16</v>
      </c>
      <c r="F281" s="36">
        <v>18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2.75" customHeight="1" x14ac:dyDescent="0.2">
      <c r="A282" s="6" t="s">
        <v>495</v>
      </c>
      <c r="B282" s="6" t="s">
        <v>273</v>
      </c>
      <c r="C282" s="7">
        <v>172764</v>
      </c>
      <c r="D282" s="8">
        <v>11314.8</v>
      </c>
      <c r="E282" s="9" t="s">
        <v>16</v>
      </c>
      <c r="F282" s="36">
        <v>18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2.75" customHeight="1" x14ac:dyDescent="0.2">
      <c r="A283" s="6" t="s">
        <v>527</v>
      </c>
      <c r="B283" s="6" t="s">
        <v>273</v>
      </c>
      <c r="C283" s="7">
        <v>194747</v>
      </c>
      <c r="D283" s="8">
        <v>10041.6</v>
      </c>
      <c r="E283" s="9" t="s">
        <v>7</v>
      </c>
      <c r="F283" s="36">
        <v>18</v>
      </c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2.75" customHeight="1" x14ac:dyDescent="0.2">
      <c r="A284" s="6" t="s">
        <v>571</v>
      </c>
      <c r="B284" s="6" t="s">
        <v>273</v>
      </c>
      <c r="C284" s="7">
        <v>195003</v>
      </c>
      <c r="D284" s="8">
        <v>13023.6</v>
      </c>
      <c r="E284" s="9" t="s">
        <v>7</v>
      </c>
      <c r="F284" s="36">
        <v>18</v>
      </c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2.75" customHeight="1" x14ac:dyDescent="0.2">
      <c r="A285" s="6" t="s">
        <v>577</v>
      </c>
      <c r="B285" s="6" t="s">
        <v>273</v>
      </c>
      <c r="C285" s="7">
        <v>195414</v>
      </c>
      <c r="D285" s="8">
        <v>14347.199999999999</v>
      </c>
      <c r="E285" s="9" t="s">
        <v>7</v>
      </c>
      <c r="F285" s="36">
        <v>18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2.75" customHeight="1" x14ac:dyDescent="0.2">
      <c r="A286" s="6" t="s">
        <v>596</v>
      </c>
      <c r="B286" s="6" t="s">
        <v>273</v>
      </c>
      <c r="C286" s="7">
        <v>201278</v>
      </c>
      <c r="D286" s="8">
        <v>13956</v>
      </c>
      <c r="E286" s="9" t="s">
        <v>16</v>
      </c>
      <c r="F286" s="36">
        <v>18</v>
      </c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2.75" customHeight="1" x14ac:dyDescent="0.2">
      <c r="A287" s="6" t="s">
        <v>598</v>
      </c>
      <c r="B287" s="6" t="s">
        <v>273</v>
      </c>
      <c r="C287" s="7">
        <v>201282</v>
      </c>
      <c r="D287" s="8">
        <v>10278</v>
      </c>
      <c r="E287" s="9" t="s">
        <v>16</v>
      </c>
      <c r="F287" s="36">
        <v>18</v>
      </c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2.75" customHeight="1" x14ac:dyDescent="0.2">
      <c r="A288" s="6" t="s">
        <v>603</v>
      </c>
      <c r="B288" s="6" t="s">
        <v>273</v>
      </c>
      <c r="C288" s="7">
        <v>201534</v>
      </c>
      <c r="D288" s="8">
        <v>8870.4</v>
      </c>
      <c r="E288" s="9" t="s">
        <v>16</v>
      </c>
      <c r="F288" s="36">
        <v>18</v>
      </c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2.75" customHeight="1" x14ac:dyDescent="0.2">
      <c r="A289" s="6" t="s">
        <v>636</v>
      </c>
      <c r="B289" s="6" t="s">
        <v>273</v>
      </c>
      <c r="C289" s="7">
        <v>193627</v>
      </c>
      <c r="D289" s="8">
        <v>10209.6</v>
      </c>
      <c r="E289" s="9" t="s">
        <v>16</v>
      </c>
      <c r="F289" s="36">
        <v>18</v>
      </c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2.75" customHeight="1" x14ac:dyDescent="0.2">
      <c r="A290" s="6" t="s">
        <v>166</v>
      </c>
      <c r="B290" s="6" t="s">
        <v>167</v>
      </c>
      <c r="C290" s="7">
        <v>140064</v>
      </c>
      <c r="D290" s="8">
        <v>19068</v>
      </c>
      <c r="E290" s="9" t="s">
        <v>16</v>
      </c>
      <c r="F290" s="36">
        <v>18</v>
      </c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2.75" customHeight="1" x14ac:dyDescent="0.2">
      <c r="A291" s="6" t="s">
        <v>21</v>
      </c>
      <c r="B291" s="6" t="s">
        <v>167</v>
      </c>
      <c r="C291" s="7">
        <v>140069</v>
      </c>
      <c r="D291" s="8">
        <v>10432.799999999999</v>
      </c>
      <c r="E291" s="9" t="s">
        <v>16</v>
      </c>
      <c r="F291" s="36">
        <v>18</v>
      </c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2.75" customHeight="1" x14ac:dyDescent="0.2">
      <c r="A292" s="6" t="s">
        <v>25</v>
      </c>
      <c r="B292" s="6" t="s">
        <v>167</v>
      </c>
      <c r="C292" s="7">
        <v>140070</v>
      </c>
      <c r="D292" s="8">
        <v>18334.8</v>
      </c>
      <c r="E292" s="9" t="s">
        <v>16</v>
      </c>
      <c r="F292" s="36">
        <v>18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2.75" customHeight="1" x14ac:dyDescent="0.2">
      <c r="A293" s="6" t="s">
        <v>17</v>
      </c>
      <c r="B293" s="6" t="s">
        <v>167</v>
      </c>
      <c r="C293" s="7">
        <v>140071</v>
      </c>
      <c r="D293" s="8">
        <v>15374.4</v>
      </c>
      <c r="E293" s="9" t="s">
        <v>16</v>
      </c>
      <c r="F293" s="36">
        <v>18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2.75" customHeight="1" x14ac:dyDescent="0.2">
      <c r="A294" s="6" t="s">
        <v>165</v>
      </c>
      <c r="B294" s="6" t="s">
        <v>167</v>
      </c>
      <c r="C294" s="7">
        <v>140072</v>
      </c>
      <c r="D294" s="8">
        <v>12254.4</v>
      </c>
      <c r="E294" s="9" t="s">
        <v>16</v>
      </c>
      <c r="F294" s="36">
        <v>18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2.75" customHeight="1" x14ac:dyDescent="0.2">
      <c r="A295" s="6" t="s">
        <v>78</v>
      </c>
      <c r="B295" s="6" t="s">
        <v>167</v>
      </c>
      <c r="C295" s="7">
        <v>140073</v>
      </c>
      <c r="D295" s="8">
        <v>12031.199999999999</v>
      </c>
      <c r="E295" s="9" t="s">
        <v>16</v>
      </c>
      <c r="F295" s="36">
        <v>18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2.75" customHeight="1" x14ac:dyDescent="0.2">
      <c r="A296" s="6" t="s">
        <v>20</v>
      </c>
      <c r="B296" s="6" t="s">
        <v>167</v>
      </c>
      <c r="C296" s="7">
        <v>140074</v>
      </c>
      <c r="D296" s="8">
        <v>10828.8</v>
      </c>
      <c r="E296" s="9" t="s">
        <v>16</v>
      </c>
      <c r="F296" s="36">
        <v>18</v>
      </c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2.75" customHeight="1" x14ac:dyDescent="0.2">
      <c r="A297" s="6" t="s">
        <v>23</v>
      </c>
      <c r="B297" s="6" t="s">
        <v>167</v>
      </c>
      <c r="C297" s="7">
        <v>140075</v>
      </c>
      <c r="D297" s="8">
        <v>13960.8</v>
      </c>
      <c r="E297" s="9" t="s">
        <v>16</v>
      </c>
      <c r="F297" s="36">
        <v>18</v>
      </c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2.75" customHeight="1" x14ac:dyDescent="0.2">
      <c r="A298" s="6" t="s">
        <v>24</v>
      </c>
      <c r="B298" s="6" t="s">
        <v>167</v>
      </c>
      <c r="C298" s="7">
        <v>140076</v>
      </c>
      <c r="D298" s="8">
        <v>13814.4</v>
      </c>
      <c r="E298" s="9" t="s">
        <v>16</v>
      </c>
      <c r="F298" s="36">
        <v>18</v>
      </c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2.75" customHeight="1" x14ac:dyDescent="0.2">
      <c r="A299" s="6" t="s">
        <v>171</v>
      </c>
      <c r="B299" s="6" t="s">
        <v>167</v>
      </c>
      <c r="C299" s="7">
        <v>140190</v>
      </c>
      <c r="D299" s="8">
        <v>14202</v>
      </c>
      <c r="E299" s="9" t="s">
        <v>16</v>
      </c>
      <c r="F299" s="36">
        <v>18</v>
      </c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2.75" customHeight="1" x14ac:dyDescent="0.2">
      <c r="A300" s="6" t="s">
        <v>173</v>
      </c>
      <c r="B300" s="6" t="s">
        <v>167</v>
      </c>
      <c r="C300" s="7">
        <v>140193</v>
      </c>
      <c r="D300" s="8">
        <v>19065.599999999999</v>
      </c>
      <c r="E300" s="9" t="s">
        <v>16</v>
      </c>
      <c r="F300" s="36">
        <v>18</v>
      </c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2.75" customHeight="1" x14ac:dyDescent="0.2">
      <c r="A301" s="6" t="s">
        <v>174</v>
      </c>
      <c r="B301" s="6" t="s">
        <v>167</v>
      </c>
      <c r="C301" s="7">
        <v>140203</v>
      </c>
      <c r="D301" s="8">
        <v>26156.399999999998</v>
      </c>
      <c r="E301" s="9" t="s">
        <v>16</v>
      </c>
      <c r="F301" s="36">
        <v>18</v>
      </c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2.75" customHeight="1" x14ac:dyDescent="0.2">
      <c r="A302" s="6" t="s">
        <v>182</v>
      </c>
      <c r="B302" s="6" t="s">
        <v>167</v>
      </c>
      <c r="C302" s="7">
        <v>147894</v>
      </c>
      <c r="D302" s="8">
        <v>14259.6</v>
      </c>
      <c r="E302" s="9" t="s">
        <v>16</v>
      </c>
      <c r="F302" s="36">
        <v>18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2.75" customHeight="1" x14ac:dyDescent="0.2">
      <c r="A303" s="6" t="s">
        <v>183</v>
      </c>
      <c r="B303" s="6" t="s">
        <v>167</v>
      </c>
      <c r="C303" s="7">
        <v>147900</v>
      </c>
      <c r="D303" s="8">
        <v>17546.399999999998</v>
      </c>
      <c r="E303" s="9" t="s">
        <v>16</v>
      </c>
      <c r="F303" s="36">
        <v>18</v>
      </c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2.75" customHeight="1" x14ac:dyDescent="0.2">
      <c r="A304" s="6" t="s">
        <v>186</v>
      </c>
      <c r="B304" s="6" t="s">
        <v>167</v>
      </c>
      <c r="C304" s="7">
        <v>147953</v>
      </c>
      <c r="D304" s="8">
        <v>12732</v>
      </c>
      <c r="E304" s="9" t="s">
        <v>16</v>
      </c>
      <c r="F304" s="36">
        <v>18</v>
      </c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2.75" customHeight="1" x14ac:dyDescent="0.2">
      <c r="A305" s="6" t="s">
        <v>206</v>
      </c>
      <c r="B305" s="6" t="s">
        <v>167</v>
      </c>
      <c r="C305" s="7">
        <v>152102</v>
      </c>
      <c r="D305" s="8">
        <v>17374.8</v>
      </c>
      <c r="E305" s="9" t="s">
        <v>16</v>
      </c>
      <c r="F305" s="36">
        <v>18</v>
      </c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2.75" customHeight="1" x14ac:dyDescent="0.2">
      <c r="A306" s="6" t="s">
        <v>224</v>
      </c>
      <c r="B306" s="6" t="s">
        <v>167</v>
      </c>
      <c r="C306" s="7">
        <v>157603</v>
      </c>
      <c r="D306" s="8">
        <v>33480</v>
      </c>
      <c r="E306" s="9" t="s">
        <v>16</v>
      </c>
      <c r="F306" s="36">
        <v>18</v>
      </c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2.75" customHeight="1" x14ac:dyDescent="0.2">
      <c r="A307" s="6" t="s">
        <v>258</v>
      </c>
      <c r="B307" s="6" t="s">
        <v>167</v>
      </c>
      <c r="C307" s="7">
        <v>167268</v>
      </c>
      <c r="D307" s="8">
        <v>16041.599999999999</v>
      </c>
      <c r="E307" s="9" t="s">
        <v>16</v>
      </c>
      <c r="F307" s="36">
        <v>18</v>
      </c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2.75" customHeight="1" x14ac:dyDescent="0.2">
      <c r="A308" s="6" t="s">
        <v>211</v>
      </c>
      <c r="B308" s="6" t="s">
        <v>167</v>
      </c>
      <c r="C308" s="7">
        <v>174028</v>
      </c>
      <c r="D308" s="8">
        <v>15151.199999999999</v>
      </c>
      <c r="E308" s="9" t="s">
        <v>16</v>
      </c>
      <c r="F308" s="36">
        <v>18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2.75" customHeight="1" x14ac:dyDescent="0.2">
      <c r="A309" s="6" t="s">
        <v>281</v>
      </c>
      <c r="B309" s="6" t="s">
        <v>167</v>
      </c>
      <c r="C309" s="7">
        <v>177040</v>
      </c>
      <c r="D309" s="8">
        <v>16568.399999999998</v>
      </c>
      <c r="E309" s="9" t="s">
        <v>16</v>
      </c>
      <c r="F309" s="36">
        <v>18</v>
      </c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2.75" customHeight="1" x14ac:dyDescent="0.2">
      <c r="A310" s="6" t="s">
        <v>289</v>
      </c>
      <c r="B310" s="6" t="s">
        <v>167</v>
      </c>
      <c r="C310" s="7">
        <v>182159</v>
      </c>
      <c r="D310" s="8">
        <v>16118.4</v>
      </c>
      <c r="E310" s="9" t="s">
        <v>16</v>
      </c>
      <c r="F310" s="36">
        <v>18</v>
      </c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2.75" customHeight="1" x14ac:dyDescent="0.2">
      <c r="A311" s="6" t="s">
        <v>316</v>
      </c>
      <c r="B311" s="6" t="s">
        <v>167</v>
      </c>
      <c r="C311" s="7">
        <v>188291</v>
      </c>
      <c r="D311" s="8">
        <v>28309.200000000001</v>
      </c>
      <c r="E311" s="9" t="s">
        <v>16</v>
      </c>
      <c r="F311" s="36">
        <v>18</v>
      </c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2.75" customHeight="1" x14ac:dyDescent="0.2">
      <c r="A312" s="6" t="s">
        <v>322</v>
      </c>
      <c r="B312" s="6" t="s">
        <v>167</v>
      </c>
      <c r="C312" s="7">
        <v>188582</v>
      </c>
      <c r="D312" s="8">
        <v>24490.799999999999</v>
      </c>
      <c r="E312" s="9" t="s">
        <v>16</v>
      </c>
      <c r="F312" s="36">
        <v>18</v>
      </c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2.75" customHeight="1" x14ac:dyDescent="0.2">
      <c r="A313" s="6" t="s">
        <v>321</v>
      </c>
      <c r="B313" s="6" t="s">
        <v>167</v>
      </c>
      <c r="C313" s="7">
        <v>188590</v>
      </c>
      <c r="D313" s="8">
        <v>27244.799999999999</v>
      </c>
      <c r="E313" s="9" t="s">
        <v>16</v>
      </c>
      <c r="F313" s="36">
        <v>18</v>
      </c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2.75" customHeight="1" x14ac:dyDescent="0.2">
      <c r="A314" s="6" t="s">
        <v>376</v>
      </c>
      <c r="B314" s="6" t="s">
        <v>167</v>
      </c>
      <c r="C314" s="7">
        <v>197278</v>
      </c>
      <c r="D314" s="8">
        <v>17544</v>
      </c>
      <c r="E314" s="9" t="s">
        <v>16</v>
      </c>
      <c r="F314" s="36">
        <v>18</v>
      </c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2.75" customHeight="1" x14ac:dyDescent="0.2">
      <c r="A315" s="6" t="s">
        <v>391</v>
      </c>
      <c r="B315" s="6" t="s">
        <v>167</v>
      </c>
      <c r="C315" s="7">
        <v>199421</v>
      </c>
      <c r="D315" s="8">
        <v>21487.200000000001</v>
      </c>
      <c r="E315" s="9" t="s">
        <v>16</v>
      </c>
      <c r="F315" s="36">
        <v>18</v>
      </c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2.75" customHeight="1" x14ac:dyDescent="0.2">
      <c r="A316" s="6" t="s">
        <v>446</v>
      </c>
      <c r="B316" s="6" t="s">
        <v>167</v>
      </c>
      <c r="C316" s="7">
        <v>210042</v>
      </c>
      <c r="D316" s="8">
        <v>16641.599999999999</v>
      </c>
      <c r="E316" s="9" t="s">
        <v>16</v>
      </c>
      <c r="F316" s="36">
        <v>18</v>
      </c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2.75" customHeight="1" x14ac:dyDescent="0.2">
      <c r="A317" s="6" t="s">
        <v>21</v>
      </c>
      <c r="B317" s="6" t="s">
        <v>167</v>
      </c>
      <c r="C317" s="7">
        <v>196520</v>
      </c>
      <c r="D317" s="8">
        <v>10432.799999999999</v>
      </c>
      <c r="E317" s="9" t="s">
        <v>16</v>
      </c>
      <c r="F317" s="36">
        <v>18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2.75" customHeight="1" x14ac:dyDescent="0.2">
      <c r="A318" s="6" t="s">
        <v>17</v>
      </c>
      <c r="B318" s="6" t="s">
        <v>167</v>
      </c>
      <c r="C318" s="7">
        <v>188857</v>
      </c>
      <c r="D318" s="8">
        <v>15374.4</v>
      </c>
      <c r="E318" s="9" t="s">
        <v>16</v>
      </c>
      <c r="F318" s="36">
        <v>18</v>
      </c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2.75" customHeight="1" x14ac:dyDescent="0.2">
      <c r="A319" s="6" t="s">
        <v>165</v>
      </c>
      <c r="B319" s="6" t="s">
        <v>167</v>
      </c>
      <c r="C319" s="7">
        <v>195064</v>
      </c>
      <c r="D319" s="8">
        <v>12254.4</v>
      </c>
      <c r="E319" s="9" t="s">
        <v>16</v>
      </c>
      <c r="F319" s="36">
        <v>18</v>
      </c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2.75" customHeight="1" x14ac:dyDescent="0.2">
      <c r="A320" s="6" t="s">
        <v>20</v>
      </c>
      <c r="B320" s="6" t="s">
        <v>167</v>
      </c>
      <c r="C320" s="7">
        <v>196458</v>
      </c>
      <c r="D320" s="8">
        <v>10828.8</v>
      </c>
      <c r="E320" s="9" t="s">
        <v>16</v>
      </c>
      <c r="F320" s="36">
        <v>18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2.75" customHeight="1" x14ac:dyDescent="0.2">
      <c r="A321" s="6" t="s">
        <v>23</v>
      </c>
      <c r="B321" s="6" t="s">
        <v>167</v>
      </c>
      <c r="C321" s="7">
        <v>196523</v>
      </c>
      <c r="D321" s="8">
        <v>13960.8</v>
      </c>
      <c r="E321" s="9" t="s">
        <v>16</v>
      </c>
      <c r="F321" s="36">
        <v>18</v>
      </c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2.75" customHeight="1" x14ac:dyDescent="0.2">
      <c r="A322" s="6" t="s">
        <v>24</v>
      </c>
      <c r="B322" s="6" t="s">
        <v>167</v>
      </c>
      <c r="C322" s="7">
        <v>196525</v>
      </c>
      <c r="D322" s="8">
        <v>13814.4</v>
      </c>
      <c r="E322" s="9" t="s">
        <v>16</v>
      </c>
      <c r="F322" s="36">
        <v>18</v>
      </c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2.75" customHeight="1" x14ac:dyDescent="0.2">
      <c r="A323" s="6" t="s">
        <v>182</v>
      </c>
      <c r="B323" s="6" t="s">
        <v>167</v>
      </c>
      <c r="C323" s="7">
        <v>209686</v>
      </c>
      <c r="D323" s="8">
        <v>14259.6</v>
      </c>
      <c r="E323" s="9" t="s">
        <v>16</v>
      </c>
      <c r="F323" s="36">
        <v>18</v>
      </c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2.75" customHeight="1" x14ac:dyDescent="0.2">
      <c r="A324" s="6" t="s">
        <v>48</v>
      </c>
      <c r="B324" s="6" t="s">
        <v>49</v>
      </c>
      <c r="C324" s="7">
        <v>110519</v>
      </c>
      <c r="D324" s="8">
        <v>130646.39999999999</v>
      </c>
      <c r="E324" s="9" t="s">
        <v>16</v>
      </c>
      <c r="F324" s="36">
        <v>200</v>
      </c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2.75" customHeight="1" x14ac:dyDescent="0.2">
      <c r="A325" s="6" t="s">
        <v>156</v>
      </c>
      <c r="B325" s="6" t="s">
        <v>157</v>
      </c>
      <c r="C325" s="7">
        <v>134020</v>
      </c>
      <c r="D325" s="8">
        <v>342072</v>
      </c>
      <c r="E325" s="9" t="s">
        <v>16</v>
      </c>
      <c r="F325" s="36">
        <v>206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2.75" customHeight="1" x14ac:dyDescent="0.2">
      <c r="A326" s="6" t="s">
        <v>14</v>
      </c>
      <c r="B326" s="6" t="s">
        <v>15</v>
      </c>
      <c r="C326" s="7">
        <v>110286</v>
      </c>
      <c r="D326" s="8">
        <v>101336.4</v>
      </c>
      <c r="E326" s="9" t="s">
        <v>16</v>
      </c>
      <c r="F326" s="36">
        <v>208</v>
      </c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2.75" customHeight="1" x14ac:dyDescent="0.2">
      <c r="A327" s="6" t="s">
        <v>26</v>
      </c>
      <c r="B327" s="6" t="s">
        <v>15</v>
      </c>
      <c r="C327" s="7">
        <v>110445</v>
      </c>
      <c r="D327" s="8">
        <v>105602.4</v>
      </c>
      <c r="E327" s="9" t="s">
        <v>16</v>
      </c>
      <c r="F327" s="36">
        <v>208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2.75" customHeight="1" x14ac:dyDescent="0.2">
      <c r="A328" s="6" t="s">
        <v>27</v>
      </c>
      <c r="B328" s="6" t="s">
        <v>15</v>
      </c>
      <c r="C328" s="7">
        <v>110448</v>
      </c>
      <c r="D328" s="8">
        <v>122041.2</v>
      </c>
      <c r="E328" s="9" t="s">
        <v>16</v>
      </c>
      <c r="F328" s="36">
        <v>208</v>
      </c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2.75" customHeight="1" x14ac:dyDescent="0.2">
      <c r="A329" s="6" t="s">
        <v>28</v>
      </c>
      <c r="B329" s="6" t="s">
        <v>15</v>
      </c>
      <c r="C329" s="7">
        <v>110451</v>
      </c>
      <c r="D329" s="8">
        <v>125828.4</v>
      </c>
      <c r="E329" s="9" t="s">
        <v>16</v>
      </c>
      <c r="F329" s="36">
        <v>208</v>
      </c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2.75" customHeight="1" x14ac:dyDescent="0.2">
      <c r="A330" s="6" t="s">
        <v>29</v>
      </c>
      <c r="B330" s="6" t="s">
        <v>15</v>
      </c>
      <c r="C330" s="7">
        <v>110452</v>
      </c>
      <c r="D330" s="8">
        <v>128630.39999999999</v>
      </c>
      <c r="E330" s="9" t="s">
        <v>16</v>
      </c>
      <c r="F330" s="36">
        <v>208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2.75" customHeight="1" x14ac:dyDescent="0.2">
      <c r="A331" s="6" t="s">
        <v>30</v>
      </c>
      <c r="B331" s="6" t="s">
        <v>15</v>
      </c>
      <c r="C331" s="7">
        <v>110454</v>
      </c>
      <c r="D331" s="8">
        <v>131360.4</v>
      </c>
      <c r="E331" s="9" t="s">
        <v>16</v>
      </c>
      <c r="F331" s="36">
        <v>208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2.75" customHeight="1" x14ac:dyDescent="0.2">
      <c r="A332" s="6" t="s">
        <v>31</v>
      </c>
      <c r="B332" s="6" t="s">
        <v>15</v>
      </c>
      <c r="C332" s="7">
        <v>110468</v>
      </c>
      <c r="D332" s="8">
        <v>97052.4</v>
      </c>
      <c r="E332" s="9" t="s">
        <v>16</v>
      </c>
      <c r="F332" s="36">
        <v>208</v>
      </c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2.75" customHeight="1" x14ac:dyDescent="0.2">
      <c r="A333" s="6" t="s">
        <v>33</v>
      </c>
      <c r="B333" s="6" t="s">
        <v>15</v>
      </c>
      <c r="C333" s="7">
        <v>110471</v>
      </c>
      <c r="D333" s="8">
        <v>96885.599999999991</v>
      </c>
      <c r="E333" s="9" t="s">
        <v>16</v>
      </c>
      <c r="F333" s="36">
        <v>208</v>
      </c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2.75" customHeight="1" x14ac:dyDescent="0.2">
      <c r="A334" s="6" t="s">
        <v>34</v>
      </c>
      <c r="B334" s="6" t="s">
        <v>15</v>
      </c>
      <c r="C334" s="7">
        <v>110473</v>
      </c>
      <c r="D334" s="8">
        <v>92440.8</v>
      </c>
      <c r="E334" s="9" t="s">
        <v>16</v>
      </c>
      <c r="F334" s="36">
        <v>208</v>
      </c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2.75" customHeight="1" x14ac:dyDescent="0.2">
      <c r="A335" s="6" t="s">
        <v>35</v>
      </c>
      <c r="B335" s="6" t="s">
        <v>15</v>
      </c>
      <c r="C335" s="7">
        <v>110474</v>
      </c>
      <c r="D335" s="8">
        <v>87324</v>
      </c>
      <c r="E335" s="9" t="s">
        <v>16</v>
      </c>
      <c r="F335" s="36">
        <v>208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2.75" customHeight="1" x14ac:dyDescent="0.2">
      <c r="A336" s="6" t="s">
        <v>36</v>
      </c>
      <c r="B336" s="6" t="s">
        <v>15</v>
      </c>
      <c r="C336" s="7">
        <v>110477</v>
      </c>
      <c r="D336" s="8">
        <v>84873.599999999991</v>
      </c>
      <c r="E336" s="9" t="s">
        <v>16</v>
      </c>
      <c r="F336" s="36">
        <v>208</v>
      </c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2.75" customHeight="1" x14ac:dyDescent="0.2">
      <c r="A337" s="6" t="s">
        <v>37</v>
      </c>
      <c r="B337" s="6" t="s">
        <v>15</v>
      </c>
      <c r="C337" s="7">
        <v>110480</v>
      </c>
      <c r="D337" s="8">
        <v>86988</v>
      </c>
      <c r="E337" s="9" t="s">
        <v>16</v>
      </c>
      <c r="F337" s="36">
        <v>208</v>
      </c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2.75" customHeight="1" x14ac:dyDescent="0.2">
      <c r="A338" s="6" t="s">
        <v>38</v>
      </c>
      <c r="B338" s="6" t="s">
        <v>15</v>
      </c>
      <c r="C338" s="7">
        <v>110483</v>
      </c>
      <c r="D338" s="8">
        <v>102211.2</v>
      </c>
      <c r="E338" s="9" t="s">
        <v>16</v>
      </c>
      <c r="F338" s="36">
        <v>208</v>
      </c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2.75" customHeight="1" x14ac:dyDescent="0.2">
      <c r="A339" s="6" t="s">
        <v>39</v>
      </c>
      <c r="B339" s="6" t="s">
        <v>15</v>
      </c>
      <c r="C339" s="7">
        <v>110486</v>
      </c>
      <c r="D339" s="8">
        <v>106150.8</v>
      </c>
      <c r="E339" s="9" t="s">
        <v>16</v>
      </c>
      <c r="F339" s="36">
        <v>208</v>
      </c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2.75" customHeight="1" x14ac:dyDescent="0.2">
      <c r="A340" s="6" t="s">
        <v>40</v>
      </c>
      <c r="B340" s="6" t="s">
        <v>15</v>
      </c>
      <c r="C340" s="7">
        <v>110489</v>
      </c>
      <c r="D340" s="8">
        <v>108196.8</v>
      </c>
      <c r="E340" s="9" t="s">
        <v>16</v>
      </c>
      <c r="F340" s="36">
        <v>208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2.75" customHeight="1" x14ac:dyDescent="0.2">
      <c r="A341" s="6" t="s">
        <v>41</v>
      </c>
      <c r="B341" s="6" t="s">
        <v>15</v>
      </c>
      <c r="C341" s="7">
        <v>110492</v>
      </c>
      <c r="D341" s="8">
        <v>105026.4</v>
      </c>
      <c r="E341" s="9" t="s">
        <v>16</v>
      </c>
      <c r="F341" s="36">
        <v>208</v>
      </c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2.75" customHeight="1" x14ac:dyDescent="0.2">
      <c r="A342" s="6" t="s">
        <v>42</v>
      </c>
      <c r="B342" s="6" t="s">
        <v>15</v>
      </c>
      <c r="C342" s="7">
        <v>110494</v>
      </c>
      <c r="D342" s="8">
        <v>107835.59999999999</v>
      </c>
      <c r="E342" s="9" t="s">
        <v>16</v>
      </c>
      <c r="F342" s="36">
        <v>208</v>
      </c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2.75" customHeight="1" x14ac:dyDescent="0.2">
      <c r="A343" s="6" t="s">
        <v>43</v>
      </c>
      <c r="B343" s="6" t="s">
        <v>15</v>
      </c>
      <c r="C343" s="7">
        <v>110497</v>
      </c>
      <c r="D343" s="8">
        <v>103915.2</v>
      </c>
      <c r="E343" s="9" t="s">
        <v>16</v>
      </c>
      <c r="F343" s="36">
        <v>208</v>
      </c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2.75" customHeight="1" x14ac:dyDescent="0.2">
      <c r="A344" s="6" t="s">
        <v>44</v>
      </c>
      <c r="B344" s="6" t="s">
        <v>15</v>
      </c>
      <c r="C344" s="7">
        <v>110499</v>
      </c>
      <c r="D344" s="8">
        <v>121561.2</v>
      </c>
      <c r="E344" s="9" t="s">
        <v>16</v>
      </c>
      <c r="F344" s="36">
        <v>208</v>
      </c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2.75" customHeight="1" x14ac:dyDescent="0.2">
      <c r="A345" s="6" t="s">
        <v>45</v>
      </c>
      <c r="B345" s="6" t="s">
        <v>15</v>
      </c>
      <c r="C345" s="7">
        <v>110513</v>
      </c>
      <c r="D345" s="8">
        <v>245082</v>
      </c>
      <c r="E345" s="9" t="s">
        <v>16</v>
      </c>
      <c r="F345" s="36">
        <v>208</v>
      </c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2.75" customHeight="1" x14ac:dyDescent="0.2">
      <c r="A346" s="6" t="s">
        <v>50</v>
      </c>
      <c r="B346" s="6" t="s">
        <v>15</v>
      </c>
      <c r="C346" s="7">
        <v>110521</v>
      </c>
      <c r="D346" s="8">
        <v>117372</v>
      </c>
      <c r="E346" s="9" t="s">
        <v>16</v>
      </c>
      <c r="F346" s="36">
        <v>208</v>
      </c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2.75" customHeight="1" x14ac:dyDescent="0.2">
      <c r="A347" s="6" t="s">
        <v>51</v>
      </c>
      <c r="B347" s="6" t="s">
        <v>15</v>
      </c>
      <c r="C347" s="7">
        <v>110523</v>
      </c>
      <c r="D347" s="8">
        <v>107094</v>
      </c>
      <c r="E347" s="9" t="s">
        <v>16</v>
      </c>
      <c r="F347" s="36">
        <v>208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2.75" customHeight="1" x14ac:dyDescent="0.2">
      <c r="A348" s="6" t="s">
        <v>52</v>
      </c>
      <c r="B348" s="6" t="s">
        <v>15</v>
      </c>
      <c r="C348" s="7">
        <v>110544</v>
      </c>
      <c r="D348" s="8">
        <v>107958</v>
      </c>
      <c r="E348" s="9" t="s">
        <v>16</v>
      </c>
      <c r="F348" s="36">
        <v>208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2.75" customHeight="1" x14ac:dyDescent="0.2">
      <c r="A349" s="6" t="s">
        <v>53</v>
      </c>
      <c r="B349" s="6" t="s">
        <v>15</v>
      </c>
      <c r="C349" s="7">
        <v>110546</v>
      </c>
      <c r="D349" s="8">
        <v>121346.4</v>
      </c>
      <c r="E349" s="9" t="s">
        <v>16</v>
      </c>
      <c r="F349" s="36">
        <v>208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2.75" customHeight="1" x14ac:dyDescent="0.2">
      <c r="A350" s="6" t="s">
        <v>54</v>
      </c>
      <c r="B350" s="6" t="s">
        <v>15</v>
      </c>
      <c r="C350" s="7">
        <v>110548</v>
      </c>
      <c r="D350" s="8">
        <v>126732</v>
      </c>
      <c r="E350" s="9" t="s">
        <v>16</v>
      </c>
      <c r="F350" s="36">
        <v>208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2.75" customHeight="1" x14ac:dyDescent="0.2">
      <c r="A351" s="6" t="s">
        <v>55</v>
      </c>
      <c r="B351" s="6" t="s">
        <v>15</v>
      </c>
      <c r="C351" s="7">
        <v>110550</v>
      </c>
      <c r="D351" s="8">
        <v>128742</v>
      </c>
      <c r="E351" s="9" t="s">
        <v>16</v>
      </c>
      <c r="F351" s="36">
        <v>208</v>
      </c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2.75" customHeight="1" x14ac:dyDescent="0.2">
      <c r="A352" s="6" t="s">
        <v>56</v>
      </c>
      <c r="B352" s="6" t="s">
        <v>15</v>
      </c>
      <c r="C352" s="7">
        <v>110552</v>
      </c>
      <c r="D352" s="8">
        <v>113125.2</v>
      </c>
      <c r="E352" s="9" t="s">
        <v>16</v>
      </c>
      <c r="F352" s="36">
        <v>208</v>
      </c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2.75" customHeight="1" x14ac:dyDescent="0.2">
      <c r="A353" s="6" t="s">
        <v>57</v>
      </c>
      <c r="B353" s="6" t="s">
        <v>15</v>
      </c>
      <c r="C353" s="7">
        <v>110553</v>
      </c>
      <c r="D353" s="8">
        <v>121336.79999999999</v>
      </c>
      <c r="E353" s="9" t="s">
        <v>16</v>
      </c>
      <c r="F353" s="36">
        <v>208</v>
      </c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2.75" customHeight="1" x14ac:dyDescent="0.2">
      <c r="A354" s="6" t="s">
        <v>58</v>
      </c>
      <c r="B354" s="6" t="s">
        <v>15</v>
      </c>
      <c r="C354" s="7">
        <v>110555</v>
      </c>
      <c r="D354" s="8">
        <v>115804.8</v>
      </c>
      <c r="E354" s="9" t="s">
        <v>16</v>
      </c>
      <c r="F354" s="36">
        <v>208</v>
      </c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2.75" customHeight="1" x14ac:dyDescent="0.2">
      <c r="A355" s="6" t="s">
        <v>59</v>
      </c>
      <c r="B355" s="6" t="s">
        <v>15</v>
      </c>
      <c r="C355" s="7">
        <v>110568</v>
      </c>
      <c r="D355" s="8">
        <v>84595.199999999997</v>
      </c>
      <c r="E355" s="9" t="s">
        <v>16</v>
      </c>
      <c r="F355" s="36">
        <v>208</v>
      </c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2.75" customHeight="1" x14ac:dyDescent="0.2">
      <c r="A356" s="6" t="s">
        <v>60</v>
      </c>
      <c r="B356" s="6" t="s">
        <v>15</v>
      </c>
      <c r="C356" s="7">
        <v>110570</v>
      </c>
      <c r="D356" s="8">
        <v>76224</v>
      </c>
      <c r="E356" s="9" t="s">
        <v>16</v>
      </c>
      <c r="F356" s="36">
        <v>208</v>
      </c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2.75" customHeight="1" x14ac:dyDescent="0.2">
      <c r="A357" s="6" t="s">
        <v>61</v>
      </c>
      <c r="B357" s="6" t="s">
        <v>15</v>
      </c>
      <c r="C357" s="7">
        <v>110573</v>
      </c>
      <c r="D357" s="8">
        <v>78909.599999999991</v>
      </c>
      <c r="E357" s="9" t="s">
        <v>16</v>
      </c>
      <c r="F357" s="36">
        <v>208</v>
      </c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2.75" customHeight="1" x14ac:dyDescent="0.2">
      <c r="A358" s="6" t="s">
        <v>62</v>
      </c>
      <c r="B358" s="6" t="s">
        <v>15</v>
      </c>
      <c r="C358" s="7">
        <v>110576</v>
      </c>
      <c r="D358" s="8">
        <v>78747.599999999991</v>
      </c>
      <c r="E358" s="9" t="s">
        <v>16</v>
      </c>
      <c r="F358" s="36">
        <v>208</v>
      </c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2.75" customHeight="1" x14ac:dyDescent="0.2">
      <c r="A359" s="6" t="s">
        <v>63</v>
      </c>
      <c r="B359" s="6" t="s">
        <v>15</v>
      </c>
      <c r="C359" s="7">
        <v>110596</v>
      </c>
      <c r="D359" s="8">
        <v>150723.6</v>
      </c>
      <c r="E359" s="9" t="s">
        <v>16</v>
      </c>
      <c r="F359" s="36">
        <v>208</v>
      </c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2.75" customHeight="1" x14ac:dyDescent="0.2">
      <c r="A360" s="6" t="s">
        <v>64</v>
      </c>
      <c r="B360" s="6" t="s">
        <v>15</v>
      </c>
      <c r="C360" s="7">
        <v>110602</v>
      </c>
      <c r="D360" s="8">
        <v>132488.4</v>
      </c>
      <c r="E360" s="9" t="s">
        <v>16</v>
      </c>
      <c r="F360" s="36">
        <v>208</v>
      </c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2.75" customHeight="1" x14ac:dyDescent="0.2">
      <c r="A361" s="6" t="s">
        <v>65</v>
      </c>
      <c r="B361" s="6" t="s">
        <v>15</v>
      </c>
      <c r="C361" s="7">
        <v>110629</v>
      </c>
      <c r="D361" s="8">
        <v>87014.399999999994</v>
      </c>
      <c r="E361" s="9" t="s">
        <v>16</v>
      </c>
      <c r="F361" s="36">
        <v>208</v>
      </c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2.75" customHeight="1" x14ac:dyDescent="0.2">
      <c r="A362" s="6" t="s">
        <v>66</v>
      </c>
      <c r="B362" s="6" t="s">
        <v>15</v>
      </c>
      <c r="C362" s="7">
        <v>110658</v>
      </c>
      <c r="D362" s="8">
        <v>84013.2</v>
      </c>
      <c r="E362" s="9" t="s">
        <v>16</v>
      </c>
      <c r="F362" s="36">
        <v>208</v>
      </c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2.75" customHeight="1" x14ac:dyDescent="0.2">
      <c r="A363" s="6" t="s">
        <v>68</v>
      </c>
      <c r="B363" s="6" t="s">
        <v>15</v>
      </c>
      <c r="C363" s="7">
        <v>110685</v>
      </c>
      <c r="D363" s="8">
        <v>79533.599999999991</v>
      </c>
      <c r="E363" s="9" t="s">
        <v>16</v>
      </c>
      <c r="F363" s="36">
        <v>208</v>
      </c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2.75" customHeight="1" x14ac:dyDescent="0.2">
      <c r="A364" s="6" t="s">
        <v>69</v>
      </c>
      <c r="B364" s="6" t="s">
        <v>15</v>
      </c>
      <c r="C364" s="7">
        <v>110698</v>
      </c>
      <c r="D364" s="8">
        <v>80136</v>
      </c>
      <c r="E364" s="9" t="s">
        <v>16</v>
      </c>
      <c r="F364" s="36">
        <v>208</v>
      </c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2.75" customHeight="1" x14ac:dyDescent="0.2">
      <c r="A365" s="6" t="s">
        <v>70</v>
      </c>
      <c r="B365" s="6" t="s">
        <v>15</v>
      </c>
      <c r="C365" s="7">
        <v>110742</v>
      </c>
      <c r="D365" s="8">
        <v>106742.39999999999</v>
      </c>
      <c r="E365" s="9" t="s">
        <v>16</v>
      </c>
      <c r="F365" s="36">
        <v>208</v>
      </c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2.75" customHeight="1" x14ac:dyDescent="0.2">
      <c r="A366" s="6" t="s">
        <v>71</v>
      </c>
      <c r="B366" s="6" t="s">
        <v>15</v>
      </c>
      <c r="C366" s="7">
        <v>110784</v>
      </c>
      <c r="D366" s="8">
        <v>89596.800000000003</v>
      </c>
      <c r="E366" s="9" t="s">
        <v>16</v>
      </c>
      <c r="F366" s="36">
        <v>208</v>
      </c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2.75" customHeight="1" x14ac:dyDescent="0.2">
      <c r="A367" s="6" t="s">
        <v>73</v>
      </c>
      <c r="B367" s="6" t="s">
        <v>15</v>
      </c>
      <c r="C367" s="7">
        <v>110800</v>
      </c>
      <c r="D367" s="8">
        <v>95674.8</v>
      </c>
      <c r="E367" s="9" t="s">
        <v>16</v>
      </c>
      <c r="F367" s="36">
        <v>208</v>
      </c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2.75" customHeight="1" x14ac:dyDescent="0.2">
      <c r="A368" s="6" t="s">
        <v>74</v>
      </c>
      <c r="B368" s="6" t="s">
        <v>15</v>
      </c>
      <c r="C368" s="7">
        <v>111382</v>
      </c>
      <c r="D368" s="8">
        <v>111193.2</v>
      </c>
      <c r="E368" s="9" t="s">
        <v>16</v>
      </c>
      <c r="F368" s="36">
        <v>208</v>
      </c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2.75" customHeight="1" x14ac:dyDescent="0.2">
      <c r="A369" s="6" t="s">
        <v>75</v>
      </c>
      <c r="B369" s="6" t="s">
        <v>15</v>
      </c>
      <c r="C369" s="7">
        <v>111482</v>
      </c>
      <c r="D369" s="8">
        <v>100894.8</v>
      </c>
      <c r="E369" s="9" t="s">
        <v>16</v>
      </c>
      <c r="F369" s="36">
        <v>208</v>
      </c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2.75" customHeight="1" x14ac:dyDescent="0.2">
      <c r="A370" s="6" t="s">
        <v>76</v>
      </c>
      <c r="B370" s="6" t="s">
        <v>15</v>
      </c>
      <c r="C370" s="7">
        <v>111679</v>
      </c>
      <c r="D370" s="8">
        <v>99068.4</v>
      </c>
      <c r="E370" s="9" t="s">
        <v>16</v>
      </c>
      <c r="F370" s="36">
        <v>208</v>
      </c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2.75" customHeight="1" x14ac:dyDescent="0.2">
      <c r="A371" s="6" t="s">
        <v>67</v>
      </c>
      <c r="B371" s="6" t="s">
        <v>15</v>
      </c>
      <c r="C371" s="7">
        <v>111811</v>
      </c>
      <c r="D371" s="8">
        <v>94526.399999999994</v>
      </c>
      <c r="E371" s="9" t="s">
        <v>16</v>
      </c>
      <c r="F371" s="36">
        <v>208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2.75" customHeight="1" x14ac:dyDescent="0.2">
      <c r="A372" s="6" t="s">
        <v>77</v>
      </c>
      <c r="B372" s="6" t="s">
        <v>15</v>
      </c>
      <c r="C372" s="7">
        <v>112111</v>
      </c>
      <c r="D372" s="8">
        <v>123115.2</v>
      </c>
      <c r="E372" s="9" t="s">
        <v>16</v>
      </c>
      <c r="F372" s="36">
        <v>208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2.75" customHeight="1" x14ac:dyDescent="0.2">
      <c r="A373" s="6" t="s">
        <v>79</v>
      </c>
      <c r="B373" s="6" t="s">
        <v>15</v>
      </c>
      <c r="C373" s="7">
        <v>112271</v>
      </c>
      <c r="D373" s="8">
        <v>92469.599999999991</v>
      </c>
      <c r="E373" s="9" t="s">
        <v>16</v>
      </c>
      <c r="F373" s="36">
        <v>208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2.75" customHeight="1" x14ac:dyDescent="0.2">
      <c r="A374" s="6" t="s">
        <v>80</v>
      </c>
      <c r="B374" s="6" t="s">
        <v>15</v>
      </c>
      <c r="C374" s="7">
        <v>112332</v>
      </c>
      <c r="D374" s="8">
        <v>104568</v>
      </c>
      <c r="E374" s="9" t="s">
        <v>16</v>
      </c>
      <c r="F374" s="36">
        <v>208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2.75" customHeight="1" x14ac:dyDescent="0.2">
      <c r="A375" s="6" t="s">
        <v>81</v>
      </c>
      <c r="B375" s="6" t="s">
        <v>15</v>
      </c>
      <c r="C375" s="7">
        <v>112333</v>
      </c>
      <c r="D375" s="8">
        <v>80425.2</v>
      </c>
      <c r="E375" s="9" t="s">
        <v>16</v>
      </c>
      <c r="F375" s="36">
        <v>208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2.75" customHeight="1" x14ac:dyDescent="0.2">
      <c r="A376" s="6" t="s">
        <v>82</v>
      </c>
      <c r="B376" s="6" t="s">
        <v>15</v>
      </c>
      <c r="C376" s="7">
        <v>112339</v>
      </c>
      <c r="D376" s="8">
        <v>82160.399999999994</v>
      </c>
      <c r="E376" s="9" t="s">
        <v>16</v>
      </c>
      <c r="F376" s="36">
        <v>208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2.75" customHeight="1" x14ac:dyDescent="0.2">
      <c r="A377" s="6" t="s">
        <v>83</v>
      </c>
      <c r="B377" s="6" t="s">
        <v>15</v>
      </c>
      <c r="C377" s="7">
        <v>112354</v>
      </c>
      <c r="D377" s="8">
        <v>140662.79999999999</v>
      </c>
      <c r="E377" s="9" t="s">
        <v>16</v>
      </c>
      <c r="F377" s="36">
        <v>208</v>
      </c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2.75" customHeight="1" x14ac:dyDescent="0.2">
      <c r="A378" s="6" t="s">
        <v>84</v>
      </c>
      <c r="B378" s="6" t="s">
        <v>15</v>
      </c>
      <c r="C378" s="7">
        <v>112358</v>
      </c>
      <c r="D378" s="8">
        <v>137898</v>
      </c>
      <c r="E378" s="9" t="s">
        <v>16</v>
      </c>
      <c r="F378" s="36">
        <v>208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2.75" customHeight="1" x14ac:dyDescent="0.2">
      <c r="A379" s="6" t="s">
        <v>85</v>
      </c>
      <c r="B379" s="6" t="s">
        <v>15</v>
      </c>
      <c r="C379" s="7">
        <v>112359</v>
      </c>
      <c r="D379" s="8">
        <v>138861.6</v>
      </c>
      <c r="E379" s="9" t="s">
        <v>16</v>
      </c>
      <c r="F379" s="36">
        <v>208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2.75" customHeight="1" x14ac:dyDescent="0.2">
      <c r="A380" s="6" t="s">
        <v>46</v>
      </c>
      <c r="B380" s="6" t="s">
        <v>15</v>
      </c>
      <c r="C380" s="7">
        <v>112371</v>
      </c>
      <c r="D380" s="8">
        <v>267361.2</v>
      </c>
      <c r="E380" s="9" t="s">
        <v>16</v>
      </c>
      <c r="F380" s="36">
        <v>208</v>
      </c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2.75" customHeight="1" x14ac:dyDescent="0.2">
      <c r="A381" s="6" t="s">
        <v>47</v>
      </c>
      <c r="B381" s="6" t="s">
        <v>15</v>
      </c>
      <c r="C381" s="7">
        <v>112373</v>
      </c>
      <c r="D381" s="8">
        <v>267361.2</v>
      </c>
      <c r="E381" s="9" t="s">
        <v>16</v>
      </c>
      <c r="F381" s="36">
        <v>208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2.75" customHeight="1" x14ac:dyDescent="0.2">
      <c r="A382" s="6" t="s">
        <v>86</v>
      </c>
      <c r="B382" s="6" t="s">
        <v>15</v>
      </c>
      <c r="C382" s="7">
        <v>112379</v>
      </c>
      <c r="D382" s="8">
        <v>106435.2</v>
      </c>
      <c r="E382" s="9" t="s">
        <v>16</v>
      </c>
      <c r="F382" s="36">
        <v>208</v>
      </c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2.75" customHeight="1" x14ac:dyDescent="0.2">
      <c r="A383" s="6" t="s">
        <v>87</v>
      </c>
      <c r="B383" s="6" t="s">
        <v>15</v>
      </c>
      <c r="C383" s="7">
        <v>112380</v>
      </c>
      <c r="D383" s="8">
        <v>110942.39999999999</v>
      </c>
      <c r="E383" s="9" t="s">
        <v>16</v>
      </c>
      <c r="F383" s="36">
        <v>208</v>
      </c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2.75" customHeight="1" x14ac:dyDescent="0.2">
      <c r="A384" s="6" t="s">
        <v>88</v>
      </c>
      <c r="B384" s="6" t="s">
        <v>15</v>
      </c>
      <c r="C384" s="7">
        <v>112401</v>
      </c>
      <c r="D384" s="8">
        <v>108523.2</v>
      </c>
      <c r="E384" s="9" t="s">
        <v>16</v>
      </c>
      <c r="F384" s="36">
        <v>208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2.75" customHeight="1" x14ac:dyDescent="0.2">
      <c r="A385" s="6" t="s">
        <v>89</v>
      </c>
      <c r="B385" s="6" t="s">
        <v>15</v>
      </c>
      <c r="C385" s="7">
        <v>112403</v>
      </c>
      <c r="D385" s="8">
        <v>100129.2</v>
      </c>
      <c r="E385" s="9" t="s">
        <v>16</v>
      </c>
      <c r="F385" s="36">
        <v>208</v>
      </c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2.75" customHeight="1" x14ac:dyDescent="0.2">
      <c r="A386" s="6" t="s">
        <v>90</v>
      </c>
      <c r="B386" s="6" t="s">
        <v>15</v>
      </c>
      <c r="C386" s="7">
        <v>112404</v>
      </c>
      <c r="D386" s="8">
        <v>100749.59999999999</v>
      </c>
      <c r="E386" s="9" t="s">
        <v>16</v>
      </c>
      <c r="F386" s="36">
        <v>208</v>
      </c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2.75" customHeight="1" x14ac:dyDescent="0.2">
      <c r="A387" s="6" t="s">
        <v>91</v>
      </c>
      <c r="B387" s="6" t="s">
        <v>15</v>
      </c>
      <c r="C387" s="7">
        <v>112405</v>
      </c>
      <c r="D387" s="8">
        <v>117678</v>
      </c>
      <c r="E387" s="9" t="s">
        <v>16</v>
      </c>
      <c r="F387" s="36">
        <v>208</v>
      </c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2.75" customHeight="1" x14ac:dyDescent="0.2">
      <c r="A388" s="6" t="s">
        <v>92</v>
      </c>
      <c r="B388" s="6" t="s">
        <v>15</v>
      </c>
      <c r="C388" s="7">
        <v>112407</v>
      </c>
      <c r="D388" s="8">
        <v>104694</v>
      </c>
      <c r="E388" s="9" t="s">
        <v>16</v>
      </c>
      <c r="F388" s="36">
        <v>208</v>
      </c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2.75" customHeight="1" x14ac:dyDescent="0.2">
      <c r="A389" s="6" t="s">
        <v>93</v>
      </c>
      <c r="B389" s="6" t="s">
        <v>15</v>
      </c>
      <c r="C389" s="7">
        <v>112417</v>
      </c>
      <c r="D389" s="8">
        <v>94410</v>
      </c>
      <c r="E389" s="9" t="s">
        <v>16</v>
      </c>
      <c r="F389" s="36">
        <v>208</v>
      </c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2.75" customHeight="1" x14ac:dyDescent="0.2">
      <c r="A390" s="6" t="s">
        <v>94</v>
      </c>
      <c r="B390" s="6" t="s">
        <v>15</v>
      </c>
      <c r="C390" s="7">
        <v>112427</v>
      </c>
      <c r="D390" s="8">
        <v>139494</v>
      </c>
      <c r="E390" s="9" t="s">
        <v>16</v>
      </c>
      <c r="F390" s="36">
        <v>208</v>
      </c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2.75" customHeight="1" x14ac:dyDescent="0.2">
      <c r="A391" s="6" t="s">
        <v>95</v>
      </c>
      <c r="B391" s="6" t="s">
        <v>15</v>
      </c>
      <c r="C391" s="7">
        <v>112429</v>
      </c>
      <c r="D391" s="8">
        <v>112694.39999999999</v>
      </c>
      <c r="E391" s="9" t="s">
        <v>16</v>
      </c>
      <c r="F391" s="36">
        <v>208</v>
      </c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2.75" customHeight="1" x14ac:dyDescent="0.2">
      <c r="A392" s="6" t="s">
        <v>96</v>
      </c>
      <c r="B392" s="6" t="s">
        <v>15</v>
      </c>
      <c r="C392" s="7">
        <v>112440</v>
      </c>
      <c r="D392" s="8">
        <v>98154</v>
      </c>
      <c r="E392" s="9" t="s">
        <v>16</v>
      </c>
      <c r="F392" s="36">
        <v>208</v>
      </c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2.75" customHeight="1" x14ac:dyDescent="0.2">
      <c r="A393" s="6" t="s">
        <v>97</v>
      </c>
      <c r="B393" s="6" t="s">
        <v>15</v>
      </c>
      <c r="C393" s="7">
        <v>112442</v>
      </c>
      <c r="D393" s="8">
        <v>298166.39999999997</v>
      </c>
      <c r="E393" s="9" t="s">
        <v>16</v>
      </c>
      <c r="F393" s="36">
        <v>208</v>
      </c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2.75" customHeight="1" x14ac:dyDescent="0.2">
      <c r="A394" s="6" t="s">
        <v>98</v>
      </c>
      <c r="B394" s="6" t="s">
        <v>15</v>
      </c>
      <c r="C394" s="7">
        <v>112445</v>
      </c>
      <c r="D394" s="8">
        <v>170877.6</v>
      </c>
      <c r="E394" s="9" t="s">
        <v>16</v>
      </c>
      <c r="F394" s="36">
        <v>208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2.75" customHeight="1" x14ac:dyDescent="0.2">
      <c r="A395" s="6" t="s">
        <v>99</v>
      </c>
      <c r="B395" s="6" t="s">
        <v>15</v>
      </c>
      <c r="C395" s="7">
        <v>112451</v>
      </c>
      <c r="D395" s="8">
        <v>137131.19999999998</v>
      </c>
      <c r="E395" s="9" t="s">
        <v>16</v>
      </c>
      <c r="F395" s="36">
        <v>208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2.75" customHeight="1" x14ac:dyDescent="0.2">
      <c r="A396" s="6" t="s">
        <v>100</v>
      </c>
      <c r="B396" s="6" t="s">
        <v>15</v>
      </c>
      <c r="C396" s="7">
        <v>112452</v>
      </c>
      <c r="D396" s="8">
        <v>142436.4</v>
      </c>
      <c r="E396" s="9" t="s">
        <v>16</v>
      </c>
      <c r="F396" s="36">
        <v>208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2.75" customHeight="1" x14ac:dyDescent="0.2">
      <c r="A397" s="6" t="s">
        <v>101</v>
      </c>
      <c r="B397" s="6" t="s">
        <v>15</v>
      </c>
      <c r="C397" s="7">
        <v>112461</v>
      </c>
      <c r="D397" s="8">
        <v>273844.8</v>
      </c>
      <c r="E397" s="9" t="s">
        <v>16</v>
      </c>
      <c r="F397" s="36">
        <v>208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2.75" customHeight="1" x14ac:dyDescent="0.2">
      <c r="A398" s="6" t="s">
        <v>102</v>
      </c>
      <c r="B398" s="6" t="s">
        <v>15</v>
      </c>
      <c r="C398" s="7">
        <v>112462</v>
      </c>
      <c r="D398" s="8">
        <v>278094</v>
      </c>
      <c r="E398" s="9" t="s">
        <v>16</v>
      </c>
      <c r="F398" s="36">
        <v>208</v>
      </c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2.75" customHeight="1" x14ac:dyDescent="0.2">
      <c r="A399" s="6" t="s">
        <v>107</v>
      </c>
      <c r="B399" s="6" t="s">
        <v>15</v>
      </c>
      <c r="C399" s="7">
        <v>112514</v>
      </c>
      <c r="D399" s="8">
        <v>108387.59999999999</v>
      </c>
      <c r="E399" s="9" t="s">
        <v>16</v>
      </c>
      <c r="F399" s="36">
        <v>208</v>
      </c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2.75" customHeight="1" x14ac:dyDescent="0.2">
      <c r="A400" s="6" t="s">
        <v>108</v>
      </c>
      <c r="B400" s="6" t="s">
        <v>15</v>
      </c>
      <c r="C400" s="7">
        <v>112516</v>
      </c>
      <c r="D400" s="8">
        <v>101156.4</v>
      </c>
      <c r="E400" s="9" t="s">
        <v>16</v>
      </c>
      <c r="F400" s="36">
        <v>208</v>
      </c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2.75" customHeight="1" x14ac:dyDescent="0.2">
      <c r="A401" s="6" t="s">
        <v>109</v>
      </c>
      <c r="B401" s="6" t="s">
        <v>15</v>
      </c>
      <c r="C401" s="7">
        <v>112518</v>
      </c>
      <c r="D401" s="8">
        <v>110850</v>
      </c>
      <c r="E401" s="9" t="s">
        <v>16</v>
      </c>
      <c r="F401" s="36">
        <v>208</v>
      </c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2.75" customHeight="1" x14ac:dyDescent="0.2">
      <c r="A402" s="6" t="s">
        <v>110</v>
      </c>
      <c r="B402" s="6" t="s">
        <v>15</v>
      </c>
      <c r="C402" s="7">
        <v>112520</v>
      </c>
      <c r="D402" s="8">
        <v>104667.59999999999</v>
      </c>
      <c r="E402" s="9" t="s">
        <v>16</v>
      </c>
      <c r="F402" s="36">
        <v>208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2.75" customHeight="1" x14ac:dyDescent="0.2">
      <c r="A403" s="6" t="s">
        <v>111</v>
      </c>
      <c r="B403" s="6" t="s">
        <v>15</v>
      </c>
      <c r="C403" s="7">
        <v>112522</v>
      </c>
      <c r="D403" s="8">
        <v>109920</v>
      </c>
      <c r="E403" s="9" t="s">
        <v>16</v>
      </c>
      <c r="F403" s="36">
        <v>208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2.75" customHeight="1" x14ac:dyDescent="0.2">
      <c r="A404" s="6" t="s">
        <v>112</v>
      </c>
      <c r="B404" s="6" t="s">
        <v>15</v>
      </c>
      <c r="C404" s="7">
        <v>112524</v>
      </c>
      <c r="D404" s="8">
        <v>109998</v>
      </c>
      <c r="E404" s="9" t="s">
        <v>16</v>
      </c>
      <c r="F404" s="36">
        <v>208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2.75" customHeight="1" x14ac:dyDescent="0.2">
      <c r="A405" s="6" t="s">
        <v>113</v>
      </c>
      <c r="B405" s="6" t="s">
        <v>15</v>
      </c>
      <c r="C405" s="7">
        <v>112526</v>
      </c>
      <c r="D405" s="8">
        <v>111049.2</v>
      </c>
      <c r="E405" s="9" t="s">
        <v>16</v>
      </c>
      <c r="F405" s="36">
        <v>208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2.75" customHeight="1" x14ac:dyDescent="0.2">
      <c r="A406" s="6" t="s">
        <v>114</v>
      </c>
      <c r="B406" s="6" t="s">
        <v>15</v>
      </c>
      <c r="C406" s="7">
        <v>112528</v>
      </c>
      <c r="D406" s="8">
        <v>136882.79999999999</v>
      </c>
      <c r="E406" s="9" t="s">
        <v>16</v>
      </c>
      <c r="F406" s="36">
        <v>208</v>
      </c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2.75" customHeight="1" x14ac:dyDescent="0.2">
      <c r="A407" s="6" t="s">
        <v>115</v>
      </c>
      <c r="B407" s="6" t="s">
        <v>15</v>
      </c>
      <c r="C407" s="7">
        <v>112529</v>
      </c>
      <c r="D407" s="8">
        <v>149865.60000000001</v>
      </c>
      <c r="E407" s="9" t="s">
        <v>16</v>
      </c>
      <c r="F407" s="36">
        <v>208</v>
      </c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2.75" customHeight="1" x14ac:dyDescent="0.2">
      <c r="A408" s="6" t="s">
        <v>116</v>
      </c>
      <c r="B408" s="6" t="s">
        <v>15</v>
      </c>
      <c r="C408" s="7">
        <v>112538</v>
      </c>
      <c r="D408" s="8">
        <v>253993.19999999998</v>
      </c>
      <c r="E408" s="9" t="s">
        <v>16</v>
      </c>
      <c r="F408" s="36">
        <v>208</v>
      </c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2.75" customHeight="1" x14ac:dyDescent="0.2">
      <c r="A409" s="6" t="s">
        <v>117</v>
      </c>
      <c r="B409" s="6" t="s">
        <v>15</v>
      </c>
      <c r="C409" s="7">
        <v>112542</v>
      </c>
      <c r="D409" s="8">
        <v>117073.2</v>
      </c>
      <c r="E409" s="9" t="s">
        <v>16</v>
      </c>
      <c r="F409" s="36">
        <v>208</v>
      </c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2.75" customHeight="1" x14ac:dyDescent="0.2">
      <c r="A410" s="6" t="s">
        <v>121</v>
      </c>
      <c r="B410" s="6" t="s">
        <v>15</v>
      </c>
      <c r="C410" s="7">
        <v>112588</v>
      </c>
      <c r="D410" s="8">
        <v>134144.4</v>
      </c>
      <c r="E410" s="9" t="s">
        <v>16</v>
      </c>
      <c r="F410" s="36">
        <v>208</v>
      </c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2.75" customHeight="1" x14ac:dyDescent="0.2">
      <c r="A411" s="6" t="s">
        <v>122</v>
      </c>
      <c r="B411" s="6" t="s">
        <v>15</v>
      </c>
      <c r="C411" s="7">
        <v>112589</v>
      </c>
      <c r="D411" s="8">
        <v>124400.4</v>
      </c>
      <c r="E411" s="9" t="s">
        <v>16</v>
      </c>
      <c r="F411" s="36">
        <v>208</v>
      </c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2.75" customHeight="1" x14ac:dyDescent="0.2">
      <c r="A412" s="6" t="s">
        <v>123</v>
      </c>
      <c r="B412" s="6" t="s">
        <v>15</v>
      </c>
      <c r="C412" s="7">
        <v>112595</v>
      </c>
      <c r="D412" s="8">
        <v>184110</v>
      </c>
      <c r="E412" s="9" t="s">
        <v>16</v>
      </c>
      <c r="F412" s="36">
        <v>208</v>
      </c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2.75" customHeight="1" x14ac:dyDescent="0.2">
      <c r="A413" s="6" t="s">
        <v>127</v>
      </c>
      <c r="B413" s="6" t="s">
        <v>15</v>
      </c>
      <c r="C413" s="7">
        <v>112604</v>
      </c>
      <c r="D413" s="8">
        <v>263604</v>
      </c>
      <c r="E413" s="9" t="s">
        <v>16</v>
      </c>
      <c r="F413" s="36">
        <v>208</v>
      </c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2.75" customHeight="1" x14ac:dyDescent="0.2">
      <c r="A414" s="6" t="s">
        <v>128</v>
      </c>
      <c r="B414" s="6" t="s">
        <v>15</v>
      </c>
      <c r="C414" s="7">
        <v>112605</v>
      </c>
      <c r="D414" s="8">
        <v>320029.2</v>
      </c>
      <c r="E414" s="9" t="s">
        <v>16</v>
      </c>
      <c r="F414" s="36">
        <v>208</v>
      </c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2.75" customHeight="1" x14ac:dyDescent="0.2">
      <c r="A415" s="6" t="s">
        <v>129</v>
      </c>
      <c r="B415" s="6" t="s">
        <v>15</v>
      </c>
      <c r="C415" s="7">
        <v>112606</v>
      </c>
      <c r="D415" s="8">
        <v>283472.39999999997</v>
      </c>
      <c r="E415" s="9" t="s">
        <v>16</v>
      </c>
      <c r="F415" s="36">
        <v>208</v>
      </c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2.75" customHeight="1" x14ac:dyDescent="0.2">
      <c r="A416" s="6" t="s">
        <v>130</v>
      </c>
      <c r="B416" s="6" t="s">
        <v>15</v>
      </c>
      <c r="C416" s="7">
        <v>112607</v>
      </c>
      <c r="D416" s="8">
        <v>264016.8</v>
      </c>
      <c r="E416" s="9" t="s">
        <v>16</v>
      </c>
      <c r="F416" s="36">
        <v>208</v>
      </c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2.75" customHeight="1" x14ac:dyDescent="0.2">
      <c r="A417" s="6" t="s">
        <v>131</v>
      </c>
      <c r="B417" s="6" t="s">
        <v>15</v>
      </c>
      <c r="C417" s="7">
        <v>112608</v>
      </c>
      <c r="D417" s="8">
        <v>271699.20000000001</v>
      </c>
      <c r="E417" s="9" t="s">
        <v>16</v>
      </c>
      <c r="F417" s="36">
        <v>208</v>
      </c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2.75" customHeight="1" x14ac:dyDescent="0.2">
      <c r="A418" s="6" t="s">
        <v>132</v>
      </c>
      <c r="B418" s="6" t="s">
        <v>15</v>
      </c>
      <c r="C418" s="7">
        <v>112612</v>
      </c>
      <c r="D418" s="8">
        <v>118807.2</v>
      </c>
      <c r="E418" s="9" t="s">
        <v>16</v>
      </c>
      <c r="F418" s="36">
        <v>208</v>
      </c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2.75" customHeight="1" x14ac:dyDescent="0.2">
      <c r="A419" s="6" t="s">
        <v>135</v>
      </c>
      <c r="B419" s="6" t="s">
        <v>15</v>
      </c>
      <c r="C419" s="7">
        <v>112669</v>
      </c>
      <c r="D419" s="8">
        <v>124404</v>
      </c>
      <c r="E419" s="9" t="s">
        <v>16</v>
      </c>
      <c r="F419" s="36">
        <v>208</v>
      </c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2.75" customHeight="1" x14ac:dyDescent="0.2">
      <c r="A420" s="6" t="s">
        <v>104</v>
      </c>
      <c r="B420" s="6" t="s">
        <v>15</v>
      </c>
      <c r="C420" s="7">
        <v>114364</v>
      </c>
      <c r="D420" s="8">
        <v>107486.39999999999</v>
      </c>
      <c r="E420" s="9" t="s">
        <v>16</v>
      </c>
      <c r="F420" s="36">
        <v>208</v>
      </c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2.75" customHeight="1" x14ac:dyDescent="0.2">
      <c r="A421" s="6" t="s">
        <v>139</v>
      </c>
      <c r="B421" s="6" t="s">
        <v>15</v>
      </c>
      <c r="C421" s="7">
        <v>115803</v>
      </c>
      <c r="D421" s="8">
        <v>146217.60000000001</v>
      </c>
      <c r="E421" s="9" t="s">
        <v>16</v>
      </c>
      <c r="F421" s="36">
        <v>208</v>
      </c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2.75" customHeight="1" x14ac:dyDescent="0.2">
      <c r="A422" s="6" t="s">
        <v>140</v>
      </c>
      <c r="B422" s="6" t="s">
        <v>15</v>
      </c>
      <c r="C422" s="7">
        <v>119663</v>
      </c>
      <c r="D422" s="8">
        <v>106210.8</v>
      </c>
      <c r="E422" s="9" t="s">
        <v>16</v>
      </c>
      <c r="F422" s="36">
        <v>208</v>
      </c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2.75" customHeight="1" x14ac:dyDescent="0.2">
      <c r="A423" s="6" t="s">
        <v>141</v>
      </c>
      <c r="B423" s="6" t="s">
        <v>15</v>
      </c>
      <c r="C423" s="7">
        <v>120612</v>
      </c>
      <c r="D423" s="8">
        <v>127032</v>
      </c>
      <c r="E423" s="9" t="s">
        <v>16</v>
      </c>
      <c r="F423" s="36">
        <v>208</v>
      </c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2.75" customHeight="1" x14ac:dyDescent="0.2">
      <c r="A424" s="6" t="s">
        <v>120</v>
      </c>
      <c r="B424" s="6" t="s">
        <v>15</v>
      </c>
      <c r="C424" s="7">
        <v>120615</v>
      </c>
      <c r="D424" s="8">
        <v>344852.39999999997</v>
      </c>
      <c r="E424" s="9" t="s">
        <v>16</v>
      </c>
      <c r="F424" s="36">
        <v>208</v>
      </c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2.75" customHeight="1" x14ac:dyDescent="0.2">
      <c r="A425" s="6" t="s">
        <v>118</v>
      </c>
      <c r="B425" s="6" t="s">
        <v>15</v>
      </c>
      <c r="C425" s="7">
        <v>120616</v>
      </c>
      <c r="D425" s="8">
        <v>263516.39999999997</v>
      </c>
      <c r="E425" s="9" t="s">
        <v>16</v>
      </c>
      <c r="F425" s="36">
        <v>208</v>
      </c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2.75" customHeight="1" x14ac:dyDescent="0.2">
      <c r="A426" s="6" t="s">
        <v>142</v>
      </c>
      <c r="B426" s="6" t="s">
        <v>15</v>
      </c>
      <c r="C426" s="7">
        <v>120658</v>
      </c>
      <c r="D426" s="8">
        <v>302890.8</v>
      </c>
      <c r="E426" s="9" t="s">
        <v>16</v>
      </c>
      <c r="F426" s="36">
        <v>208</v>
      </c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2.75" customHeight="1" x14ac:dyDescent="0.2">
      <c r="A427" s="6" t="s">
        <v>143</v>
      </c>
      <c r="B427" s="6" t="s">
        <v>15</v>
      </c>
      <c r="C427" s="7">
        <v>120661</v>
      </c>
      <c r="D427" s="8">
        <v>115662</v>
      </c>
      <c r="E427" s="9" t="s">
        <v>16</v>
      </c>
      <c r="F427" s="36">
        <v>208</v>
      </c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2.75" customHeight="1" x14ac:dyDescent="0.2">
      <c r="A428" s="6" t="s">
        <v>144</v>
      </c>
      <c r="B428" s="6" t="s">
        <v>15</v>
      </c>
      <c r="C428" s="7">
        <v>120790</v>
      </c>
      <c r="D428" s="8">
        <v>161846.39999999999</v>
      </c>
      <c r="E428" s="9" t="s">
        <v>16</v>
      </c>
      <c r="F428" s="36">
        <v>208</v>
      </c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2.75" customHeight="1" x14ac:dyDescent="0.2">
      <c r="A429" s="6" t="s">
        <v>133</v>
      </c>
      <c r="B429" s="6" t="s">
        <v>15</v>
      </c>
      <c r="C429" s="7">
        <v>121890</v>
      </c>
      <c r="D429" s="8">
        <v>304114.8</v>
      </c>
      <c r="E429" s="9" t="s">
        <v>16</v>
      </c>
      <c r="F429" s="36">
        <v>208</v>
      </c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2.75" customHeight="1" x14ac:dyDescent="0.2">
      <c r="A430" s="6" t="s">
        <v>5</v>
      </c>
      <c r="B430" s="6" t="s">
        <v>15</v>
      </c>
      <c r="C430" s="7">
        <v>123828</v>
      </c>
      <c r="D430" s="8">
        <v>87714</v>
      </c>
      <c r="E430" s="9" t="s">
        <v>7</v>
      </c>
      <c r="F430" s="36">
        <v>208</v>
      </c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2.75" customHeight="1" x14ac:dyDescent="0.2">
      <c r="A431" s="6" t="s">
        <v>13</v>
      </c>
      <c r="B431" s="6" t="s">
        <v>15</v>
      </c>
      <c r="C431" s="7">
        <v>123959</v>
      </c>
      <c r="D431" s="8">
        <v>183993.60000000001</v>
      </c>
      <c r="E431" s="9" t="s">
        <v>7</v>
      </c>
      <c r="F431" s="36">
        <v>208</v>
      </c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2.75" customHeight="1" x14ac:dyDescent="0.2">
      <c r="A432" s="6" t="s">
        <v>145</v>
      </c>
      <c r="B432" s="6" t="s">
        <v>15</v>
      </c>
      <c r="C432" s="7">
        <v>124540</v>
      </c>
      <c r="D432" s="8">
        <v>309753.59999999998</v>
      </c>
      <c r="E432" s="9" t="s">
        <v>16</v>
      </c>
      <c r="F432" s="36">
        <v>208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2.75" customHeight="1" x14ac:dyDescent="0.2">
      <c r="A433" s="6" t="s">
        <v>146</v>
      </c>
      <c r="B433" s="6" t="s">
        <v>15</v>
      </c>
      <c r="C433" s="7">
        <v>124542</v>
      </c>
      <c r="D433" s="8">
        <v>319934.39999999997</v>
      </c>
      <c r="E433" s="9" t="s">
        <v>16</v>
      </c>
      <c r="F433" s="36">
        <v>208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2.75" customHeight="1" x14ac:dyDescent="0.2">
      <c r="A434" s="6" t="s">
        <v>9</v>
      </c>
      <c r="B434" s="6" t="s">
        <v>15</v>
      </c>
      <c r="C434" s="7">
        <v>124786</v>
      </c>
      <c r="D434" s="8">
        <v>111223.2</v>
      </c>
      <c r="E434" s="9" t="s">
        <v>7</v>
      </c>
      <c r="F434" s="36">
        <v>208</v>
      </c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2.75" customHeight="1" x14ac:dyDescent="0.2">
      <c r="A435" s="6" t="s">
        <v>147</v>
      </c>
      <c r="B435" s="6" t="s">
        <v>15</v>
      </c>
      <c r="C435" s="7">
        <v>126428</v>
      </c>
      <c r="D435" s="8">
        <v>116524.8</v>
      </c>
      <c r="E435" s="9" t="s">
        <v>16</v>
      </c>
      <c r="F435" s="36">
        <v>208</v>
      </c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2.75" customHeight="1" x14ac:dyDescent="0.2">
      <c r="A436" s="6" t="s">
        <v>124</v>
      </c>
      <c r="B436" s="6" t="s">
        <v>15</v>
      </c>
      <c r="C436" s="7">
        <v>126851</v>
      </c>
      <c r="D436" s="8">
        <v>230236.79999999999</v>
      </c>
      <c r="E436" s="9" t="s">
        <v>16</v>
      </c>
      <c r="F436" s="36">
        <v>208</v>
      </c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2.75" customHeight="1" x14ac:dyDescent="0.2">
      <c r="A437" s="6" t="s">
        <v>148</v>
      </c>
      <c r="B437" s="6" t="s">
        <v>15</v>
      </c>
      <c r="C437" s="7">
        <v>127480</v>
      </c>
      <c r="D437" s="8">
        <v>102826.8</v>
      </c>
      <c r="E437" s="9" t="s">
        <v>16</v>
      </c>
      <c r="F437" s="36">
        <v>208</v>
      </c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2.75" customHeight="1" x14ac:dyDescent="0.2">
      <c r="A438" s="6" t="s">
        <v>153</v>
      </c>
      <c r="B438" s="6" t="s">
        <v>15</v>
      </c>
      <c r="C438" s="7">
        <v>128321</v>
      </c>
      <c r="D438" s="8">
        <v>80930.399999999994</v>
      </c>
      <c r="E438" s="9" t="s">
        <v>16</v>
      </c>
      <c r="F438" s="36">
        <v>208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2.75" customHeight="1" x14ac:dyDescent="0.2">
      <c r="A439" s="6" t="s">
        <v>155</v>
      </c>
      <c r="B439" s="6" t="s">
        <v>15</v>
      </c>
      <c r="C439" s="7">
        <v>133623</v>
      </c>
      <c r="D439" s="8">
        <v>85782</v>
      </c>
      <c r="E439" s="9" t="s">
        <v>16</v>
      </c>
      <c r="F439" s="36">
        <v>208</v>
      </c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2.75" customHeight="1" x14ac:dyDescent="0.2">
      <c r="A440" s="6" t="s">
        <v>160</v>
      </c>
      <c r="B440" s="6" t="s">
        <v>15</v>
      </c>
      <c r="C440" s="7">
        <v>134130</v>
      </c>
      <c r="D440" s="8">
        <v>98462.399999999994</v>
      </c>
      <c r="E440" s="9" t="s">
        <v>16</v>
      </c>
      <c r="F440" s="36">
        <v>208</v>
      </c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2.75" customHeight="1" x14ac:dyDescent="0.2">
      <c r="A441" s="6" t="s">
        <v>177</v>
      </c>
      <c r="B441" s="6" t="s">
        <v>15</v>
      </c>
      <c r="C441" s="7">
        <v>140215</v>
      </c>
      <c r="D441" s="8">
        <v>89706</v>
      </c>
      <c r="E441" s="9" t="s">
        <v>16</v>
      </c>
      <c r="F441" s="36">
        <v>208</v>
      </c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2.75" customHeight="1" x14ac:dyDescent="0.2">
      <c r="A442" s="6" t="s">
        <v>179</v>
      </c>
      <c r="B442" s="6" t="s">
        <v>15</v>
      </c>
      <c r="C442" s="7">
        <v>146193</v>
      </c>
      <c r="D442" s="8">
        <v>120126</v>
      </c>
      <c r="E442" s="9" t="s">
        <v>16</v>
      </c>
      <c r="F442" s="36">
        <v>208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2.75" customHeight="1" x14ac:dyDescent="0.2">
      <c r="A443" s="6" t="s">
        <v>181</v>
      </c>
      <c r="B443" s="6" t="s">
        <v>15</v>
      </c>
      <c r="C443" s="7">
        <v>147627</v>
      </c>
      <c r="D443" s="8">
        <v>87560.4</v>
      </c>
      <c r="E443" s="9" t="s">
        <v>16</v>
      </c>
      <c r="F443" s="36">
        <v>208</v>
      </c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2.75" customHeight="1" x14ac:dyDescent="0.2">
      <c r="A444" s="6" t="s">
        <v>187</v>
      </c>
      <c r="B444" s="6" t="s">
        <v>15</v>
      </c>
      <c r="C444" s="7">
        <v>148005</v>
      </c>
      <c r="D444" s="8">
        <v>103201.2</v>
      </c>
      <c r="E444" s="9" t="s">
        <v>16</v>
      </c>
      <c r="F444" s="36">
        <v>208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ht="12.75" customHeight="1" x14ac:dyDescent="0.2">
      <c r="A445" s="6" t="s">
        <v>188</v>
      </c>
      <c r="B445" s="6" t="s">
        <v>15</v>
      </c>
      <c r="C445" s="7">
        <v>148014</v>
      </c>
      <c r="D445" s="8">
        <v>81262.8</v>
      </c>
      <c r="E445" s="9" t="s">
        <v>16</v>
      </c>
      <c r="F445" s="36">
        <v>208</v>
      </c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ht="12.75" customHeight="1" x14ac:dyDescent="0.2">
      <c r="A446" s="6" t="s">
        <v>189</v>
      </c>
      <c r="B446" s="6" t="s">
        <v>15</v>
      </c>
      <c r="C446" s="7">
        <v>148017</v>
      </c>
      <c r="D446" s="8">
        <v>101928</v>
      </c>
      <c r="E446" s="9" t="s">
        <v>16</v>
      </c>
      <c r="F446" s="36">
        <v>208</v>
      </c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ht="12.75" customHeight="1" x14ac:dyDescent="0.2">
      <c r="A447" s="6" t="s">
        <v>190</v>
      </c>
      <c r="B447" s="6" t="s">
        <v>15</v>
      </c>
      <c r="C447" s="7">
        <v>148018</v>
      </c>
      <c r="D447" s="8">
        <v>77042.399999999994</v>
      </c>
      <c r="E447" s="9" t="s">
        <v>16</v>
      </c>
      <c r="F447" s="36">
        <v>208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ht="12.75" customHeight="1" x14ac:dyDescent="0.2">
      <c r="A448" s="6" t="s">
        <v>191</v>
      </c>
      <c r="B448" s="6" t="s">
        <v>15</v>
      </c>
      <c r="C448" s="7">
        <v>148019</v>
      </c>
      <c r="D448" s="8">
        <v>140757.6</v>
      </c>
      <c r="E448" s="9" t="s">
        <v>16</v>
      </c>
      <c r="F448" s="36">
        <v>208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ht="12.75" customHeight="1" x14ac:dyDescent="0.2">
      <c r="A449" s="6" t="s">
        <v>192</v>
      </c>
      <c r="B449" s="6" t="s">
        <v>15</v>
      </c>
      <c r="C449" s="7">
        <v>148020</v>
      </c>
      <c r="D449" s="8">
        <v>71968.800000000003</v>
      </c>
      <c r="E449" s="9" t="s">
        <v>16</v>
      </c>
      <c r="F449" s="36">
        <v>208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ht="12.75" customHeight="1" x14ac:dyDescent="0.2">
      <c r="A450" s="6" t="s">
        <v>193</v>
      </c>
      <c r="B450" s="6" t="s">
        <v>15</v>
      </c>
      <c r="C450" s="7">
        <v>148022</v>
      </c>
      <c r="D450" s="8">
        <v>77316</v>
      </c>
      <c r="E450" s="9" t="s">
        <v>16</v>
      </c>
      <c r="F450" s="36">
        <v>208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ht="12.75" customHeight="1" x14ac:dyDescent="0.2">
      <c r="A451" s="6" t="s">
        <v>194</v>
      </c>
      <c r="B451" s="6" t="s">
        <v>15</v>
      </c>
      <c r="C451" s="7">
        <v>148070</v>
      </c>
      <c r="D451" s="8">
        <v>138856.79999999999</v>
      </c>
      <c r="E451" s="9" t="s">
        <v>16</v>
      </c>
      <c r="F451" s="36">
        <v>208</v>
      </c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ht="12.75" customHeight="1" x14ac:dyDescent="0.2">
      <c r="A452" s="6" t="s">
        <v>195</v>
      </c>
      <c r="B452" s="6" t="s">
        <v>15</v>
      </c>
      <c r="C452" s="7">
        <v>148073</v>
      </c>
      <c r="D452" s="8">
        <v>118388.4</v>
      </c>
      <c r="E452" s="9" t="s">
        <v>16</v>
      </c>
      <c r="F452" s="36">
        <v>208</v>
      </c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ht="12.75" customHeight="1" x14ac:dyDescent="0.2">
      <c r="A453" s="6" t="s">
        <v>198</v>
      </c>
      <c r="B453" s="6" t="s">
        <v>15</v>
      </c>
      <c r="C453" s="7">
        <v>150050</v>
      </c>
      <c r="D453" s="8">
        <v>58870.799999999996</v>
      </c>
      <c r="E453" s="9" t="s">
        <v>16</v>
      </c>
      <c r="F453" s="36">
        <v>208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ht="12.75" customHeight="1" x14ac:dyDescent="0.2">
      <c r="A454" s="6" t="s">
        <v>199</v>
      </c>
      <c r="B454" s="6" t="s">
        <v>15</v>
      </c>
      <c r="C454" s="7">
        <v>150841</v>
      </c>
      <c r="D454" s="8">
        <v>91968</v>
      </c>
      <c r="E454" s="9" t="s">
        <v>16</v>
      </c>
      <c r="F454" s="36">
        <v>208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ht="12.75" customHeight="1" x14ac:dyDescent="0.2">
      <c r="A455" s="6" t="s">
        <v>200</v>
      </c>
      <c r="B455" s="6" t="s">
        <v>15</v>
      </c>
      <c r="C455" s="7">
        <v>150895</v>
      </c>
      <c r="D455" s="8">
        <v>96504</v>
      </c>
      <c r="E455" s="9" t="s">
        <v>16</v>
      </c>
      <c r="F455" s="36">
        <v>208</v>
      </c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ht="12.75" customHeight="1" x14ac:dyDescent="0.2">
      <c r="A456" s="6" t="s">
        <v>201</v>
      </c>
      <c r="B456" s="6" t="s">
        <v>15</v>
      </c>
      <c r="C456" s="7">
        <v>150896</v>
      </c>
      <c r="D456" s="8">
        <v>123226.79999999999</v>
      </c>
      <c r="E456" s="9" t="s">
        <v>16</v>
      </c>
      <c r="F456" s="36">
        <v>208</v>
      </c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ht="12.75" customHeight="1" x14ac:dyDescent="0.2">
      <c r="A457" s="6" t="s">
        <v>202</v>
      </c>
      <c r="B457" s="6" t="s">
        <v>15</v>
      </c>
      <c r="C457" s="7">
        <v>151170</v>
      </c>
      <c r="D457" s="8">
        <v>245654.39999999999</v>
      </c>
      <c r="E457" s="9" t="s">
        <v>16</v>
      </c>
      <c r="F457" s="36">
        <v>208</v>
      </c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ht="12.75" customHeight="1" x14ac:dyDescent="0.2">
      <c r="A458" s="6" t="s">
        <v>203</v>
      </c>
      <c r="B458" s="6" t="s">
        <v>15</v>
      </c>
      <c r="C458" s="7">
        <v>151260</v>
      </c>
      <c r="D458" s="8">
        <v>126194.4</v>
      </c>
      <c r="E458" s="9" t="s">
        <v>16</v>
      </c>
      <c r="F458" s="36">
        <v>208</v>
      </c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ht="12.75" customHeight="1" x14ac:dyDescent="0.2">
      <c r="A459" s="6" t="s">
        <v>204</v>
      </c>
      <c r="B459" s="6" t="s">
        <v>15</v>
      </c>
      <c r="C459" s="7">
        <v>151263</v>
      </c>
      <c r="D459" s="8">
        <v>140845.19999999998</v>
      </c>
      <c r="E459" s="9" t="s">
        <v>16</v>
      </c>
      <c r="F459" s="36">
        <v>208</v>
      </c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ht="12.75" customHeight="1" x14ac:dyDescent="0.2">
      <c r="A460" s="6" t="s">
        <v>205</v>
      </c>
      <c r="B460" s="6" t="s">
        <v>15</v>
      </c>
      <c r="C460" s="7">
        <v>151520</v>
      </c>
      <c r="D460" s="8">
        <v>137528.4</v>
      </c>
      <c r="E460" s="9" t="s">
        <v>16</v>
      </c>
      <c r="F460" s="36">
        <v>208</v>
      </c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ht="12.75" customHeight="1" x14ac:dyDescent="0.2">
      <c r="A461" s="6" t="s">
        <v>207</v>
      </c>
      <c r="B461" s="6" t="s">
        <v>15</v>
      </c>
      <c r="C461" s="7">
        <v>154212</v>
      </c>
      <c r="D461" s="8">
        <v>129225.59999999999</v>
      </c>
      <c r="E461" s="9" t="s">
        <v>16</v>
      </c>
      <c r="F461" s="36">
        <v>208</v>
      </c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ht="12.75" customHeight="1" x14ac:dyDescent="0.2">
      <c r="A462" s="6" t="s">
        <v>208</v>
      </c>
      <c r="B462" s="6" t="s">
        <v>15</v>
      </c>
      <c r="C462" s="7">
        <v>154240</v>
      </c>
      <c r="D462" s="8">
        <v>84028.800000000003</v>
      </c>
      <c r="E462" s="9" t="s">
        <v>16</v>
      </c>
      <c r="F462" s="36">
        <v>208</v>
      </c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ht="12.75" customHeight="1" x14ac:dyDescent="0.2">
      <c r="A463" s="6" t="s">
        <v>209</v>
      </c>
      <c r="B463" s="6" t="s">
        <v>15</v>
      </c>
      <c r="C463" s="7">
        <v>154940</v>
      </c>
      <c r="D463" s="8">
        <v>162878.39999999999</v>
      </c>
      <c r="E463" s="9" t="s">
        <v>16</v>
      </c>
      <c r="F463" s="36">
        <v>208</v>
      </c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ht="12.75" customHeight="1" x14ac:dyDescent="0.2">
      <c r="A464" s="6" t="s">
        <v>210</v>
      </c>
      <c r="B464" s="6" t="s">
        <v>15</v>
      </c>
      <c r="C464" s="7">
        <v>154941</v>
      </c>
      <c r="D464" s="8">
        <v>173186.4</v>
      </c>
      <c r="E464" s="9" t="s">
        <v>16</v>
      </c>
      <c r="F464" s="36">
        <v>208</v>
      </c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ht="12.75" customHeight="1" x14ac:dyDescent="0.2">
      <c r="A465" s="6" t="s">
        <v>212</v>
      </c>
      <c r="B465" s="6" t="s">
        <v>15</v>
      </c>
      <c r="C465" s="7">
        <v>156106</v>
      </c>
      <c r="D465" s="8">
        <v>115778.4</v>
      </c>
      <c r="E465" s="9" t="s">
        <v>16</v>
      </c>
      <c r="F465" s="36">
        <v>208</v>
      </c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ht="12.75" customHeight="1" x14ac:dyDescent="0.2">
      <c r="A466" s="6" t="s">
        <v>119</v>
      </c>
      <c r="B466" s="6" t="s">
        <v>15</v>
      </c>
      <c r="C466" s="7">
        <v>156216</v>
      </c>
      <c r="D466" s="8">
        <v>345040.8</v>
      </c>
      <c r="E466" s="9" t="s">
        <v>16</v>
      </c>
      <c r="F466" s="36">
        <v>208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ht="12.75" customHeight="1" x14ac:dyDescent="0.2">
      <c r="A467" s="6" t="s">
        <v>214</v>
      </c>
      <c r="B467" s="6" t="s">
        <v>15</v>
      </c>
      <c r="C467" s="7">
        <v>156340</v>
      </c>
      <c r="D467" s="8">
        <v>130527.59999999999</v>
      </c>
      <c r="E467" s="9" t="s">
        <v>16</v>
      </c>
      <c r="F467" s="36">
        <v>208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ht="12.75" customHeight="1" x14ac:dyDescent="0.2">
      <c r="A468" s="6" t="s">
        <v>216</v>
      </c>
      <c r="B468" s="6" t="s">
        <v>15</v>
      </c>
      <c r="C468" s="7">
        <v>156692</v>
      </c>
      <c r="D468" s="8">
        <v>72150</v>
      </c>
      <c r="E468" s="9" t="s">
        <v>16</v>
      </c>
      <c r="F468" s="36">
        <v>208</v>
      </c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ht="12.75" customHeight="1" x14ac:dyDescent="0.2">
      <c r="A469" s="6" t="s">
        <v>217</v>
      </c>
      <c r="B469" s="6" t="s">
        <v>15</v>
      </c>
      <c r="C469" s="7">
        <v>156713</v>
      </c>
      <c r="D469" s="8">
        <v>117476.4</v>
      </c>
      <c r="E469" s="9" t="s">
        <v>16</v>
      </c>
      <c r="F469" s="36">
        <v>208</v>
      </c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ht="12.75" customHeight="1" x14ac:dyDescent="0.2">
      <c r="A470" s="6" t="s">
        <v>12</v>
      </c>
      <c r="B470" s="6" t="s">
        <v>15</v>
      </c>
      <c r="C470" s="7">
        <v>156933</v>
      </c>
      <c r="D470" s="8">
        <v>105993.59999999999</v>
      </c>
      <c r="E470" s="9" t="s">
        <v>7</v>
      </c>
      <c r="F470" s="36">
        <v>208</v>
      </c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ht="12.75" customHeight="1" x14ac:dyDescent="0.2">
      <c r="A471" s="6" t="s">
        <v>218</v>
      </c>
      <c r="B471" s="6" t="s">
        <v>15</v>
      </c>
      <c r="C471" s="7">
        <v>156934</v>
      </c>
      <c r="D471" s="8">
        <v>95683.199999999997</v>
      </c>
      <c r="E471" s="9" t="s">
        <v>7</v>
      </c>
      <c r="F471" s="36">
        <v>208</v>
      </c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ht="12.75" customHeight="1" x14ac:dyDescent="0.2">
      <c r="A472" s="6" t="s">
        <v>150</v>
      </c>
      <c r="B472" s="6" t="s">
        <v>15</v>
      </c>
      <c r="C472" s="7">
        <v>156974</v>
      </c>
      <c r="D472" s="8">
        <v>88896</v>
      </c>
      <c r="E472" s="9" t="s">
        <v>7</v>
      </c>
      <c r="F472" s="36">
        <v>208</v>
      </c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ht="12.75" customHeight="1" x14ac:dyDescent="0.2">
      <c r="A473" s="6" t="s">
        <v>154</v>
      </c>
      <c r="B473" s="6" t="s">
        <v>15</v>
      </c>
      <c r="C473" s="7">
        <v>157002</v>
      </c>
      <c r="D473" s="8">
        <v>144338.4</v>
      </c>
      <c r="E473" s="9" t="s">
        <v>7</v>
      </c>
      <c r="F473" s="36">
        <v>208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ht="12.75" customHeight="1" x14ac:dyDescent="0.2">
      <c r="A474" s="6" t="s">
        <v>180</v>
      </c>
      <c r="B474" s="6" t="s">
        <v>15</v>
      </c>
      <c r="C474" s="7">
        <v>157042</v>
      </c>
      <c r="D474" s="8">
        <v>88204.800000000003</v>
      </c>
      <c r="E474" s="9" t="s">
        <v>7</v>
      </c>
      <c r="F474" s="36">
        <v>208</v>
      </c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ht="12.75" customHeight="1" x14ac:dyDescent="0.2">
      <c r="A475" s="6" t="s">
        <v>8</v>
      </c>
      <c r="B475" s="6" t="s">
        <v>15</v>
      </c>
      <c r="C475" s="7">
        <v>157080</v>
      </c>
      <c r="D475" s="8">
        <v>103466.4</v>
      </c>
      <c r="E475" s="9" t="s">
        <v>7</v>
      </c>
      <c r="F475" s="36">
        <v>208</v>
      </c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ht="12.75" customHeight="1" x14ac:dyDescent="0.2">
      <c r="A476" s="6" t="s">
        <v>220</v>
      </c>
      <c r="B476" s="6" t="s">
        <v>15</v>
      </c>
      <c r="C476" s="7">
        <v>157422</v>
      </c>
      <c r="D476" s="8">
        <v>190959.6</v>
      </c>
      <c r="E476" s="9" t="s">
        <v>16</v>
      </c>
      <c r="F476" s="36">
        <v>208</v>
      </c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ht="12.75" customHeight="1" x14ac:dyDescent="0.2">
      <c r="A477" s="6" t="s">
        <v>213</v>
      </c>
      <c r="B477" s="6" t="s">
        <v>15</v>
      </c>
      <c r="C477" s="7">
        <v>157460</v>
      </c>
      <c r="D477" s="8">
        <v>94538.4</v>
      </c>
      <c r="E477" s="9" t="s">
        <v>16</v>
      </c>
      <c r="F477" s="36">
        <v>208</v>
      </c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ht="12.75" customHeight="1" x14ac:dyDescent="0.2">
      <c r="A478" s="6" t="s">
        <v>222</v>
      </c>
      <c r="B478" s="6" t="s">
        <v>15</v>
      </c>
      <c r="C478" s="7">
        <v>157478</v>
      </c>
      <c r="D478" s="8">
        <v>244257.59999999998</v>
      </c>
      <c r="E478" s="9" t="s">
        <v>16</v>
      </c>
      <c r="F478" s="36">
        <v>208</v>
      </c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ht="12.75" customHeight="1" x14ac:dyDescent="0.2">
      <c r="A479" s="6" t="s">
        <v>223</v>
      </c>
      <c r="B479" s="6" t="s">
        <v>15</v>
      </c>
      <c r="C479" s="7">
        <v>157530</v>
      </c>
      <c r="D479" s="8">
        <v>273061.2</v>
      </c>
      <c r="E479" s="9" t="s">
        <v>16</v>
      </c>
      <c r="F479" s="36">
        <v>208</v>
      </c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ht="12.75" customHeight="1" x14ac:dyDescent="0.2">
      <c r="A480" s="6" t="s">
        <v>227</v>
      </c>
      <c r="B480" s="6" t="s">
        <v>15</v>
      </c>
      <c r="C480" s="7">
        <v>157813</v>
      </c>
      <c r="D480" s="8">
        <v>172893.6</v>
      </c>
      <c r="E480" s="9" t="s">
        <v>16</v>
      </c>
      <c r="F480" s="36">
        <v>208</v>
      </c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ht="12.75" customHeight="1" x14ac:dyDescent="0.2">
      <c r="A481" s="6" t="s">
        <v>228</v>
      </c>
      <c r="B481" s="6" t="s">
        <v>15</v>
      </c>
      <c r="C481" s="7">
        <v>158487</v>
      </c>
      <c r="D481" s="8">
        <v>119670</v>
      </c>
      <c r="E481" s="9" t="s">
        <v>7</v>
      </c>
      <c r="F481" s="36">
        <v>208</v>
      </c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ht="12.75" customHeight="1" x14ac:dyDescent="0.2">
      <c r="A482" s="6" t="s">
        <v>229</v>
      </c>
      <c r="B482" s="6" t="s">
        <v>15</v>
      </c>
      <c r="C482" s="7">
        <v>158852</v>
      </c>
      <c r="D482" s="8">
        <v>126596.4</v>
      </c>
      <c r="E482" s="9" t="s">
        <v>16</v>
      </c>
      <c r="F482" s="36">
        <v>208</v>
      </c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ht="12.75" customHeight="1" x14ac:dyDescent="0.2">
      <c r="A483" s="6" t="s">
        <v>230</v>
      </c>
      <c r="B483" s="6" t="s">
        <v>15</v>
      </c>
      <c r="C483" s="7">
        <v>158853</v>
      </c>
      <c r="D483" s="8">
        <v>120110.39999999999</v>
      </c>
      <c r="E483" s="9" t="s">
        <v>16</v>
      </c>
      <c r="F483" s="36">
        <v>208</v>
      </c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ht="12.75" customHeight="1" x14ac:dyDescent="0.2">
      <c r="A484" s="6" t="s">
        <v>231</v>
      </c>
      <c r="B484" s="6" t="s">
        <v>15</v>
      </c>
      <c r="C484" s="7">
        <v>158854</v>
      </c>
      <c r="D484" s="8">
        <v>121719.59999999999</v>
      </c>
      <c r="E484" s="9" t="s">
        <v>16</v>
      </c>
      <c r="F484" s="36">
        <v>208</v>
      </c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ht="12.75" customHeight="1" x14ac:dyDescent="0.2">
      <c r="A485" s="6" t="s">
        <v>232</v>
      </c>
      <c r="B485" s="6" t="s">
        <v>15</v>
      </c>
      <c r="C485" s="7">
        <v>159212</v>
      </c>
      <c r="D485" s="8">
        <v>87855.599999999991</v>
      </c>
      <c r="E485" s="9" t="s">
        <v>16</v>
      </c>
      <c r="F485" s="36">
        <v>208</v>
      </c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ht="12.75" customHeight="1" x14ac:dyDescent="0.2">
      <c r="A486" s="6" t="s">
        <v>233</v>
      </c>
      <c r="B486" s="6" t="s">
        <v>15</v>
      </c>
      <c r="C486" s="7">
        <v>160289</v>
      </c>
      <c r="D486" s="8">
        <v>103153.2</v>
      </c>
      <c r="E486" s="9" t="s">
        <v>16</v>
      </c>
      <c r="F486" s="36">
        <v>208</v>
      </c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ht="12.75" customHeight="1" x14ac:dyDescent="0.2">
      <c r="A487" s="6" t="s">
        <v>234</v>
      </c>
      <c r="B487" s="6" t="s">
        <v>15</v>
      </c>
      <c r="C487" s="7">
        <v>160664</v>
      </c>
      <c r="D487" s="8">
        <v>233797.19999999998</v>
      </c>
      <c r="E487" s="9" t="s">
        <v>16</v>
      </c>
      <c r="F487" s="36">
        <v>208</v>
      </c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ht="12.75" customHeight="1" x14ac:dyDescent="0.2">
      <c r="A488" s="6" t="s">
        <v>235</v>
      </c>
      <c r="B488" s="6" t="s">
        <v>15</v>
      </c>
      <c r="C488" s="7">
        <v>160694</v>
      </c>
      <c r="D488" s="8">
        <v>124051.2</v>
      </c>
      <c r="E488" s="9" t="s">
        <v>16</v>
      </c>
      <c r="F488" s="36">
        <v>208</v>
      </c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ht="12.75" customHeight="1" x14ac:dyDescent="0.2">
      <c r="A489" s="6" t="s">
        <v>237</v>
      </c>
      <c r="B489" s="6" t="s">
        <v>15</v>
      </c>
      <c r="C489" s="7">
        <v>160783</v>
      </c>
      <c r="D489" s="8">
        <v>112963.2</v>
      </c>
      <c r="E489" s="9" t="s">
        <v>16</v>
      </c>
      <c r="F489" s="36">
        <v>208</v>
      </c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ht="12.75" customHeight="1" x14ac:dyDescent="0.2">
      <c r="A490" s="6" t="s">
        <v>241</v>
      </c>
      <c r="B490" s="6" t="s">
        <v>15</v>
      </c>
      <c r="C490" s="7">
        <v>161408</v>
      </c>
      <c r="D490" s="8">
        <v>90786</v>
      </c>
      <c r="E490" s="9" t="s">
        <v>16</v>
      </c>
      <c r="F490" s="36">
        <v>208</v>
      </c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ht="12.75" customHeight="1" x14ac:dyDescent="0.2">
      <c r="A491" s="6" t="s">
        <v>243</v>
      </c>
      <c r="B491" s="6" t="s">
        <v>15</v>
      </c>
      <c r="C491" s="7">
        <v>162117</v>
      </c>
      <c r="D491" s="8">
        <v>91472.4</v>
      </c>
      <c r="E491" s="9" t="s">
        <v>16</v>
      </c>
      <c r="F491" s="36">
        <v>208</v>
      </c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ht="12.75" customHeight="1" x14ac:dyDescent="0.2">
      <c r="A492" s="6" t="s">
        <v>244</v>
      </c>
      <c r="B492" s="6" t="s">
        <v>15</v>
      </c>
      <c r="C492" s="7">
        <v>162119</v>
      </c>
      <c r="D492" s="8">
        <v>91596</v>
      </c>
      <c r="E492" s="9" t="s">
        <v>16</v>
      </c>
      <c r="F492" s="36">
        <v>208</v>
      </c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ht="12.75" customHeight="1" x14ac:dyDescent="0.2">
      <c r="A493" s="6" t="s">
        <v>245</v>
      </c>
      <c r="B493" s="6" t="s">
        <v>15</v>
      </c>
      <c r="C493" s="7">
        <v>162121</v>
      </c>
      <c r="D493" s="8">
        <v>97206</v>
      </c>
      <c r="E493" s="9" t="s">
        <v>16</v>
      </c>
      <c r="F493" s="36">
        <v>208</v>
      </c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ht="12.75" customHeight="1" x14ac:dyDescent="0.2">
      <c r="A494" s="6" t="s">
        <v>246</v>
      </c>
      <c r="B494" s="6" t="s">
        <v>15</v>
      </c>
      <c r="C494" s="7">
        <v>162124</v>
      </c>
      <c r="D494" s="8">
        <v>99402</v>
      </c>
      <c r="E494" s="9" t="s">
        <v>16</v>
      </c>
      <c r="F494" s="36">
        <v>208</v>
      </c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ht="12.75" customHeight="1" x14ac:dyDescent="0.2">
      <c r="A495" s="6" t="s">
        <v>247</v>
      </c>
      <c r="B495" s="6" t="s">
        <v>15</v>
      </c>
      <c r="C495" s="7">
        <v>162126</v>
      </c>
      <c r="D495" s="8">
        <v>112923.59999999999</v>
      </c>
      <c r="E495" s="9" t="s">
        <v>16</v>
      </c>
      <c r="F495" s="36">
        <v>208</v>
      </c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ht="12.75" customHeight="1" x14ac:dyDescent="0.2">
      <c r="A496" s="6" t="s">
        <v>249</v>
      </c>
      <c r="B496" s="6" t="s">
        <v>15</v>
      </c>
      <c r="C496" s="7">
        <v>163822</v>
      </c>
      <c r="D496" s="8">
        <v>131258.4</v>
      </c>
      <c r="E496" s="9" t="s">
        <v>16</v>
      </c>
      <c r="F496" s="36">
        <v>208</v>
      </c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ht="12.75" customHeight="1" x14ac:dyDescent="0.2">
      <c r="A497" s="6" t="s">
        <v>250</v>
      </c>
      <c r="B497" s="6" t="s">
        <v>15</v>
      </c>
      <c r="C497" s="7">
        <v>164389</v>
      </c>
      <c r="D497" s="8">
        <v>161091.6</v>
      </c>
      <c r="E497" s="9" t="s">
        <v>16</v>
      </c>
      <c r="F497" s="36">
        <v>208</v>
      </c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ht="12.75" customHeight="1" x14ac:dyDescent="0.2">
      <c r="A498" s="6" t="s">
        <v>134</v>
      </c>
      <c r="B498" s="6" t="s">
        <v>15</v>
      </c>
      <c r="C498" s="7">
        <v>164510</v>
      </c>
      <c r="D498" s="8">
        <v>111142.8</v>
      </c>
      <c r="E498" s="9" t="s">
        <v>16</v>
      </c>
      <c r="F498" s="36">
        <v>208</v>
      </c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ht="12.75" customHeight="1" x14ac:dyDescent="0.2">
      <c r="A499" s="6" t="s">
        <v>251</v>
      </c>
      <c r="B499" s="6" t="s">
        <v>15</v>
      </c>
      <c r="C499" s="7">
        <v>164570</v>
      </c>
      <c r="D499" s="8">
        <v>105410.4</v>
      </c>
      <c r="E499" s="9" t="s">
        <v>16</v>
      </c>
      <c r="F499" s="36">
        <v>208</v>
      </c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ht="12.75" customHeight="1" x14ac:dyDescent="0.2">
      <c r="A500" s="6" t="s">
        <v>253</v>
      </c>
      <c r="B500" s="6" t="s">
        <v>15</v>
      </c>
      <c r="C500" s="7">
        <v>164607</v>
      </c>
      <c r="D500" s="8">
        <v>82312.800000000003</v>
      </c>
      <c r="E500" s="9" t="s">
        <v>16</v>
      </c>
      <c r="F500" s="36">
        <v>208</v>
      </c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ht="12.75" customHeight="1" x14ac:dyDescent="0.2">
      <c r="A501" s="6" t="s">
        <v>255</v>
      </c>
      <c r="B501" s="6" t="s">
        <v>15</v>
      </c>
      <c r="C501" s="7">
        <v>164840</v>
      </c>
      <c r="D501" s="8">
        <v>144367.19999999998</v>
      </c>
      <c r="E501" s="9" t="s">
        <v>16</v>
      </c>
      <c r="F501" s="36">
        <v>208</v>
      </c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ht="12.75" customHeight="1" x14ac:dyDescent="0.2">
      <c r="A502" s="6" t="s">
        <v>257</v>
      </c>
      <c r="B502" s="6" t="s">
        <v>15</v>
      </c>
      <c r="C502" s="7">
        <v>166131</v>
      </c>
      <c r="D502" s="8">
        <v>196524</v>
      </c>
      <c r="E502" s="9" t="s">
        <v>16</v>
      </c>
      <c r="F502" s="36">
        <v>208</v>
      </c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ht="12.75" customHeight="1" x14ac:dyDescent="0.2">
      <c r="A503" s="6" t="s">
        <v>259</v>
      </c>
      <c r="B503" s="6" t="s">
        <v>15</v>
      </c>
      <c r="C503" s="7">
        <v>167295</v>
      </c>
      <c r="D503" s="8">
        <v>88204.800000000003</v>
      </c>
      <c r="E503" s="9" t="s">
        <v>16</v>
      </c>
      <c r="F503" s="36">
        <v>208</v>
      </c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ht="12.75" customHeight="1" x14ac:dyDescent="0.2">
      <c r="A504" s="6" t="s">
        <v>260</v>
      </c>
      <c r="B504" s="6" t="s">
        <v>15</v>
      </c>
      <c r="C504" s="7">
        <v>167654</v>
      </c>
      <c r="D504" s="8">
        <v>113540.4</v>
      </c>
      <c r="E504" s="9" t="s">
        <v>7</v>
      </c>
      <c r="F504" s="36">
        <v>208</v>
      </c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ht="12.75" customHeight="1" x14ac:dyDescent="0.2">
      <c r="A505" s="6" t="s">
        <v>262</v>
      </c>
      <c r="B505" s="6" t="s">
        <v>15</v>
      </c>
      <c r="C505" s="7">
        <v>168517</v>
      </c>
      <c r="D505" s="8">
        <v>117505.2</v>
      </c>
      <c r="E505" s="9" t="s">
        <v>16</v>
      </c>
      <c r="F505" s="36">
        <v>208</v>
      </c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ht="12.75" customHeight="1" x14ac:dyDescent="0.2">
      <c r="A506" s="6" t="s">
        <v>263</v>
      </c>
      <c r="B506" s="6" t="s">
        <v>15</v>
      </c>
      <c r="C506" s="7">
        <v>168522</v>
      </c>
      <c r="D506" s="8">
        <v>107286</v>
      </c>
      <c r="E506" s="9" t="s">
        <v>16</v>
      </c>
      <c r="F506" s="36">
        <v>208</v>
      </c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ht="12.75" customHeight="1" x14ac:dyDescent="0.2">
      <c r="A507" s="6" t="s">
        <v>264</v>
      </c>
      <c r="B507" s="6" t="s">
        <v>15</v>
      </c>
      <c r="C507" s="7">
        <v>168818</v>
      </c>
      <c r="D507" s="8">
        <v>96772.800000000003</v>
      </c>
      <c r="E507" s="9" t="s">
        <v>16</v>
      </c>
      <c r="F507" s="36">
        <v>208</v>
      </c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ht="12.75" customHeight="1" x14ac:dyDescent="0.2">
      <c r="A508" s="6" t="s">
        <v>265</v>
      </c>
      <c r="B508" s="6" t="s">
        <v>15</v>
      </c>
      <c r="C508" s="7">
        <v>170294</v>
      </c>
      <c r="D508" s="8">
        <v>85966.8</v>
      </c>
      <c r="E508" s="9" t="s">
        <v>16</v>
      </c>
      <c r="F508" s="36">
        <v>208</v>
      </c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ht="12.75" customHeight="1" x14ac:dyDescent="0.2">
      <c r="A509" s="6" t="s">
        <v>266</v>
      </c>
      <c r="B509" s="6" t="s">
        <v>15</v>
      </c>
      <c r="C509" s="7">
        <v>170304</v>
      </c>
      <c r="D509" s="8">
        <v>144770.4</v>
      </c>
      <c r="E509" s="9" t="s">
        <v>16</v>
      </c>
      <c r="F509" s="36">
        <v>208</v>
      </c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ht="12.75" customHeight="1" x14ac:dyDescent="0.2">
      <c r="A510" s="6" t="s">
        <v>268</v>
      </c>
      <c r="B510" s="6" t="s">
        <v>15</v>
      </c>
      <c r="C510" s="7">
        <v>170748</v>
      </c>
      <c r="D510" s="8">
        <v>122998.79999999999</v>
      </c>
      <c r="E510" s="9" t="s">
        <v>16</v>
      </c>
      <c r="F510" s="36">
        <v>208</v>
      </c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ht="12.75" customHeight="1" x14ac:dyDescent="0.2">
      <c r="A511" s="6" t="s">
        <v>269</v>
      </c>
      <c r="B511" s="6" t="s">
        <v>15</v>
      </c>
      <c r="C511" s="7">
        <v>170800</v>
      </c>
      <c r="D511" s="8">
        <v>123904.79999999999</v>
      </c>
      <c r="E511" s="9" t="s">
        <v>16</v>
      </c>
      <c r="F511" s="36">
        <v>208</v>
      </c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ht="12.75" customHeight="1" x14ac:dyDescent="0.2">
      <c r="A512" s="6" t="s">
        <v>271</v>
      </c>
      <c r="B512" s="6" t="s">
        <v>15</v>
      </c>
      <c r="C512" s="7">
        <v>171474</v>
      </c>
      <c r="D512" s="8">
        <v>97448.4</v>
      </c>
      <c r="E512" s="9" t="s">
        <v>16</v>
      </c>
      <c r="F512" s="36">
        <v>208</v>
      </c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ht="12.75" customHeight="1" x14ac:dyDescent="0.2">
      <c r="A513" s="6" t="s">
        <v>274</v>
      </c>
      <c r="B513" s="6" t="s">
        <v>15</v>
      </c>
      <c r="C513" s="7">
        <v>174337</v>
      </c>
      <c r="D513" s="8">
        <v>153217.19999999998</v>
      </c>
      <c r="E513" s="9" t="s">
        <v>16</v>
      </c>
      <c r="F513" s="36">
        <v>208</v>
      </c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ht="12.75" customHeight="1" x14ac:dyDescent="0.2">
      <c r="A514" s="6" t="s">
        <v>275</v>
      </c>
      <c r="B514" s="6" t="s">
        <v>15</v>
      </c>
      <c r="C514" s="7">
        <v>174341</v>
      </c>
      <c r="D514" s="8">
        <v>178606.8</v>
      </c>
      <c r="E514" s="9" t="s">
        <v>16</v>
      </c>
      <c r="F514" s="36">
        <v>208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ht="12.75" customHeight="1" x14ac:dyDescent="0.2">
      <c r="A515" s="6" t="s">
        <v>279</v>
      </c>
      <c r="B515" s="6" t="s">
        <v>15</v>
      </c>
      <c r="C515" s="7">
        <v>175404</v>
      </c>
      <c r="D515" s="8">
        <v>207804</v>
      </c>
      <c r="E515" s="9" t="s">
        <v>16</v>
      </c>
      <c r="F515" s="36">
        <v>208</v>
      </c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ht="12.75" customHeight="1" x14ac:dyDescent="0.2">
      <c r="A516" s="6" t="s">
        <v>280</v>
      </c>
      <c r="B516" s="6" t="s">
        <v>15</v>
      </c>
      <c r="C516" s="7">
        <v>176012</v>
      </c>
      <c r="D516" s="8">
        <v>149420.4</v>
      </c>
      <c r="E516" s="9" t="s">
        <v>16</v>
      </c>
      <c r="F516" s="36">
        <v>208</v>
      </c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ht="12.75" customHeight="1" x14ac:dyDescent="0.2">
      <c r="A517" s="6" t="s">
        <v>242</v>
      </c>
      <c r="B517" s="6" t="s">
        <v>15</v>
      </c>
      <c r="C517" s="7">
        <v>176747</v>
      </c>
      <c r="D517" s="8">
        <v>138319.19999999998</v>
      </c>
      <c r="E517" s="9" t="s">
        <v>16</v>
      </c>
      <c r="F517" s="36">
        <v>208</v>
      </c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ht="12.75" customHeight="1" x14ac:dyDescent="0.2">
      <c r="A518" s="6" t="s">
        <v>285</v>
      </c>
      <c r="B518" s="6" t="s">
        <v>15</v>
      </c>
      <c r="C518" s="7">
        <v>180858</v>
      </c>
      <c r="D518" s="8">
        <v>128910</v>
      </c>
      <c r="E518" s="9" t="s">
        <v>16</v>
      </c>
      <c r="F518" s="36">
        <v>208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ht="12.75" customHeight="1" x14ac:dyDescent="0.2">
      <c r="A519" s="6" t="s">
        <v>287</v>
      </c>
      <c r="B519" s="6" t="s">
        <v>15</v>
      </c>
      <c r="C519" s="7">
        <v>180968</v>
      </c>
      <c r="D519" s="8">
        <v>112894.8</v>
      </c>
      <c r="E519" s="9" t="s">
        <v>16</v>
      </c>
      <c r="F519" s="36">
        <v>208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ht="12.75" customHeight="1" x14ac:dyDescent="0.2">
      <c r="A520" s="6" t="s">
        <v>286</v>
      </c>
      <c r="B520" s="6" t="s">
        <v>15</v>
      </c>
      <c r="C520" s="7">
        <v>181740</v>
      </c>
      <c r="D520" s="8">
        <v>437209.2</v>
      </c>
      <c r="E520" s="9" t="s">
        <v>16</v>
      </c>
      <c r="F520" s="36">
        <v>208</v>
      </c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ht="12.75" customHeight="1" x14ac:dyDescent="0.2">
      <c r="A521" s="6" t="s">
        <v>288</v>
      </c>
      <c r="B521" s="6" t="s">
        <v>15</v>
      </c>
      <c r="C521" s="7">
        <v>182021</v>
      </c>
      <c r="D521" s="8">
        <v>95552.4</v>
      </c>
      <c r="E521" s="9" t="s">
        <v>16</v>
      </c>
      <c r="F521" s="36">
        <v>208</v>
      </c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ht="12.75" customHeight="1" x14ac:dyDescent="0.2">
      <c r="A522" s="6" t="s">
        <v>292</v>
      </c>
      <c r="B522" s="6" t="s">
        <v>15</v>
      </c>
      <c r="C522" s="7">
        <v>183126</v>
      </c>
      <c r="D522" s="8">
        <v>113684.4</v>
      </c>
      <c r="E522" s="9" t="s">
        <v>7</v>
      </c>
      <c r="F522" s="36">
        <v>208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ht="12.75" customHeight="1" x14ac:dyDescent="0.2">
      <c r="A523" s="6" t="s">
        <v>293</v>
      </c>
      <c r="B523" s="6" t="s">
        <v>15</v>
      </c>
      <c r="C523" s="7">
        <v>183134</v>
      </c>
      <c r="D523" s="8">
        <v>132944.4</v>
      </c>
      <c r="E523" s="9" t="s">
        <v>7</v>
      </c>
      <c r="F523" s="36">
        <v>208</v>
      </c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ht="12.75" customHeight="1" x14ac:dyDescent="0.2">
      <c r="A524" s="6" t="s">
        <v>294</v>
      </c>
      <c r="B524" s="6" t="s">
        <v>15</v>
      </c>
      <c r="C524" s="7">
        <v>183135</v>
      </c>
      <c r="D524" s="8">
        <v>139063.19999999998</v>
      </c>
      <c r="E524" s="9" t="s">
        <v>16</v>
      </c>
      <c r="F524" s="36">
        <v>208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ht="12.75" customHeight="1" x14ac:dyDescent="0.2">
      <c r="A525" s="6" t="s">
        <v>295</v>
      </c>
      <c r="B525" s="6" t="s">
        <v>15</v>
      </c>
      <c r="C525" s="7">
        <v>183267</v>
      </c>
      <c r="D525" s="8">
        <v>104706</v>
      </c>
      <c r="E525" s="9" t="s">
        <v>7</v>
      </c>
      <c r="F525" s="36">
        <v>208</v>
      </c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ht="12.75" customHeight="1" x14ac:dyDescent="0.2">
      <c r="A526" s="6" t="s">
        <v>296</v>
      </c>
      <c r="B526" s="6" t="s">
        <v>15</v>
      </c>
      <c r="C526" s="7">
        <v>183269</v>
      </c>
      <c r="D526" s="8">
        <v>127401.59999999999</v>
      </c>
      <c r="E526" s="9" t="s">
        <v>7</v>
      </c>
      <c r="F526" s="36">
        <v>208</v>
      </c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ht="12.75" customHeight="1" x14ac:dyDescent="0.2">
      <c r="A527" s="6" t="s">
        <v>297</v>
      </c>
      <c r="B527" s="6" t="s">
        <v>15</v>
      </c>
      <c r="C527" s="7">
        <v>183295</v>
      </c>
      <c r="D527" s="8">
        <v>101251.2</v>
      </c>
      <c r="E527" s="9" t="s">
        <v>7</v>
      </c>
      <c r="F527" s="36">
        <v>208</v>
      </c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ht="12.75" customHeight="1" x14ac:dyDescent="0.2">
      <c r="A528" s="6" t="s">
        <v>298</v>
      </c>
      <c r="B528" s="6" t="s">
        <v>15</v>
      </c>
      <c r="C528" s="7">
        <v>183302</v>
      </c>
      <c r="D528" s="8">
        <v>104031.59999999999</v>
      </c>
      <c r="E528" s="9" t="s">
        <v>7</v>
      </c>
      <c r="F528" s="36">
        <v>208</v>
      </c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ht="12.75" customHeight="1" x14ac:dyDescent="0.2">
      <c r="A529" s="6" t="s">
        <v>300</v>
      </c>
      <c r="B529" s="6" t="s">
        <v>15</v>
      </c>
      <c r="C529" s="7">
        <v>183314</v>
      </c>
      <c r="D529" s="8">
        <v>90484.800000000003</v>
      </c>
      <c r="E529" s="9" t="s">
        <v>7</v>
      </c>
      <c r="F529" s="36">
        <v>208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ht="12.75" customHeight="1" x14ac:dyDescent="0.2">
      <c r="A530" s="6" t="s">
        <v>301</v>
      </c>
      <c r="B530" s="6" t="s">
        <v>15</v>
      </c>
      <c r="C530" s="7">
        <v>183333</v>
      </c>
      <c r="D530" s="8">
        <v>102675.59999999999</v>
      </c>
      <c r="E530" s="9" t="s">
        <v>7</v>
      </c>
      <c r="F530" s="36">
        <v>208</v>
      </c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ht="12.75" customHeight="1" x14ac:dyDescent="0.2">
      <c r="A531" s="6" t="s">
        <v>302</v>
      </c>
      <c r="B531" s="6" t="s">
        <v>15</v>
      </c>
      <c r="C531" s="7">
        <v>183630</v>
      </c>
      <c r="D531" s="8">
        <v>99517.2</v>
      </c>
      <c r="E531" s="9" t="s">
        <v>16</v>
      </c>
      <c r="F531" s="36">
        <v>208</v>
      </c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ht="12.75" customHeight="1" x14ac:dyDescent="0.2">
      <c r="A532" s="6" t="s">
        <v>125</v>
      </c>
      <c r="B532" s="6" t="s">
        <v>15</v>
      </c>
      <c r="C532" s="7">
        <v>183656</v>
      </c>
      <c r="D532" s="8">
        <v>227733.6</v>
      </c>
      <c r="E532" s="9" t="s">
        <v>16</v>
      </c>
      <c r="F532" s="36">
        <v>208</v>
      </c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ht="12.75" customHeight="1" x14ac:dyDescent="0.2">
      <c r="A533" s="6" t="s">
        <v>308</v>
      </c>
      <c r="B533" s="6" t="s">
        <v>15</v>
      </c>
      <c r="C533" s="7">
        <v>186857</v>
      </c>
      <c r="D533" s="8">
        <v>211746</v>
      </c>
      <c r="E533" s="9" t="s">
        <v>16</v>
      </c>
      <c r="F533" s="36">
        <v>208</v>
      </c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ht="12.75" customHeight="1" x14ac:dyDescent="0.2">
      <c r="A534" s="6" t="s">
        <v>309</v>
      </c>
      <c r="B534" s="6" t="s">
        <v>15</v>
      </c>
      <c r="C534" s="7">
        <v>186930</v>
      </c>
      <c r="D534" s="8">
        <v>170398.8</v>
      </c>
      <c r="E534" s="9" t="s">
        <v>16</v>
      </c>
      <c r="F534" s="36">
        <v>208</v>
      </c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ht="12.75" customHeight="1" x14ac:dyDescent="0.2">
      <c r="A535" s="6" t="s">
        <v>261</v>
      </c>
      <c r="B535" s="6" t="s">
        <v>15</v>
      </c>
      <c r="C535" s="7">
        <v>187926</v>
      </c>
      <c r="D535" s="8">
        <v>133310.39999999999</v>
      </c>
      <c r="E535" s="9" t="s">
        <v>16</v>
      </c>
      <c r="F535" s="36">
        <v>208</v>
      </c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ht="12.75" customHeight="1" x14ac:dyDescent="0.2">
      <c r="A536" s="6" t="s">
        <v>317</v>
      </c>
      <c r="B536" s="6" t="s">
        <v>15</v>
      </c>
      <c r="C536" s="7">
        <v>188256</v>
      </c>
      <c r="D536" s="8">
        <v>96510</v>
      </c>
      <c r="E536" s="9" t="s">
        <v>16</v>
      </c>
      <c r="F536" s="36">
        <v>208</v>
      </c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ht="12.75" customHeight="1" x14ac:dyDescent="0.2">
      <c r="A537" s="6" t="s">
        <v>318</v>
      </c>
      <c r="B537" s="6" t="s">
        <v>15</v>
      </c>
      <c r="C537" s="7">
        <v>188328</v>
      </c>
      <c r="D537" s="8">
        <v>112942.8</v>
      </c>
      <c r="E537" s="9" t="s">
        <v>16</v>
      </c>
      <c r="F537" s="36">
        <v>208</v>
      </c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ht="12.75" customHeight="1" x14ac:dyDescent="0.2">
      <c r="A538" s="6" t="s">
        <v>323</v>
      </c>
      <c r="B538" s="6" t="s">
        <v>15</v>
      </c>
      <c r="C538" s="7">
        <v>189237</v>
      </c>
      <c r="D538" s="8">
        <v>97605.599999999991</v>
      </c>
      <c r="E538" s="9" t="s">
        <v>16</v>
      </c>
      <c r="F538" s="36">
        <v>208</v>
      </c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ht="12.75" customHeight="1" x14ac:dyDescent="0.2">
      <c r="A539" s="6" t="s">
        <v>324</v>
      </c>
      <c r="B539" s="6" t="s">
        <v>15</v>
      </c>
      <c r="C539" s="7">
        <v>189339</v>
      </c>
      <c r="D539" s="8">
        <v>316923.59999999998</v>
      </c>
      <c r="E539" s="9" t="s">
        <v>16</v>
      </c>
      <c r="F539" s="36">
        <v>208</v>
      </c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ht="12.75" customHeight="1" x14ac:dyDescent="0.2">
      <c r="A540" s="6" t="s">
        <v>325</v>
      </c>
      <c r="B540" s="6" t="s">
        <v>15</v>
      </c>
      <c r="C540" s="7">
        <v>189490</v>
      </c>
      <c r="D540" s="8">
        <v>104635.2</v>
      </c>
      <c r="E540" s="9" t="s">
        <v>16</v>
      </c>
      <c r="F540" s="36">
        <v>208</v>
      </c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ht="12.75" customHeight="1" x14ac:dyDescent="0.2">
      <c r="A541" s="6" t="s">
        <v>326</v>
      </c>
      <c r="B541" s="6" t="s">
        <v>15</v>
      </c>
      <c r="C541" s="7">
        <v>189707</v>
      </c>
      <c r="D541" s="8">
        <v>93052.800000000003</v>
      </c>
      <c r="E541" s="9" t="s">
        <v>16</v>
      </c>
      <c r="F541" s="36">
        <v>208</v>
      </c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ht="12.75" customHeight="1" x14ac:dyDescent="0.2">
      <c r="A542" s="6" t="s">
        <v>327</v>
      </c>
      <c r="B542" s="6" t="s">
        <v>15</v>
      </c>
      <c r="C542" s="7">
        <v>190484</v>
      </c>
      <c r="D542" s="8">
        <v>198295.19999999998</v>
      </c>
      <c r="E542" s="9" t="s">
        <v>16</v>
      </c>
      <c r="F542" s="36">
        <v>208</v>
      </c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ht="12.75" customHeight="1" x14ac:dyDescent="0.2">
      <c r="A543" s="6" t="s">
        <v>328</v>
      </c>
      <c r="B543" s="6" t="s">
        <v>15</v>
      </c>
      <c r="C543" s="7">
        <v>190487</v>
      </c>
      <c r="D543" s="8">
        <v>222411.6</v>
      </c>
      <c r="E543" s="9" t="s">
        <v>16</v>
      </c>
      <c r="F543" s="36">
        <v>208</v>
      </c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ht="12.75" customHeight="1" x14ac:dyDescent="0.2">
      <c r="A544" s="6" t="s">
        <v>331</v>
      </c>
      <c r="B544" s="6" t="s">
        <v>15</v>
      </c>
      <c r="C544" s="7">
        <v>190504</v>
      </c>
      <c r="D544" s="8">
        <v>128354.4</v>
      </c>
      <c r="E544" s="9" t="s">
        <v>16</v>
      </c>
      <c r="F544" s="36">
        <v>208</v>
      </c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ht="12.75" customHeight="1" x14ac:dyDescent="0.2">
      <c r="A545" s="6" t="s">
        <v>332</v>
      </c>
      <c r="B545" s="6" t="s">
        <v>15</v>
      </c>
      <c r="C545" s="7">
        <v>190508</v>
      </c>
      <c r="D545" s="8">
        <v>122589.59999999999</v>
      </c>
      <c r="E545" s="9" t="s">
        <v>16</v>
      </c>
      <c r="F545" s="36">
        <v>208</v>
      </c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ht="12.75" customHeight="1" x14ac:dyDescent="0.2">
      <c r="A546" s="6" t="s">
        <v>333</v>
      </c>
      <c r="B546" s="6" t="s">
        <v>15</v>
      </c>
      <c r="C546" s="7">
        <v>190541</v>
      </c>
      <c r="D546" s="8">
        <v>232528.8</v>
      </c>
      <c r="E546" s="9" t="s">
        <v>16</v>
      </c>
      <c r="F546" s="36">
        <v>208</v>
      </c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ht="12.75" customHeight="1" x14ac:dyDescent="0.2">
      <c r="A547" s="6" t="s">
        <v>334</v>
      </c>
      <c r="B547" s="6" t="s">
        <v>15</v>
      </c>
      <c r="C547" s="7">
        <v>190544</v>
      </c>
      <c r="D547" s="8">
        <v>254570.4</v>
      </c>
      <c r="E547" s="9" t="s">
        <v>16</v>
      </c>
      <c r="F547" s="36">
        <v>208</v>
      </c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ht="12.75" customHeight="1" x14ac:dyDescent="0.2">
      <c r="A548" s="6" t="s">
        <v>335</v>
      </c>
      <c r="B548" s="6" t="s">
        <v>15</v>
      </c>
      <c r="C548" s="7">
        <v>190547</v>
      </c>
      <c r="D548" s="8">
        <v>122752.79999999999</v>
      </c>
      <c r="E548" s="9" t="s">
        <v>16</v>
      </c>
      <c r="F548" s="36">
        <v>208</v>
      </c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ht="12.75" customHeight="1" x14ac:dyDescent="0.2">
      <c r="A549" s="6" t="s">
        <v>336</v>
      </c>
      <c r="B549" s="6" t="s">
        <v>15</v>
      </c>
      <c r="C549" s="7">
        <v>190551</v>
      </c>
      <c r="D549" s="8">
        <v>123138</v>
      </c>
      <c r="E549" s="9" t="s">
        <v>16</v>
      </c>
      <c r="F549" s="36">
        <v>208</v>
      </c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ht="12.75" customHeight="1" x14ac:dyDescent="0.2">
      <c r="A550" s="6" t="s">
        <v>337</v>
      </c>
      <c r="B550" s="6" t="s">
        <v>15</v>
      </c>
      <c r="C550" s="7">
        <v>190573</v>
      </c>
      <c r="D550" s="8">
        <v>97706.4</v>
      </c>
      <c r="E550" s="9" t="s">
        <v>16</v>
      </c>
      <c r="F550" s="36">
        <v>208</v>
      </c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ht="12.75" customHeight="1" x14ac:dyDescent="0.2">
      <c r="A551" s="6" t="s">
        <v>338</v>
      </c>
      <c r="B551" s="6" t="s">
        <v>15</v>
      </c>
      <c r="C551" s="7">
        <v>190575</v>
      </c>
      <c r="D551" s="8">
        <v>155341.19999999998</v>
      </c>
      <c r="E551" s="9" t="s">
        <v>16</v>
      </c>
      <c r="F551" s="36">
        <v>208</v>
      </c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ht="12.75" customHeight="1" x14ac:dyDescent="0.2">
      <c r="A552" s="6" t="s">
        <v>339</v>
      </c>
      <c r="B552" s="6" t="s">
        <v>15</v>
      </c>
      <c r="C552" s="7">
        <v>190579</v>
      </c>
      <c r="D552" s="8">
        <v>154732.79999999999</v>
      </c>
      <c r="E552" s="9" t="s">
        <v>16</v>
      </c>
      <c r="F552" s="36">
        <v>208</v>
      </c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ht="12.75" customHeight="1" x14ac:dyDescent="0.2">
      <c r="A553" s="6" t="s">
        <v>340</v>
      </c>
      <c r="B553" s="6" t="s">
        <v>15</v>
      </c>
      <c r="C553" s="7">
        <v>190582</v>
      </c>
      <c r="D553" s="8">
        <v>157200</v>
      </c>
      <c r="E553" s="9" t="s">
        <v>16</v>
      </c>
      <c r="F553" s="36">
        <v>208</v>
      </c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ht="12.75" customHeight="1" x14ac:dyDescent="0.2">
      <c r="A554" s="6" t="s">
        <v>341</v>
      </c>
      <c r="B554" s="6" t="s">
        <v>15</v>
      </c>
      <c r="C554" s="7">
        <v>190585</v>
      </c>
      <c r="D554" s="8">
        <v>159618</v>
      </c>
      <c r="E554" s="9" t="s">
        <v>16</v>
      </c>
      <c r="F554" s="36">
        <v>208</v>
      </c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ht="12.75" customHeight="1" x14ac:dyDescent="0.2">
      <c r="A555" s="6" t="s">
        <v>344</v>
      </c>
      <c r="B555" s="6" t="s">
        <v>15</v>
      </c>
      <c r="C555" s="7">
        <v>190593</v>
      </c>
      <c r="D555" s="8">
        <v>264770.39999999997</v>
      </c>
      <c r="E555" s="9" t="s">
        <v>16</v>
      </c>
      <c r="F555" s="36">
        <v>208</v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ht="12.75" customHeight="1" x14ac:dyDescent="0.2">
      <c r="A556" s="6" t="s">
        <v>345</v>
      </c>
      <c r="B556" s="6" t="s">
        <v>15</v>
      </c>
      <c r="C556" s="7">
        <v>190595</v>
      </c>
      <c r="D556" s="8">
        <v>290887.2</v>
      </c>
      <c r="E556" s="9" t="s">
        <v>16</v>
      </c>
      <c r="F556" s="36">
        <v>208</v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ht="12.75" customHeight="1" x14ac:dyDescent="0.2">
      <c r="A557" s="6" t="s">
        <v>346</v>
      </c>
      <c r="B557" s="6" t="s">
        <v>15</v>
      </c>
      <c r="C557" s="7">
        <v>190640</v>
      </c>
      <c r="D557" s="8">
        <v>336848.39999999997</v>
      </c>
      <c r="E557" s="9" t="s">
        <v>16</v>
      </c>
      <c r="F557" s="36">
        <v>208</v>
      </c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ht="12.75" customHeight="1" x14ac:dyDescent="0.2">
      <c r="A558" s="6" t="s">
        <v>348</v>
      </c>
      <c r="B558" s="6" t="s">
        <v>15</v>
      </c>
      <c r="C558" s="7">
        <v>190655</v>
      </c>
      <c r="D558" s="8">
        <v>152812.79999999999</v>
      </c>
      <c r="E558" s="9" t="s">
        <v>16</v>
      </c>
      <c r="F558" s="36">
        <v>208</v>
      </c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ht="12.75" customHeight="1" x14ac:dyDescent="0.2">
      <c r="A559" s="6" t="s">
        <v>349</v>
      </c>
      <c r="B559" s="6" t="s">
        <v>15</v>
      </c>
      <c r="C559" s="7">
        <v>193718</v>
      </c>
      <c r="D559" s="8">
        <v>100575.59999999999</v>
      </c>
      <c r="E559" s="9" t="s">
        <v>16</v>
      </c>
      <c r="F559" s="36">
        <v>208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ht="12.75" customHeight="1" x14ac:dyDescent="0.2">
      <c r="A560" s="6" t="s">
        <v>351</v>
      </c>
      <c r="B560" s="6" t="s">
        <v>15</v>
      </c>
      <c r="C560" s="7">
        <v>194216</v>
      </c>
      <c r="D560" s="8">
        <v>197690.4</v>
      </c>
      <c r="E560" s="9" t="s">
        <v>16</v>
      </c>
      <c r="F560" s="36">
        <v>208</v>
      </c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ht="12.75" customHeight="1" x14ac:dyDescent="0.2">
      <c r="A561" s="6" t="s">
        <v>354</v>
      </c>
      <c r="B561" s="6" t="s">
        <v>15</v>
      </c>
      <c r="C561" s="7">
        <v>194773</v>
      </c>
      <c r="D561" s="8">
        <v>79570.8</v>
      </c>
      <c r="E561" s="9" t="s">
        <v>7</v>
      </c>
      <c r="F561" s="36">
        <v>208</v>
      </c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ht="12.75" customHeight="1" x14ac:dyDescent="0.2">
      <c r="A562" s="6" t="s">
        <v>356</v>
      </c>
      <c r="B562" s="6" t="s">
        <v>15</v>
      </c>
      <c r="C562" s="7">
        <v>194782</v>
      </c>
      <c r="D562" s="8">
        <v>118328.4</v>
      </c>
      <c r="E562" s="9" t="s">
        <v>7</v>
      </c>
      <c r="F562" s="36">
        <v>208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ht="12.75" customHeight="1" x14ac:dyDescent="0.2">
      <c r="A563" s="6" t="s">
        <v>359</v>
      </c>
      <c r="B563" s="6" t="s">
        <v>15</v>
      </c>
      <c r="C563" s="7">
        <v>194792</v>
      </c>
      <c r="D563" s="8">
        <v>113257.2</v>
      </c>
      <c r="E563" s="9" t="s">
        <v>7</v>
      </c>
      <c r="F563" s="36">
        <v>208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ht="12.75" customHeight="1" x14ac:dyDescent="0.2">
      <c r="A564" s="6" t="s">
        <v>355</v>
      </c>
      <c r="B564" s="6" t="s">
        <v>15</v>
      </c>
      <c r="C564" s="7">
        <v>194793</v>
      </c>
      <c r="D564" s="8">
        <v>111748.8</v>
      </c>
      <c r="E564" s="9" t="s">
        <v>7</v>
      </c>
      <c r="F564" s="36">
        <v>208</v>
      </c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ht="12.75" customHeight="1" x14ac:dyDescent="0.2">
      <c r="A565" s="6" t="s">
        <v>357</v>
      </c>
      <c r="B565" s="6" t="s">
        <v>15</v>
      </c>
      <c r="C565" s="7">
        <v>194795</v>
      </c>
      <c r="D565" s="8">
        <v>131034</v>
      </c>
      <c r="E565" s="9" t="s">
        <v>7</v>
      </c>
      <c r="F565" s="36">
        <v>208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ht="12.75" customHeight="1" x14ac:dyDescent="0.2">
      <c r="A566" s="6" t="s">
        <v>358</v>
      </c>
      <c r="B566" s="6" t="s">
        <v>15</v>
      </c>
      <c r="C566" s="7">
        <v>194796</v>
      </c>
      <c r="D566" s="8">
        <v>112801.2</v>
      </c>
      <c r="E566" s="9" t="s">
        <v>7</v>
      </c>
      <c r="F566" s="36">
        <v>208</v>
      </c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ht="12.75" customHeight="1" x14ac:dyDescent="0.2">
      <c r="A567" s="6" t="s">
        <v>360</v>
      </c>
      <c r="B567" s="6" t="s">
        <v>15</v>
      </c>
      <c r="C567" s="7">
        <v>194797</v>
      </c>
      <c r="D567" s="8">
        <v>118086</v>
      </c>
      <c r="E567" s="9" t="s">
        <v>7</v>
      </c>
      <c r="F567" s="36">
        <v>208</v>
      </c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ht="12.75" customHeight="1" x14ac:dyDescent="0.2">
      <c r="A568" s="6" t="s">
        <v>361</v>
      </c>
      <c r="B568" s="6" t="s">
        <v>15</v>
      </c>
      <c r="C568" s="7">
        <v>194800</v>
      </c>
      <c r="D568" s="8">
        <v>118903.2</v>
      </c>
      <c r="E568" s="9" t="s">
        <v>7</v>
      </c>
      <c r="F568" s="36">
        <v>208</v>
      </c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ht="12.75" customHeight="1" x14ac:dyDescent="0.2">
      <c r="A569" s="6" t="s">
        <v>362</v>
      </c>
      <c r="B569" s="6" t="s">
        <v>15</v>
      </c>
      <c r="C569" s="7">
        <v>194803</v>
      </c>
      <c r="D569" s="8">
        <v>119971.2</v>
      </c>
      <c r="E569" s="9" t="s">
        <v>7</v>
      </c>
      <c r="F569" s="36">
        <v>208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ht="12.75" customHeight="1" x14ac:dyDescent="0.2">
      <c r="A570" s="6" t="s">
        <v>363</v>
      </c>
      <c r="B570" s="6" t="s">
        <v>15</v>
      </c>
      <c r="C570" s="7">
        <v>194807</v>
      </c>
      <c r="D570" s="8">
        <v>124119.59999999999</v>
      </c>
      <c r="E570" s="9" t="s">
        <v>7</v>
      </c>
      <c r="F570" s="36">
        <v>208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ht="12.75" customHeight="1" x14ac:dyDescent="0.2">
      <c r="A571" s="6" t="s">
        <v>364</v>
      </c>
      <c r="B571" s="6" t="s">
        <v>15</v>
      </c>
      <c r="C571" s="7">
        <v>194811</v>
      </c>
      <c r="D571" s="8">
        <v>115903.2</v>
      </c>
      <c r="E571" s="9" t="s">
        <v>7</v>
      </c>
      <c r="F571" s="36">
        <v>208</v>
      </c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ht="12.75" customHeight="1" x14ac:dyDescent="0.2">
      <c r="A572" s="6" t="s">
        <v>367</v>
      </c>
      <c r="B572" s="6" t="s">
        <v>15</v>
      </c>
      <c r="C572" s="7">
        <v>195024</v>
      </c>
      <c r="D572" s="8">
        <v>141975.6</v>
      </c>
      <c r="E572" s="9" t="s">
        <v>16</v>
      </c>
      <c r="F572" s="36">
        <v>208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ht="12.75" customHeight="1" x14ac:dyDescent="0.2">
      <c r="A573" s="6" t="s">
        <v>368</v>
      </c>
      <c r="B573" s="6" t="s">
        <v>15</v>
      </c>
      <c r="C573" s="7">
        <v>195025</v>
      </c>
      <c r="D573" s="8">
        <v>140846.39999999999</v>
      </c>
      <c r="E573" s="9" t="s">
        <v>7</v>
      </c>
      <c r="F573" s="36">
        <v>208</v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ht="12.75" customHeight="1" x14ac:dyDescent="0.2">
      <c r="A574" s="6" t="s">
        <v>369</v>
      </c>
      <c r="B574" s="6" t="s">
        <v>15</v>
      </c>
      <c r="C574" s="7">
        <v>195415</v>
      </c>
      <c r="D574" s="8">
        <v>140977.19999999998</v>
      </c>
      <c r="E574" s="9" t="s">
        <v>7</v>
      </c>
      <c r="F574" s="36">
        <v>208</v>
      </c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ht="12.75" customHeight="1" x14ac:dyDescent="0.2">
      <c r="A575" s="6" t="s">
        <v>372</v>
      </c>
      <c r="B575" s="6" t="s">
        <v>15</v>
      </c>
      <c r="C575" s="7">
        <v>196327</v>
      </c>
      <c r="D575" s="8">
        <v>104673.59999999999</v>
      </c>
      <c r="E575" s="9" t="s">
        <v>16</v>
      </c>
      <c r="F575" s="36">
        <v>208</v>
      </c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ht="12.75" customHeight="1" x14ac:dyDescent="0.2">
      <c r="A576" s="6" t="s">
        <v>373</v>
      </c>
      <c r="B576" s="6" t="s">
        <v>15</v>
      </c>
      <c r="C576" s="7">
        <v>196473</v>
      </c>
      <c r="D576" s="8">
        <v>109863.59999999999</v>
      </c>
      <c r="E576" s="9" t="s">
        <v>16</v>
      </c>
      <c r="F576" s="36">
        <v>208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ht="12.75" customHeight="1" x14ac:dyDescent="0.2">
      <c r="A577" s="6" t="s">
        <v>377</v>
      </c>
      <c r="B577" s="6" t="s">
        <v>15</v>
      </c>
      <c r="C577" s="7">
        <v>197731</v>
      </c>
      <c r="D577" s="8">
        <v>113688</v>
      </c>
      <c r="E577" s="9" t="s">
        <v>16</v>
      </c>
      <c r="F577" s="36">
        <v>208</v>
      </c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ht="12.75" customHeight="1" x14ac:dyDescent="0.2">
      <c r="A578" s="6" t="s">
        <v>378</v>
      </c>
      <c r="B578" s="6" t="s">
        <v>15</v>
      </c>
      <c r="C578" s="7">
        <v>198151</v>
      </c>
      <c r="D578" s="8">
        <v>277088.39999999997</v>
      </c>
      <c r="E578" s="9" t="s">
        <v>16</v>
      </c>
      <c r="F578" s="36">
        <v>208</v>
      </c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ht="12.75" customHeight="1" x14ac:dyDescent="0.2">
      <c r="A579" s="6" t="s">
        <v>379</v>
      </c>
      <c r="B579" s="6" t="s">
        <v>15</v>
      </c>
      <c r="C579" s="7">
        <v>198154</v>
      </c>
      <c r="D579" s="8">
        <v>292353.59999999998</v>
      </c>
      <c r="E579" s="9" t="s">
        <v>16</v>
      </c>
      <c r="F579" s="36">
        <v>208</v>
      </c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ht="12.75" customHeight="1" x14ac:dyDescent="0.2">
      <c r="A580" s="6" t="s">
        <v>380</v>
      </c>
      <c r="B580" s="6" t="s">
        <v>15</v>
      </c>
      <c r="C580" s="7">
        <v>198155</v>
      </c>
      <c r="D580" s="8">
        <v>310916.39999999997</v>
      </c>
      <c r="E580" s="9" t="s">
        <v>16</v>
      </c>
      <c r="F580" s="36">
        <v>208</v>
      </c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ht="12.75" customHeight="1" x14ac:dyDescent="0.2">
      <c r="A581" s="6" t="s">
        <v>381</v>
      </c>
      <c r="B581" s="6" t="s">
        <v>15</v>
      </c>
      <c r="C581" s="7">
        <v>198157</v>
      </c>
      <c r="D581" s="8">
        <v>330752.39999999997</v>
      </c>
      <c r="E581" s="9" t="s">
        <v>16</v>
      </c>
      <c r="F581" s="36">
        <v>208</v>
      </c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ht="12.75" customHeight="1" x14ac:dyDescent="0.2">
      <c r="A582" s="6" t="s">
        <v>382</v>
      </c>
      <c r="B582" s="6" t="s">
        <v>15</v>
      </c>
      <c r="C582" s="7">
        <v>198182</v>
      </c>
      <c r="D582" s="8">
        <v>118713.59999999999</v>
      </c>
      <c r="E582" s="9" t="s">
        <v>16</v>
      </c>
      <c r="F582" s="36">
        <v>208</v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ht="12.75" customHeight="1" x14ac:dyDescent="0.2">
      <c r="A583" s="6" t="s">
        <v>383</v>
      </c>
      <c r="B583" s="6" t="s">
        <v>15</v>
      </c>
      <c r="C583" s="7">
        <v>198280</v>
      </c>
      <c r="D583" s="8">
        <v>111087.59999999999</v>
      </c>
      <c r="E583" s="9" t="s">
        <v>7</v>
      </c>
      <c r="F583" s="36">
        <v>208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ht="12.75" customHeight="1" x14ac:dyDescent="0.2">
      <c r="A584" s="6" t="s">
        <v>384</v>
      </c>
      <c r="B584" s="6" t="s">
        <v>15</v>
      </c>
      <c r="C584" s="7">
        <v>198536</v>
      </c>
      <c r="D584" s="8">
        <v>91669.2</v>
      </c>
      <c r="E584" s="9" t="s">
        <v>7</v>
      </c>
      <c r="F584" s="36">
        <v>208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ht="12.75" customHeight="1" x14ac:dyDescent="0.2">
      <c r="A585" s="6" t="s">
        <v>270</v>
      </c>
      <c r="B585" s="6" t="s">
        <v>15</v>
      </c>
      <c r="C585" s="7">
        <v>199180</v>
      </c>
      <c r="D585" s="8">
        <v>302288.39999999997</v>
      </c>
      <c r="E585" s="9" t="s">
        <v>16</v>
      </c>
      <c r="F585" s="36">
        <v>208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ht="12.75" customHeight="1" x14ac:dyDescent="0.2">
      <c r="A586" s="6" t="s">
        <v>387</v>
      </c>
      <c r="B586" s="6" t="s">
        <v>15</v>
      </c>
      <c r="C586" s="7">
        <v>199190</v>
      </c>
      <c r="D586" s="8">
        <v>82744.800000000003</v>
      </c>
      <c r="E586" s="9" t="s">
        <v>16</v>
      </c>
      <c r="F586" s="36">
        <v>208</v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ht="12.75" customHeight="1" x14ac:dyDescent="0.2">
      <c r="A587" s="6" t="s">
        <v>388</v>
      </c>
      <c r="B587" s="6" t="s">
        <v>15</v>
      </c>
      <c r="C587" s="7">
        <v>199239</v>
      </c>
      <c r="D587" s="8">
        <v>130372.79999999999</v>
      </c>
      <c r="E587" s="9" t="s">
        <v>16</v>
      </c>
      <c r="F587" s="36">
        <v>208</v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ht="12.75" customHeight="1" x14ac:dyDescent="0.2">
      <c r="A588" s="6" t="s">
        <v>393</v>
      </c>
      <c r="B588" s="6" t="s">
        <v>15</v>
      </c>
      <c r="C588" s="7">
        <v>199430</v>
      </c>
      <c r="D588" s="8">
        <v>123733.2</v>
      </c>
      <c r="E588" s="9" t="s">
        <v>16</v>
      </c>
      <c r="F588" s="36">
        <v>208</v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ht="12.75" customHeight="1" x14ac:dyDescent="0.2">
      <c r="A589" s="6" t="s">
        <v>394</v>
      </c>
      <c r="B589" s="6" t="s">
        <v>15</v>
      </c>
      <c r="C589" s="7">
        <v>199433</v>
      </c>
      <c r="D589" s="8">
        <v>92767.2</v>
      </c>
      <c r="E589" s="9" t="s">
        <v>16</v>
      </c>
      <c r="F589" s="36">
        <v>208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ht="12.75" customHeight="1" x14ac:dyDescent="0.2">
      <c r="A590" s="6" t="s">
        <v>395</v>
      </c>
      <c r="B590" s="6" t="s">
        <v>15</v>
      </c>
      <c r="C590" s="7">
        <v>199506</v>
      </c>
      <c r="D590" s="8">
        <v>241923.59999999998</v>
      </c>
      <c r="E590" s="9" t="s">
        <v>16</v>
      </c>
      <c r="F590" s="36">
        <v>208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ht="12.75" customHeight="1" x14ac:dyDescent="0.2">
      <c r="A591" s="6" t="s">
        <v>396</v>
      </c>
      <c r="B591" s="6" t="s">
        <v>15</v>
      </c>
      <c r="C591" s="7">
        <v>199603</v>
      </c>
      <c r="D591" s="8">
        <v>120694.79999999999</v>
      </c>
      <c r="E591" s="9" t="s">
        <v>7</v>
      </c>
      <c r="F591" s="36">
        <v>208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ht="12.75" customHeight="1" x14ac:dyDescent="0.2">
      <c r="A592" s="6" t="s">
        <v>397</v>
      </c>
      <c r="B592" s="6" t="s">
        <v>15</v>
      </c>
      <c r="C592" s="7">
        <v>199635</v>
      </c>
      <c r="D592" s="8">
        <v>262580.39999999997</v>
      </c>
      <c r="E592" s="9" t="s">
        <v>16</v>
      </c>
      <c r="F592" s="36">
        <v>208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ht="12.75" customHeight="1" x14ac:dyDescent="0.2">
      <c r="A593" s="6" t="s">
        <v>398</v>
      </c>
      <c r="B593" s="6" t="s">
        <v>15</v>
      </c>
      <c r="C593" s="7">
        <v>199641</v>
      </c>
      <c r="D593" s="8">
        <v>274812</v>
      </c>
      <c r="E593" s="9" t="s">
        <v>16</v>
      </c>
      <c r="F593" s="36">
        <v>208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ht="12.75" customHeight="1" x14ac:dyDescent="0.2">
      <c r="A594" s="6" t="s">
        <v>399</v>
      </c>
      <c r="B594" s="6" t="s">
        <v>15</v>
      </c>
      <c r="C594" s="7">
        <v>199648</v>
      </c>
      <c r="D594" s="8">
        <v>229886.4</v>
      </c>
      <c r="E594" s="9" t="s">
        <v>16</v>
      </c>
      <c r="F594" s="36">
        <v>208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ht="12.75" customHeight="1" x14ac:dyDescent="0.2">
      <c r="A595" s="6" t="s">
        <v>401</v>
      </c>
      <c r="B595" s="6" t="s">
        <v>15</v>
      </c>
      <c r="C595" s="7">
        <v>199672</v>
      </c>
      <c r="D595" s="8">
        <v>232034.4</v>
      </c>
      <c r="E595" s="9" t="s">
        <v>16</v>
      </c>
      <c r="F595" s="36">
        <v>208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ht="12.75" customHeight="1" x14ac:dyDescent="0.2">
      <c r="A596" s="6" t="s">
        <v>409</v>
      </c>
      <c r="B596" s="6" t="s">
        <v>15</v>
      </c>
      <c r="C596" s="7">
        <v>201303</v>
      </c>
      <c r="D596" s="8">
        <v>110193.59999999999</v>
      </c>
      <c r="E596" s="9" t="s">
        <v>16</v>
      </c>
      <c r="F596" s="36">
        <v>208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ht="12.75" customHeight="1" x14ac:dyDescent="0.2">
      <c r="A597" s="6" t="s">
        <v>412</v>
      </c>
      <c r="B597" s="6" t="s">
        <v>15</v>
      </c>
      <c r="C597" s="7">
        <v>201512</v>
      </c>
      <c r="D597" s="8">
        <v>123619.2</v>
      </c>
      <c r="E597" s="9" t="s">
        <v>16</v>
      </c>
      <c r="F597" s="36">
        <v>208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ht="12.75" customHeight="1" x14ac:dyDescent="0.2">
      <c r="A598" s="6" t="s">
        <v>413</v>
      </c>
      <c r="B598" s="6" t="s">
        <v>15</v>
      </c>
      <c r="C598" s="7">
        <v>201514</v>
      </c>
      <c r="D598" s="8">
        <v>76806</v>
      </c>
      <c r="E598" s="9" t="s">
        <v>16</v>
      </c>
      <c r="F598" s="36">
        <v>208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ht="12.75" customHeight="1" x14ac:dyDescent="0.2">
      <c r="A599" s="6" t="s">
        <v>414</v>
      </c>
      <c r="B599" s="6" t="s">
        <v>15</v>
      </c>
      <c r="C599" s="7">
        <v>201517</v>
      </c>
      <c r="D599" s="8">
        <v>83227.199999999997</v>
      </c>
      <c r="E599" s="9" t="s">
        <v>16</v>
      </c>
      <c r="F599" s="36">
        <v>208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ht="12.75" customHeight="1" x14ac:dyDescent="0.2">
      <c r="A600" s="6" t="s">
        <v>415</v>
      </c>
      <c r="B600" s="6" t="s">
        <v>15</v>
      </c>
      <c r="C600" s="7">
        <v>201531</v>
      </c>
      <c r="D600" s="8">
        <v>79533.599999999991</v>
      </c>
      <c r="E600" s="9" t="s">
        <v>16</v>
      </c>
      <c r="F600" s="36">
        <v>208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ht="12.75" customHeight="1" x14ac:dyDescent="0.2">
      <c r="A601" s="6" t="s">
        <v>416</v>
      </c>
      <c r="B601" s="6" t="s">
        <v>15</v>
      </c>
      <c r="C601" s="7">
        <v>201542</v>
      </c>
      <c r="D601" s="8">
        <v>78314.399999999994</v>
      </c>
      <c r="E601" s="9" t="s">
        <v>7</v>
      </c>
      <c r="F601" s="36">
        <v>208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ht="12.75" customHeight="1" x14ac:dyDescent="0.2">
      <c r="A602" s="6" t="s">
        <v>417</v>
      </c>
      <c r="B602" s="6" t="s">
        <v>15</v>
      </c>
      <c r="C602" s="7">
        <v>201546</v>
      </c>
      <c r="D602" s="8">
        <v>96216</v>
      </c>
      <c r="E602" s="9" t="s">
        <v>7</v>
      </c>
      <c r="F602" s="36">
        <v>208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ht="12.75" customHeight="1" x14ac:dyDescent="0.2">
      <c r="A603" s="6" t="s">
        <v>422</v>
      </c>
      <c r="B603" s="6" t="s">
        <v>15</v>
      </c>
      <c r="C603" s="7">
        <v>203971</v>
      </c>
      <c r="D603" s="8">
        <v>141624</v>
      </c>
      <c r="E603" s="9" t="s">
        <v>16</v>
      </c>
      <c r="F603" s="36">
        <v>208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ht="12.75" customHeight="1" x14ac:dyDescent="0.2">
      <c r="A604" s="6" t="s">
        <v>423</v>
      </c>
      <c r="B604" s="6" t="s">
        <v>15</v>
      </c>
      <c r="C604" s="7">
        <v>203973</v>
      </c>
      <c r="D604" s="8">
        <v>111331.2</v>
      </c>
      <c r="E604" s="9" t="s">
        <v>16</v>
      </c>
      <c r="F604" s="36">
        <v>208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ht="12.75" customHeight="1" x14ac:dyDescent="0.2">
      <c r="A605" s="6" t="s">
        <v>424</v>
      </c>
      <c r="B605" s="6" t="s">
        <v>15</v>
      </c>
      <c r="C605" s="7">
        <v>204085</v>
      </c>
      <c r="D605" s="8">
        <v>161563.19999999998</v>
      </c>
      <c r="E605" s="9" t="s">
        <v>16</v>
      </c>
      <c r="F605" s="36">
        <v>208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ht="12.75" customHeight="1" x14ac:dyDescent="0.2">
      <c r="A606" s="6" t="s">
        <v>425</v>
      </c>
      <c r="B606" s="6" t="s">
        <v>15</v>
      </c>
      <c r="C606" s="7">
        <v>204128</v>
      </c>
      <c r="D606" s="8">
        <v>184263.6</v>
      </c>
      <c r="E606" s="9" t="s">
        <v>16</v>
      </c>
      <c r="F606" s="36">
        <v>208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ht="12.75" customHeight="1" x14ac:dyDescent="0.2">
      <c r="A607" s="6" t="s">
        <v>426</v>
      </c>
      <c r="B607" s="6" t="s">
        <v>15</v>
      </c>
      <c r="C607" s="7">
        <v>204406</v>
      </c>
      <c r="D607" s="8">
        <v>96174</v>
      </c>
      <c r="E607" s="9" t="s">
        <v>16</v>
      </c>
      <c r="F607" s="36">
        <v>208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ht="12.75" customHeight="1" x14ac:dyDescent="0.2">
      <c r="A608" s="6" t="s">
        <v>427</v>
      </c>
      <c r="B608" s="6" t="s">
        <v>15</v>
      </c>
      <c r="C608" s="7">
        <v>205314</v>
      </c>
      <c r="D608" s="8">
        <v>133905.60000000001</v>
      </c>
      <c r="E608" s="9" t="s">
        <v>16</v>
      </c>
      <c r="F608" s="36">
        <v>208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ht="12.75" customHeight="1" x14ac:dyDescent="0.2">
      <c r="A609" s="6" t="s">
        <v>431</v>
      </c>
      <c r="B609" s="6" t="s">
        <v>15</v>
      </c>
      <c r="C609" s="7">
        <v>205818</v>
      </c>
      <c r="D609" s="8">
        <v>142578</v>
      </c>
      <c r="E609" s="9" t="s">
        <v>16</v>
      </c>
      <c r="F609" s="36">
        <v>208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ht="12.75" customHeight="1" x14ac:dyDescent="0.2">
      <c r="A610" s="6" t="s">
        <v>432</v>
      </c>
      <c r="B610" s="6" t="s">
        <v>15</v>
      </c>
      <c r="C610" s="7">
        <v>206401</v>
      </c>
      <c r="D610" s="8">
        <v>237871.19999999998</v>
      </c>
      <c r="E610" s="9" t="s">
        <v>16</v>
      </c>
      <c r="F610" s="36">
        <v>208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ht="12.75" customHeight="1" x14ac:dyDescent="0.2">
      <c r="A611" s="6" t="s">
        <v>433</v>
      </c>
      <c r="B611" s="6" t="s">
        <v>15</v>
      </c>
      <c r="C611" s="7">
        <v>206716</v>
      </c>
      <c r="D611" s="8">
        <v>150670.79999999999</v>
      </c>
      <c r="E611" s="9" t="s">
        <v>16</v>
      </c>
      <c r="F611" s="36">
        <v>208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ht="12.75" customHeight="1" x14ac:dyDescent="0.2">
      <c r="A612" s="6" t="s">
        <v>434</v>
      </c>
      <c r="B612" s="6" t="s">
        <v>15</v>
      </c>
      <c r="C612" s="7">
        <v>206720</v>
      </c>
      <c r="D612" s="8">
        <v>141451.19999999998</v>
      </c>
      <c r="E612" s="9" t="s">
        <v>7</v>
      </c>
      <c r="F612" s="36">
        <v>208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ht="12.75" customHeight="1" x14ac:dyDescent="0.2">
      <c r="A613" s="6" t="s">
        <v>435</v>
      </c>
      <c r="B613" s="6" t="s">
        <v>15</v>
      </c>
      <c r="C613" s="7">
        <v>206767</v>
      </c>
      <c r="D613" s="8">
        <v>157600.79999999999</v>
      </c>
      <c r="E613" s="9" t="s">
        <v>7</v>
      </c>
      <c r="F613" s="36">
        <v>208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ht="12.75" customHeight="1" x14ac:dyDescent="0.2">
      <c r="A614" s="6" t="s">
        <v>437</v>
      </c>
      <c r="B614" s="6" t="s">
        <v>15</v>
      </c>
      <c r="C614" s="7">
        <v>207423</v>
      </c>
      <c r="D614" s="8">
        <v>93447.599999999991</v>
      </c>
      <c r="E614" s="9" t="s">
        <v>16</v>
      </c>
      <c r="F614" s="36">
        <v>208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ht="12.75" customHeight="1" x14ac:dyDescent="0.2">
      <c r="A615" s="6" t="s">
        <v>438</v>
      </c>
      <c r="B615" s="6" t="s">
        <v>15</v>
      </c>
      <c r="C615" s="7">
        <v>207444</v>
      </c>
      <c r="D615" s="8">
        <v>94629.599999999991</v>
      </c>
      <c r="E615" s="9" t="s">
        <v>16</v>
      </c>
      <c r="F615" s="36">
        <v>208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ht="12.75" customHeight="1" x14ac:dyDescent="0.2">
      <c r="A616" s="6" t="s">
        <v>439</v>
      </c>
      <c r="B616" s="6" t="s">
        <v>15</v>
      </c>
      <c r="C616" s="7">
        <v>207448</v>
      </c>
      <c r="D616" s="8">
        <v>98984.4</v>
      </c>
      <c r="E616" s="9" t="s">
        <v>16</v>
      </c>
      <c r="F616" s="36">
        <v>208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ht="12.75" customHeight="1" x14ac:dyDescent="0.2">
      <c r="A617" s="6" t="s">
        <v>440</v>
      </c>
      <c r="B617" s="6" t="s">
        <v>15</v>
      </c>
      <c r="C617" s="7">
        <v>207680</v>
      </c>
      <c r="D617" s="8">
        <v>130388.4</v>
      </c>
      <c r="E617" s="9" t="s">
        <v>16</v>
      </c>
      <c r="F617" s="36">
        <v>208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ht="12.75" customHeight="1" x14ac:dyDescent="0.2">
      <c r="A618" s="6" t="s">
        <v>441</v>
      </c>
      <c r="B618" s="6" t="s">
        <v>15</v>
      </c>
      <c r="C618" s="7">
        <v>207849</v>
      </c>
      <c r="D618" s="8">
        <v>84667.199999999997</v>
      </c>
      <c r="E618" s="9" t="s">
        <v>16</v>
      </c>
      <c r="F618" s="36">
        <v>208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ht="12.75" customHeight="1" x14ac:dyDescent="0.2">
      <c r="A619" s="6" t="s">
        <v>442</v>
      </c>
      <c r="B619" s="6" t="s">
        <v>15</v>
      </c>
      <c r="C619" s="7">
        <v>207893</v>
      </c>
      <c r="D619" s="8">
        <v>84928.8</v>
      </c>
      <c r="E619" s="9" t="s">
        <v>16</v>
      </c>
      <c r="F619" s="36">
        <v>208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ht="12.75" customHeight="1" x14ac:dyDescent="0.2">
      <c r="A620" s="6" t="s">
        <v>443</v>
      </c>
      <c r="B620" s="6" t="s">
        <v>15</v>
      </c>
      <c r="C620" s="7">
        <v>208895</v>
      </c>
      <c r="D620" s="8">
        <v>103132.8</v>
      </c>
      <c r="E620" s="9" t="s">
        <v>16</v>
      </c>
      <c r="F620" s="36">
        <v>208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ht="12.75" customHeight="1" x14ac:dyDescent="0.2">
      <c r="A621" s="6" t="s">
        <v>444</v>
      </c>
      <c r="B621" s="6" t="s">
        <v>15</v>
      </c>
      <c r="C621" s="7">
        <v>209458</v>
      </c>
      <c r="D621" s="8">
        <v>92863.2</v>
      </c>
      <c r="E621" s="9" t="s">
        <v>16</v>
      </c>
      <c r="F621" s="36">
        <v>208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ht="12.75" customHeight="1" x14ac:dyDescent="0.2">
      <c r="A622" s="6" t="s">
        <v>447</v>
      </c>
      <c r="B622" s="6" t="s">
        <v>15</v>
      </c>
      <c r="C622" s="7">
        <v>212513</v>
      </c>
      <c r="D622" s="8">
        <v>123939.59999999999</v>
      </c>
      <c r="E622" s="9" t="s">
        <v>16</v>
      </c>
      <c r="F622" s="36">
        <v>208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ht="12.75" customHeight="1" x14ac:dyDescent="0.2">
      <c r="A623" s="6" t="s">
        <v>448</v>
      </c>
      <c r="B623" s="6" t="s">
        <v>15</v>
      </c>
      <c r="C623" s="7">
        <v>213101</v>
      </c>
      <c r="D623" s="8">
        <v>125414.39999999999</v>
      </c>
      <c r="E623" s="9" t="s">
        <v>16</v>
      </c>
      <c r="F623" s="36">
        <v>208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ht="12.75" customHeight="1" x14ac:dyDescent="0.2">
      <c r="A624" s="6" t="s">
        <v>449</v>
      </c>
      <c r="B624" s="6" t="s">
        <v>15</v>
      </c>
      <c r="C624" s="7">
        <v>213457</v>
      </c>
      <c r="D624" s="8">
        <v>128792.4</v>
      </c>
      <c r="E624" s="9" t="s">
        <v>16</v>
      </c>
      <c r="F624" s="36">
        <v>208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ht="12.75" customHeight="1" x14ac:dyDescent="0.2">
      <c r="A625" s="6" t="s">
        <v>450</v>
      </c>
      <c r="B625" s="6" t="s">
        <v>15</v>
      </c>
      <c r="C625" s="7">
        <v>213632</v>
      </c>
      <c r="D625" s="8">
        <v>81411.599999999991</v>
      </c>
      <c r="E625" s="9" t="s">
        <v>16</v>
      </c>
      <c r="F625" s="36">
        <v>208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ht="12.75" customHeight="1" x14ac:dyDescent="0.2">
      <c r="A626" s="6" t="s">
        <v>452</v>
      </c>
      <c r="B626" s="6" t="s">
        <v>15</v>
      </c>
      <c r="C626" s="7">
        <v>213642</v>
      </c>
      <c r="D626" s="8">
        <v>92262</v>
      </c>
      <c r="E626" s="9" t="s">
        <v>16</v>
      </c>
      <c r="F626" s="36">
        <v>208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ht="12.75" customHeight="1" x14ac:dyDescent="0.2">
      <c r="A627" s="6" t="s">
        <v>455</v>
      </c>
      <c r="B627" s="6" t="s">
        <v>15</v>
      </c>
      <c r="C627" s="7">
        <v>213656</v>
      </c>
      <c r="D627" s="8">
        <v>88890</v>
      </c>
      <c r="E627" s="9" t="s">
        <v>16</v>
      </c>
      <c r="F627" s="36">
        <v>208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ht="12.75" customHeight="1" x14ac:dyDescent="0.2">
      <c r="A628" s="6" t="s">
        <v>473</v>
      </c>
      <c r="B628" s="6" t="s">
        <v>15</v>
      </c>
      <c r="C628" s="7">
        <v>213693</v>
      </c>
      <c r="D628" s="8">
        <v>71788.800000000003</v>
      </c>
      <c r="E628" s="9" t="s">
        <v>16</v>
      </c>
      <c r="F628" s="36">
        <v>208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ht="12.75" customHeight="1" x14ac:dyDescent="0.2">
      <c r="A629" s="6" t="s">
        <v>481</v>
      </c>
      <c r="B629" s="6" t="s">
        <v>15</v>
      </c>
      <c r="C629" s="7">
        <v>213721</v>
      </c>
      <c r="D629" s="8">
        <v>131258.4</v>
      </c>
      <c r="E629" s="9" t="s">
        <v>16</v>
      </c>
      <c r="F629" s="36">
        <v>208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ht="12.75" customHeight="1" x14ac:dyDescent="0.2">
      <c r="A630" s="6" t="s">
        <v>494</v>
      </c>
      <c r="B630" s="6" t="s">
        <v>15</v>
      </c>
      <c r="C630" s="7">
        <v>213776</v>
      </c>
      <c r="D630" s="8">
        <v>114498</v>
      </c>
      <c r="E630" s="9" t="s">
        <v>16</v>
      </c>
      <c r="F630" s="36">
        <v>208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ht="12.75" customHeight="1" x14ac:dyDescent="0.2">
      <c r="A631" s="6" t="s">
        <v>499</v>
      </c>
      <c r="B631" s="6" t="s">
        <v>15</v>
      </c>
      <c r="C631" s="7">
        <v>213809</v>
      </c>
      <c r="D631" s="8">
        <v>131348.4</v>
      </c>
      <c r="E631" s="9" t="s">
        <v>16</v>
      </c>
      <c r="F631" s="36">
        <v>208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ht="12.75" customHeight="1" x14ac:dyDescent="0.2">
      <c r="A632" s="6" t="s">
        <v>519</v>
      </c>
      <c r="B632" s="6" t="s">
        <v>15</v>
      </c>
      <c r="C632" s="7">
        <v>213857</v>
      </c>
      <c r="D632" s="8">
        <v>124369.2</v>
      </c>
      <c r="E632" s="9" t="s">
        <v>16</v>
      </c>
      <c r="F632" s="36">
        <v>208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ht="12.75" customHeight="1" x14ac:dyDescent="0.2">
      <c r="A633" s="6" t="s">
        <v>584</v>
      </c>
      <c r="B633" s="6" t="s">
        <v>15</v>
      </c>
      <c r="C633" s="7">
        <v>214018</v>
      </c>
      <c r="D633" s="8">
        <v>101115.59999999999</v>
      </c>
      <c r="E633" s="9" t="s">
        <v>16</v>
      </c>
      <c r="F633" s="36">
        <v>208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ht="12.75" customHeight="1" x14ac:dyDescent="0.2">
      <c r="A634" s="6" t="s">
        <v>593</v>
      </c>
      <c r="B634" s="6" t="s">
        <v>15</v>
      </c>
      <c r="C634" s="7">
        <v>214075</v>
      </c>
      <c r="D634" s="8">
        <v>337952.39999999997</v>
      </c>
      <c r="E634" s="9" t="s">
        <v>16</v>
      </c>
      <c r="F634" s="36">
        <v>208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ht="12.75" customHeight="1" x14ac:dyDescent="0.2">
      <c r="A635" s="6" t="s">
        <v>594</v>
      </c>
      <c r="B635" s="6" t="s">
        <v>15</v>
      </c>
      <c r="C635" s="7">
        <v>214077</v>
      </c>
      <c r="D635" s="8">
        <v>140008.79999999999</v>
      </c>
      <c r="E635" s="9" t="s">
        <v>16</v>
      </c>
      <c r="F635" s="36">
        <v>208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ht="12.75" customHeight="1" x14ac:dyDescent="0.2">
      <c r="A636" s="6" t="s">
        <v>595</v>
      </c>
      <c r="B636" s="6" t="s">
        <v>15</v>
      </c>
      <c r="C636" s="7">
        <v>214079</v>
      </c>
      <c r="D636" s="8">
        <v>115741.2</v>
      </c>
      <c r="E636" s="9" t="s">
        <v>16</v>
      </c>
      <c r="F636" s="36">
        <v>208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ht="12.75" customHeight="1" x14ac:dyDescent="0.2">
      <c r="A637" s="6" t="s">
        <v>597</v>
      </c>
      <c r="B637" s="6" t="s">
        <v>15</v>
      </c>
      <c r="C637" s="7">
        <v>214085</v>
      </c>
      <c r="D637" s="8">
        <v>130344</v>
      </c>
      <c r="E637" s="9" t="s">
        <v>16</v>
      </c>
      <c r="F637" s="36">
        <v>208</v>
      </c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ht="12.75" customHeight="1" x14ac:dyDescent="0.2">
      <c r="A638" s="6" t="s">
        <v>598</v>
      </c>
      <c r="B638" s="6" t="s">
        <v>15</v>
      </c>
      <c r="C638" s="7">
        <v>214090</v>
      </c>
      <c r="D638" s="8">
        <v>88245.599999999991</v>
      </c>
      <c r="E638" s="9" t="s">
        <v>16</v>
      </c>
      <c r="F638" s="36">
        <v>208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ht="12.75" customHeight="1" x14ac:dyDescent="0.2">
      <c r="A639" s="6" t="s">
        <v>599</v>
      </c>
      <c r="B639" s="6" t="s">
        <v>15</v>
      </c>
      <c r="C639" s="7">
        <v>214095</v>
      </c>
      <c r="D639" s="8">
        <v>95236.800000000003</v>
      </c>
      <c r="E639" s="9" t="s">
        <v>16</v>
      </c>
      <c r="F639" s="36">
        <v>208</v>
      </c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ht="12.75" customHeight="1" x14ac:dyDescent="0.2">
      <c r="A640" s="6" t="s">
        <v>600</v>
      </c>
      <c r="B640" s="6" t="s">
        <v>15</v>
      </c>
      <c r="C640" s="7">
        <v>214097</v>
      </c>
      <c r="D640" s="8">
        <v>92871.599999999991</v>
      </c>
      <c r="E640" s="9" t="s">
        <v>16</v>
      </c>
      <c r="F640" s="36">
        <v>208</v>
      </c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ht="12.75" customHeight="1" x14ac:dyDescent="0.2">
      <c r="A641" s="6" t="s">
        <v>596</v>
      </c>
      <c r="B641" s="6" t="s">
        <v>15</v>
      </c>
      <c r="C641" s="7">
        <v>214101</v>
      </c>
      <c r="D641" s="8">
        <v>110193.59999999999</v>
      </c>
      <c r="E641" s="9" t="s">
        <v>16</v>
      </c>
      <c r="F641" s="36">
        <v>208</v>
      </c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ht="12.75" customHeight="1" x14ac:dyDescent="0.2">
      <c r="A642" s="6" t="s">
        <v>607</v>
      </c>
      <c r="B642" s="6" t="s">
        <v>15</v>
      </c>
      <c r="C642" s="7">
        <v>214134</v>
      </c>
      <c r="D642" s="8">
        <v>174466.8</v>
      </c>
      <c r="E642" s="9" t="s">
        <v>16</v>
      </c>
      <c r="F642" s="36">
        <v>208</v>
      </c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ht="12.75" customHeight="1" x14ac:dyDescent="0.2">
      <c r="A643" s="6" t="s">
        <v>608</v>
      </c>
      <c r="B643" s="6" t="s">
        <v>15</v>
      </c>
      <c r="C643" s="7">
        <v>214139</v>
      </c>
      <c r="D643" s="8">
        <v>120126</v>
      </c>
      <c r="E643" s="9" t="s">
        <v>16</v>
      </c>
      <c r="F643" s="36">
        <v>208</v>
      </c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ht="12.75" customHeight="1" x14ac:dyDescent="0.2">
      <c r="A644" s="6" t="s">
        <v>610</v>
      </c>
      <c r="B644" s="6" t="s">
        <v>15</v>
      </c>
      <c r="C644" s="7">
        <v>214148</v>
      </c>
      <c r="D644" s="8">
        <v>240094.8</v>
      </c>
      <c r="E644" s="9" t="s">
        <v>16</v>
      </c>
      <c r="F644" s="36">
        <v>208</v>
      </c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ht="12.75" customHeight="1" x14ac:dyDescent="0.2">
      <c r="A645" s="6" t="s">
        <v>613</v>
      </c>
      <c r="B645" s="6" t="s">
        <v>15</v>
      </c>
      <c r="C645" s="7">
        <v>214155</v>
      </c>
      <c r="D645" s="8">
        <v>111225.59999999999</v>
      </c>
      <c r="E645" s="9" t="s">
        <v>16</v>
      </c>
      <c r="F645" s="36">
        <v>208</v>
      </c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ht="12.75" customHeight="1" x14ac:dyDescent="0.2">
      <c r="A646" s="6" t="s">
        <v>614</v>
      </c>
      <c r="B646" s="6" t="s">
        <v>15</v>
      </c>
      <c r="C646" s="7">
        <v>214170</v>
      </c>
      <c r="D646" s="8">
        <v>120801.59999999999</v>
      </c>
      <c r="E646" s="9" t="s">
        <v>16</v>
      </c>
      <c r="F646" s="36">
        <v>208</v>
      </c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ht="12.75" customHeight="1" x14ac:dyDescent="0.2">
      <c r="A647" s="6" t="s">
        <v>617</v>
      </c>
      <c r="B647" s="6" t="s">
        <v>15</v>
      </c>
      <c r="C647" s="7">
        <v>214195</v>
      </c>
      <c r="D647" s="8">
        <v>229104</v>
      </c>
      <c r="E647" s="9" t="s">
        <v>16</v>
      </c>
      <c r="F647" s="36">
        <v>208</v>
      </c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ht="12.75" customHeight="1" x14ac:dyDescent="0.2">
      <c r="A648" s="6" t="s">
        <v>619</v>
      </c>
      <c r="B648" s="6" t="s">
        <v>15</v>
      </c>
      <c r="C648" s="7">
        <v>214228</v>
      </c>
      <c r="D648" s="8">
        <v>166363.19999999998</v>
      </c>
      <c r="E648" s="9" t="s">
        <v>16</v>
      </c>
      <c r="F648" s="36">
        <v>208</v>
      </c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ht="12.75" customHeight="1" x14ac:dyDescent="0.2">
      <c r="A649" s="6" t="s">
        <v>629</v>
      </c>
      <c r="B649" s="6" t="s">
        <v>15</v>
      </c>
      <c r="C649" s="7">
        <v>215817</v>
      </c>
      <c r="D649" s="8">
        <v>79810.8</v>
      </c>
      <c r="E649" s="9" t="s">
        <v>16</v>
      </c>
      <c r="F649" s="36">
        <v>208</v>
      </c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ht="12.75" customHeight="1" x14ac:dyDescent="0.2">
      <c r="A650" s="6" t="s">
        <v>632</v>
      </c>
      <c r="B650" s="6" t="s">
        <v>15</v>
      </c>
      <c r="C650" s="7">
        <v>215822</v>
      </c>
      <c r="D650" s="8">
        <v>82866</v>
      </c>
      <c r="E650" s="9" t="s">
        <v>16</v>
      </c>
      <c r="F650" s="36">
        <v>208</v>
      </c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ht="12.75" customHeight="1" x14ac:dyDescent="0.2">
      <c r="A651" s="6" t="s">
        <v>631</v>
      </c>
      <c r="B651" s="6" t="s">
        <v>15</v>
      </c>
      <c r="C651" s="7">
        <v>215829</v>
      </c>
      <c r="D651" s="8">
        <v>95876.4</v>
      </c>
      <c r="E651" s="9" t="s">
        <v>16</v>
      </c>
      <c r="F651" s="36">
        <v>208</v>
      </c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ht="12.75" customHeight="1" x14ac:dyDescent="0.2">
      <c r="A652" s="6" t="s">
        <v>630</v>
      </c>
      <c r="B652" s="6" t="s">
        <v>15</v>
      </c>
      <c r="C652" s="7">
        <v>215833</v>
      </c>
      <c r="D652" s="8">
        <v>86253.599999999991</v>
      </c>
      <c r="E652" s="9" t="s">
        <v>7</v>
      </c>
      <c r="F652" s="36">
        <v>208</v>
      </c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ht="12.75" customHeight="1" x14ac:dyDescent="0.2">
      <c r="A653" s="6" t="s">
        <v>635</v>
      </c>
      <c r="B653" s="6" t="s">
        <v>15</v>
      </c>
      <c r="C653" s="7">
        <v>215865</v>
      </c>
      <c r="D653" s="8">
        <v>119685.59999999999</v>
      </c>
      <c r="E653" s="9" t="s">
        <v>16</v>
      </c>
      <c r="F653" s="36">
        <v>208</v>
      </c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ht="12.75" customHeight="1" x14ac:dyDescent="0.2">
      <c r="A654" s="6" t="s">
        <v>639</v>
      </c>
      <c r="B654" s="6" t="s">
        <v>15</v>
      </c>
      <c r="C654" s="7">
        <v>217710</v>
      </c>
      <c r="D654" s="8">
        <v>343590</v>
      </c>
      <c r="E654" s="9" t="s">
        <v>16</v>
      </c>
      <c r="F654" s="36">
        <v>208</v>
      </c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ht="12.75" customHeight="1" x14ac:dyDescent="0.2">
      <c r="A655" s="6" t="s">
        <v>35</v>
      </c>
      <c r="B655" s="6" t="s">
        <v>15</v>
      </c>
      <c r="C655" s="7">
        <v>10031101</v>
      </c>
      <c r="D655" s="8">
        <v>70844.399999999994</v>
      </c>
      <c r="E655" s="9" t="s">
        <v>16</v>
      </c>
      <c r="F655" s="36">
        <v>208</v>
      </c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ht="12.75" customHeight="1" x14ac:dyDescent="0.2">
      <c r="A656" s="6" t="s">
        <v>36</v>
      </c>
      <c r="B656" s="6" t="s">
        <v>15</v>
      </c>
      <c r="C656" s="7">
        <v>10041101</v>
      </c>
      <c r="D656" s="8">
        <v>69922.8</v>
      </c>
      <c r="E656" s="9" t="s">
        <v>16</v>
      </c>
      <c r="F656" s="36">
        <v>208</v>
      </c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ht="12.75" customHeight="1" x14ac:dyDescent="0.2">
      <c r="A657" s="6" t="s">
        <v>643</v>
      </c>
      <c r="B657" s="6" t="s">
        <v>15</v>
      </c>
      <c r="C657" s="7">
        <v>10081101</v>
      </c>
      <c r="D657" s="8">
        <v>78849.599999999991</v>
      </c>
      <c r="E657" s="9" t="s">
        <v>16</v>
      </c>
      <c r="F657" s="36">
        <v>208</v>
      </c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ht="12.75" customHeight="1" x14ac:dyDescent="0.2">
      <c r="A658" s="6" t="s">
        <v>646</v>
      </c>
      <c r="B658" s="6" t="s">
        <v>15</v>
      </c>
      <c r="C658" s="7">
        <v>10091101</v>
      </c>
      <c r="D658" s="8">
        <v>83312.399999999994</v>
      </c>
      <c r="E658" s="9" t="s">
        <v>16</v>
      </c>
      <c r="F658" s="36">
        <v>208</v>
      </c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ht="12.75" customHeight="1" x14ac:dyDescent="0.2">
      <c r="A659" s="6" t="s">
        <v>208</v>
      </c>
      <c r="B659" s="6" t="s">
        <v>15</v>
      </c>
      <c r="C659" s="7">
        <v>10101101</v>
      </c>
      <c r="D659" s="8">
        <v>83160</v>
      </c>
      <c r="E659" s="9" t="s">
        <v>16</v>
      </c>
      <c r="F659" s="36">
        <v>208</v>
      </c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ht="12.75" customHeight="1" x14ac:dyDescent="0.2">
      <c r="A660" s="6" t="s">
        <v>60</v>
      </c>
      <c r="B660" s="6" t="s">
        <v>15</v>
      </c>
      <c r="C660" s="7">
        <v>10111101</v>
      </c>
      <c r="D660" s="8">
        <v>68010</v>
      </c>
      <c r="E660" s="9" t="s">
        <v>16</v>
      </c>
      <c r="F660" s="36">
        <v>208</v>
      </c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ht="12.75" customHeight="1" x14ac:dyDescent="0.2">
      <c r="A661" s="6" t="s">
        <v>61</v>
      </c>
      <c r="B661" s="6" t="s">
        <v>15</v>
      </c>
      <c r="C661" s="7">
        <v>10121101</v>
      </c>
      <c r="D661" s="8">
        <v>71708.399999999994</v>
      </c>
      <c r="E661" s="9" t="s">
        <v>16</v>
      </c>
      <c r="F661" s="36">
        <v>208</v>
      </c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ht="12.75" customHeight="1" x14ac:dyDescent="0.2">
      <c r="A662" s="6" t="s">
        <v>649</v>
      </c>
      <c r="B662" s="6" t="s">
        <v>15</v>
      </c>
      <c r="C662" s="7">
        <v>10261101</v>
      </c>
      <c r="D662" s="8">
        <v>82866</v>
      </c>
      <c r="E662" s="9" t="s">
        <v>16</v>
      </c>
      <c r="F662" s="36">
        <v>208</v>
      </c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ht="12.75" customHeight="1" x14ac:dyDescent="0.2">
      <c r="A663" s="6" t="s">
        <v>137</v>
      </c>
      <c r="B663" s="6" t="s">
        <v>15</v>
      </c>
      <c r="C663" s="7">
        <v>10271101</v>
      </c>
      <c r="D663" s="8">
        <v>75930</v>
      </c>
      <c r="E663" s="9" t="s">
        <v>16</v>
      </c>
      <c r="F663" s="36">
        <v>208</v>
      </c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ht="12.75" customHeight="1" x14ac:dyDescent="0.2">
      <c r="A664" s="6" t="s">
        <v>137</v>
      </c>
      <c r="B664" s="6" t="s">
        <v>15</v>
      </c>
      <c r="C664" s="7">
        <v>113452</v>
      </c>
      <c r="D664" s="8">
        <v>75930</v>
      </c>
      <c r="E664" s="9" t="s">
        <v>16</v>
      </c>
      <c r="F664" s="36">
        <v>208</v>
      </c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ht="12.75" customHeight="1" x14ac:dyDescent="0.2">
      <c r="A665" s="6" t="s">
        <v>72</v>
      </c>
      <c r="B665" s="6" t="s">
        <v>15</v>
      </c>
      <c r="C665" s="7">
        <v>10461101</v>
      </c>
      <c r="D665" s="8">
        <v>66674.399999999994</v>
      </c>
      <c r="E665" s="9" t="s">
        <v>16</v>
      </c>
      <c r="F665" s="36">
        <v>208</v>
      </c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ht="12.75" customHeight="1" x14ac:dyDescent="0.2">
      <c r="A666" s="6" t="s">
        <v>652</v>
      </c>
      <c r="B666" s="6" t="s">
        <v>15</v>
      </c>
      <c r="C666" s="7">
        <v>10521101</v>
      </c>
      <c r="D666" s="8">
        <v>63972</v>
      </c>
      <c r="E666" s="9" t="s">
        <v>16</v>
      </c>
      <c r="F666" s="36">
        <v>208</v>
      </c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ht="12.75" customHeight="1" x14ac:dyDescent="0.2">
      <c r="A667" s="6" t="s">
        <v>62</v>
      </c>
      <c r="B667" s="6" t="s">
        <v>15</v>
      </c>
      <c r="C667" s="7">
        <v>10551101</v>
      </c>
      <c r="D667" s="8">
        <v>78346.8</v>
      </c>
      <c r="E667" s="9" t="s">
        <v>16</v>
      </c>
      <c r="F667" s="36">
        <v>208</v>
      </c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ht="12.75" customHeight="1" x14ac:dyDescent="0.2">
      <c r="A668" s="6" t="s">
        <v>654</v>
      </c>
      <c r="B668" s="6" t="s">
        <v>15</v>
      </c>
      <c r="C668" s="7">
        <v>10781101</v>
      </c>
      <c r="D668" s="8">
        <v>70784.399999999994</v>
      </c>
      <c r="E668" s="9" t="s">
        <v>16</v>
      </c>
      <c r="F668" s="36">
        <v>208</v>
      </c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ht="12.75" customHeight="1" x14ac:dyDescent="0.2">
      <c r="A669" s="6" t="s">
        <v>36</v>
      </c>
      <c r="B669" s="6" t="s">
        <v>15</v>
      </c>
      <c r="C669" s="7" t="s">
        <v>655</v>
      </c>
      <c r="D669" s="8">
        <v>66592.800000000003</v>
      </c>
      <c r="E669" s="9" t="s">
        <v>16</v>
      </c>
      <c r="F669" s="36">
        <v>208</v>
      </c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ht="12.75" customHeight="1" x14ac:dyDescent="0.2">
      <c r="A670" s="6" t="s">
        <v>37</v>
      </c>
      <c r="B670" s="6" t="s">
        <v>15</v>
      </c>
      <c r="C670" s="7" t="s">
        <v>657</v>
      </c>
      <c r="D670" s="8">
        <v>60926.399999999994</v>
      </c>
      <c r="E670" s="9" t="s">
        <v>16</v>
      </c>
      <c r="F670" s="36">
        <v>208</v>
      </c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ht="12.75" customHeight="1" x14ac:dyDescent="0.2">
      <c r="A671" s="6" t="s">
        <v>38</v>
      </c>
      <c r="B671" s="6" t="s">
        <v>15</v>
      </c>
      <c r="C671" s="7" t="s">
        <v>659</v>
      </c>
      <c r="D671" s="8">
        <v>100598.39999999999</v>
      </c>
      <c r="E671" s="9" t="s">
        <v>16</v>
      </c>
      <c r="F671" s="36">
        <v>208</v>
      </c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ht="12.75" customHeight="1" x14ac:dyDescent="0.2">
      <c r="A672" s="6" t="s">
        <v>39</v>
      </c>
      <c r="B672" s="6" t="s">
        <v>15</v>
      </c>
      <c r="C672" s="7" t="s">
        <v>660</v>
      </c>
      <c r="D672" s="8">
        <v>102015.59999999999</v>
      </c>
      <c r="E672" s="9" t="s">
        <v>16</v>
      </c>
      <c r="F672" s="36">
        <v>208</v>
      </c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ht="12.75" customHeight="1" x14ac:dyDescent="0.2">
      <c r="A673" s="6" t="s">
        <v>40</v>
      </c>
      <c r="B673" s="6" t="s">
        <v>15</v>
      </c>
      <c r="C673" s="7" t="s">
        <v>661</v>
      </c>
      <c r="D673" s="8">
        <v>100740</v>
      </c>
      <c r="E673" s="9" t="s">
        <v>16</v>
      </c>
      <c r="F673" s="36">
        <v>208</v>
      </c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ht="12.75" customHeight="1" x14ac:dyDescent="0.2">
      <c r="A674" s="6" t="s">
        <v>41</v>
      </c>
      <c r="B674" s="6" t="s">
        <v>15</v>
      </c>
      <c r="C674" s="7" t="s">
        <v>663</v>
      </c>
      <c r="D674" s="8">
        <v>102015.59999999999</v>
      </c>
      <c r="E674" s="9" t="s">
        <v>16</v>
      </c>
      <c r="F674" s="36">
        <v>208</v>
      </c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ht="12.75" customHeight="1" x14ac:dyDescent="0.2">
      <c r="A675" s="6" t="s">
        <v>646</v>
      </c>
      <c r="B675" s="6" t="s">
        <v>15</v>
      </c>
      <c r="C675" s="7" t="s">
        <v>665</v>
      </c>
      <c r="D675" s="8">
        <v>79345.2</v>
      </c>
      <c r="E675" s="9" t="s">
        <v>16</v>
      </c>
      <c r="F675" s="36">
        <v>208</v>
      </c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ht="12.75" customHeight="1" x14ac:dyDescent="0.2">
      <c r="A676" s="6" t="s">
        <v>643</v>
      </c>
      <c r="B676" s="6" t="s">
        <v>15</v>
      </c>
      <c r="C676" s="7" t="s">
        <v>666</v>
      </c>
      <c r="D676" s="8">
        <v>75094.8</v>
      </c>
      <c r="E676" s="9" t="s">
        <v>16</v>
      </c>
      <c r="F676" s="36">
        <v>208</v>
      </c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ht="12.75" customHeight="1" x14ac:dyDescent="0.2">
      <c r="A677" s="6" t="s">
        <v>667</v>
      </c>
      <c r="B677" s="6" t="s">
        <v>15</v>
      </c>
      <c r="C677" s="7" t="s">
        <v>668</v>
      </c>
      <c r="D677" s="8">
        <v>95214</v>
      </c>
      <c r="E677" s="9" t="s">
        <v>16</v>
      </c>
      <c r="F677" s="36">
        <v>208</v>
      </c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ht="12.75" customHeight="1" x14ac:dyDescent="0.2">
      <c r="A678" s="6" t="s">
        <v>210</v>
      </c>
      <c r="B678" s="6" t="s">
        <v>15</v>
      </c>
      <c r="C678" s="7" t="s">
        <v>669</v>
      </c>
      <c r="D678" s="8">
        <v>111579.59999999999</v>
      </c>
      <c r="E678" s="9" t="s">
        <v>16</v>
      </c>
      <c r="F678" s="36">
        <v>208</v>
      </c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ht="12.75" customHeight="1" x14ac:dyDescent="0.2">
      <c r="A679" s="6" t="s">
        <v>670</v>
      </c>
      <c r="B679" s="6" t="s">
        <v>15</v>
      </c>
      <c r="C679" s="7" t="s">
        <v>671</v>
      </c>
      <c r="D679" s="8">
        <v>51007.199999999997</v>
      </c>
      <c r="E679" s="9" t="s">
        <v>16</v>
      </c>
      <c r="F679" s="36">
        <v>208</v>
      </c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ht="12.75" customHeight="1" x14ac:dyDescent="0.2">
      <c r="A680" s="6" t="s">
        <v>237</v>
      </c>
      <c r="B680" s="6" t="s">
        <v>15</v>
      </c>
      <c r="C680" s="7" t="s">
        <v>672</v>
      </c>
      <c r="D680" s="8">
        <v>104140.8</v>
      </c>
      <c r="E680" s="9" t="s">
        <v>16</v>
      </c>
      <c r="F680" s="36">
        <v>208</v>
      </c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ht="12.75" customHeight="1" x14ac:dyDescent="0.2">
      <c r="A681" s="6" t="s">
        <v>244</v>
      </c>
      <c r="B681" s="6" t="s">
        <v>15</v>
      </c>
      <c r="C681" s="7" t="s">
        <v>673</v>
      </c>
      <c r="D681" s="8">
        <v>70844.399999999994</v>
      </c>
      <c r="E681" s="9" t="s">
        <v>16</v>
      </c>
      <c r="F681" s="36">
        <v>208</v>
      </c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ht="12.75" customHeight="1" x14ac:dyDescent="0.2">
      <c r="A682" s="6" t="s">
        <v>676</v>
      </c>
      <c r="B682" s="6" t="s">
        <v>15</v>
      </c>
      <c r="C682" s="7" t="s">
        <v>677</v>
      </c>
      <c r="D682" s="8">
        <v>104848.8</v>
      </c>
      <c r="E682" s="9" t="s">
        <v>16</v>
      </c>
      <c r="F682" s="36">
        <v>208</v>
      </c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ht="12.75" customHeight="1" x14ac:dyDescent="0.2">
      <c r="A683" s="6" t="s">
        <v>679</v>
      </c>
      <c r="B683" s="6" t="s">
        <v>15</v>
      </c>
      <c r="C683" s="7" t="s">
        <v>680</v>
      </c>
      <c r="D683" s="8">
        <v>148772.4</v>
      </c>
      <c r="E683" s="9" t="s">
        <v>16</v>
      </c>
      <c r="F683" s="36">
        <v>208</v>
      </c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ht="12.75" customHeight="1" x14ac:dyDescent="0.2">
      <c r="A684" s="6" t="s">
        <v>681</v>
      </c>
      <c r="B684" s="6" t="s">
        <v>15</v>
      </c>
      <c r="C684" s="7" t="s">
        <v>682</v>
      </c>
      <c r="D684" s="8">
        <v>86288.4</v>
      </c>
      <c r="E684" s="9" t="s">
        <v>16</v>
      </c>
      <c r="F684" s="36">
        <v>208</v>
      </c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ht="12.75" customHeight="1" x14ac:dyDescent="0.2">
      <c r="A685" s="6" t="s">
        <v>35</v>
      </c>
      <c r="B685" s="6" t="s">
        <v>15</v>
      </c>
      <c r="C685" s="7">
        <v>166506</v>
      </c>
      <c r="D685" s="8">
        <v>87324</v>
      </c>
      <c r="E685" s="9" t="s">
        <v>16</v>
      </c>
      <c r="F685" s="36">
        <v>208</v>
      </c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ht="12.75" customHeight="1" x14ac:dyDescent="0.2">
      <c r="A686" s="6" t="s">
        <v>36</v>
      </c>
      <c r="B686" s="6" t="s">
        <v>15</v>
      </c>
      <c r="C686" s="7">
        <v>166464</v>
      </c>
      <c r="D686" s="8">
        <v>84873.599999999991</v>
      </c>
      <c r="E686" s="9" t="s">
        <v>16</v>
      </c>
      <c r="F686" s="36">
        <v>208</v>
      </c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ht="12.75" customHeight="1" x14ac:dyDescent="0.2">
      <c r="A687" s="6" t="s">
        <v>37</v>
      </c>
      <c r="B687" s="6" t="s">
        <v>15</v>
      </c>
      <c r="C687" s="7">
        <v>166516</v>
      </c>
      <c r="D687" s="8">
        <v>86988</v>
      </c>
      <c r="E687" s="9" t="s">
        <v>16</v>
      </c>
      <c r="F687" s="36">
        <v>208</v>
      </c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ht="12.75" customHeight="1" x14ac:dyDescent="0.2">
      <c r="A688" s="6" t="s">
        <v>38</v>
      </c>
      <c r="B688" s="6" t="s">
        <v>15</v>
      </c>
      <c r="C688" s="7">
        <v>166531</v>
      </c>
      <c r="D688" s="8">
        <v>102211.2</v>
      </c>
      <c r="E688" s="9" t="s">
        <v>16</v>
      </c>
      <c r="F688" s="36">
        <v>208</v>
      </c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ht="12.75" customHeight="1" x14ac:dyDescent="0.2">
      <c r="A689" s="6" t="s">
        <v>39</v>
      </c>
      <c r="B689" s="6" t="s">
        <v>15</v>
      </c>
      <c r="C689" s="7">
        <v>166811</v>
      </c>
      <c r="D689" s="8">
        <v>106150.8</v>
      </c>
      <c r="E689" s="9" t="s">
        <v>16</v>
      </c>
      <c r="F689" s="36">
        <v>208</v>
      </c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ht="12.75" customHeight="1" x14ac:dyDescent="0.2">
      <c r="A690" s="6" t="s">
        <v>40</v>
      </c>
      <c r="B690" s="6" t="s">
        <v>15</v>
      </c>
      <c r="C690" s="7">
        <v>166522</v>
      </c>
      <c r="D690" s="8">
        <v>108196.8</v>
      </c>
      <c r="E690" s="9" t="s">
        <v>16</v>
      </c>
      <c r="F690" s="36">
        <v>208</v>
      </c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ht="12.75" customHeight="1" x14ac:dyDescent="0.2">
      <c r="A691" s="6" t="s">
        <v>41</v>
      </c>
      <c r="B691" s="6" t="s">
        <v>15</v>
      </c>
      <c r="C691" s="7">
        <v>166533</v>
      </c>
      <c r="D691" s="8">
        <v>105026.4</v>
      </c>
      <c r="E691" s="9" t="s">
        <v>16</v>
      </c>
      <c r="F691" s="36">
        <v>208</v>
      </c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ht="12.75" customHeight="1" x14ac:dyDescent="0.2">
      <c r="A692" s="6" t="s">
        <v>42</v>
      </c>
      <c r="B692" s="6" t="s">
        <v>15</v>
      </c>
      <c r="C692" s="7">
        <v>166524</v>
      </c>
      <c r="D692" s="8">
        <v>107835.59999999999</v>
      </c>
      <c r="E692" s="9" t="s">
        <v>16</v>
      </c>
      <c r="F692" s="36">
        <v>208</v>
      </c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ht="12.75" customHeight="1" x14ac:dyDescent="0.2">
      <c r="A693" s="6" t="s">
        <v>43</v>
      </c>
      <c r="B693" s="6" t="s">
        <v>15</v>
      </c>
      <c r="C693" s="7">
        <v>166526</v>
      </c>
      <c r="D693" s="8">
        <v>103915.2</v>
      </c>
      <c r="E693" s="9" t="s">
        <v>16</v>
      </c>
      <c r="F693" s="36">
        <v>208</v>
      </c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ht="12.75" customHeight="1" x14ac:dyDescent="0.2">
      <c r="A694" s="6" t="s">
        <v>57</v>
      </c>
      <c r="B694" s="6" t="s">
        <v>15</v>
      </c>
      <c r="C694" s="7">
        <v>211102</v>
      </c>
      <c r="D694" s="8">
        <v>121336.79999999999</v>
      </c>
      <c r="E694" s="9" t="s">
        <v>16</v>
      </c>
      <c r="F694" s="36">
        <v>208</v>
      </c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ht="12.75" customHeight="1" x14ac:dyDescent="0.2">
      <c r="A695" s="6" t="s">
        <v>58</v>
      </c>
      <c r="B695" s="6" t="s">
        <v>15</v>
      </c>
      <c r="C695" s="7">
        <v>166520</v>
      </c>
      <c r="D695" s="8">
        <v>115804.8</v>
      </c>
      <c r="E695" s="9" t="s">
        <v>16</v>
      </c>
      <c r="F695" s="36">
        <v>208</v>
      </c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ht="12.75" customHeight="1" x14ac:dyDescent="0.2">
      <c r="A696" s="6" t="s">
        <v>60</v>
      </c>
      <c r="B696" s="6" t="s">
        <v>15</v>
      </c>
      <c r="C696" s="7">
        <v>166509</v>
      </c>
      <c r="D696" s="8">
        <v>76224</v>
      </c>
      <c r="E696" s="9" t="s">
        <v>16</v>
      </c>
      <c r="F696" s="36">
        <v>208</v>
      </c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ht="12.75" customHeight="1" x14ac:dyDescent="0.2">
      <c r="A697" s="6" t="s">
        <v>61</v>
      </c>
      <c r="B697" s="6" t="s">
        <v>15</v>
      </c>
      <c r="C697" s="7">
        <v>166512</v>
      </c>
      <c r="D697" s="8">
        <v>78909.599999999991</v>
      </c>
      <c r="E697" s="9" t="s">
        <v>16</v>
      </c>
      <c r="F697" s="36">
        <v>208</v>
      </c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ht="12.75" customHeight="1" x14ac:dyDescent="0.2">
      <c r="A698" s="6" t="s">
        <v>62</v>
      </c>
      <c r="B698" s="6" t="s">
        <v>15</v>
      </c>
      <c r="C698" s="7">
        <v>166514</v>
      </c>
      <c r="D698" s="8">
        <v>78747.599999999991</v>
      </c>
      <c r="E698" s="9" t="s">
        <v>16</v>
      </c>
      <c r="F698" s="36">
        <v>208</v>
      </c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ht="12.75" customHeight="1" x14ac:dyDescent="0.2">
      <c r="A699" s="6" t="s">
        <v>68</v>
      </c>
      <c r="B699" s="6" t="s">
        <v>15</v>
      </c>
      <c r="C699" s="7">
        <v>166483</v>
      </c>
      <c r="D699" s="8">
        <v>79533.599999999991</v>
      </c>
      <c r="E699" s="9" t="s">
        <v>16</v>
      </c>
      <c r="F699" s="36">
        <v>208</v>
      </c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ht="12.75" customHeight="1" x14ac:dyDescent="0.2">
      <c r="A700" s="6" t="s">
        <v>70</v>
      </c>
      <c r="B700" s="6" t="s">
        <v>15</v>
      </c>
      <c r="C700" s="7">
        <v>166477</v>
      </c>
      <c r="D700" s="8">
        <v>106742.39999999999</v>
      </c>
      <c r="E700" s="9" t="s">
        <v>16</v>
      </c>
      <c r="F700" s="36">
        <v>208</v>
      </c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ht="12.75" customHeight="1" x14ac:dyDescent="0.2">
      <c r="A701" s="6" t="s">
        <v>73</v>
      </c>
      <c r="B701" s="6" t="s">
        <v>15</v>
      </c>
      <c r="C701" s="7">
        <v>167110</v>
      </c>
      <c r="D701" s="8">
        <v>95674.8</v>
      </c>
      <c r="E701" s="9" t="s">
        <v>16</v>
      </c>
      <c r="F701" s="36">
        <v>208</v>
      </c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ht="12.75" customHeight="1" x14ac:dyDescent="0.2">
      <c r="A702" s="6" t="s">
        <v>67</v>
      </c>
      <c r="B702" s="6" t="s">
        <v>15</v>
      </c>
      <c r="C702" s="7">
        <v>166806</v>
      </c>
      <c r="D702" s="8">
        <v>94526.399999999994</v>
      </c>
      <c r="E702" s="9" t="s">
        <v>16</v>
      </c>
      <c r="F702" s="36">
        <v>208</v>
      </c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ht="12.75" customHeight="1" x14ac:dyDescent="0.2">
      <c r="A703" s="6" t="s">
        <v>92</v>
      </c>
      <c r="B703" s="6" t="s">
        <v>15</v>
      </c>
      <c r="C703" s="7">
        <v>168836</v>
      </c>
      <c r="D703" s="8">
        <v>104694</v>
      </c>
      <c r="E703" s="9" t="s">
        <v>16</v>
      </c>
      <c r="F703" s="36">
        <v>208</v>
      </c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ht="12.75" customHeight="1" x14ac:dyDescent="0.2">
      <c r="A704" s="6" t="s">
        <v>153</v>
      </c>
      <c r="B704" s="6" t="s">
        <v>15</v>
      </c>
      <c r="C704" s="7">
        <v>166793</v>
      </c>
      <c r="D704" s="8">
        <v>80930.399999999994</v>
      </c>
      <c r="E704" s="9" t="s">
        <v>16</v>
      </c>
      <c r="F704" s="36">
        <v>208</v>
      </c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ht="12.75" customHeight="1" x14ac:dyDescent="0.2">
      <c r="A705" s="6" t="s">
        <v>199</v>
      </c>
      <c r="B705" s="6" t="s">
        <v>15</v>
      </c>
      <c r="C705" s="7">
        <v>174754</v>
      </c>
      <c r="D705" s="8">
        <v>91968</v>
      </c>
      <c r="E705" s="9" t="s">
        <v>16</v>
      </c>
      <c r="F705" s="36">
        <v>208</v>
      </c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ht="12.75" customHeight="1" x14ac:dyDescent="0.2">
      <c r="A706" s="6" t="s">
        <v>203</v>
      </c>
      <c r="B706" s="6" t="s">
        <v>15</v>
      </c>
      <c r="C706" s="7">
        <v>195325</v>
      </c>
      <c r="D706" s="8">
        <v>126194.4</v>
      </c>
      <c r="E706" s="9" t="s">
        <v>16</v>
      </c>
      <c r="F706" s="36">
        <v>208</v>
      </c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ht="12.75" customHeight="1" x14ac:dyDescent="0.2">
      <c r="A707" s="6" t="s">
        <v>208</v>
      </c>
      <c r="B707" s="6" t="s">
        <v>15</v>
      </c>
      <c r="C707" s="7">
        <v>173646</v>
      </c>
      <c r="D707" s="8">
        <v>84028.800000000003</v>
      </c>
      <c r="E707" s="9" t="s">
        <v>16</v>
      </c>
      <c r="F707" s="36">
        <v>208</v>
      </c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ht="12.75" customHeight="1" x14ac:dyDescent="0.2">
      <c r="A708" s="6" t="s">
        <v>217</v>
      </c>
      <c r="B708" s="6" t="s">
        <v>15</v>
      </c>
      <c r="C708" s="7">
        <v>170320</v>
      </c>
      <c r="D708" s="8">
        <v>117476.4</v>
      </c>
      <c r="E708" s="9" t="s">
        <v>16</v>
      </c>
      <c r="F708" s="36">
        <v>208</v>
      </c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ht="12.75" customHeight="1" x14ac:dyDescent="0.2">
      <c r="A709" s="6" t="s">
        <v>233</v>
      </c>
      <c r="B709" s="6" t="s">
        <v>15</v>
      </c>
      <c r="C709" s="7">
        <v>171471</v>
      </c>
      <c r="D709" s="8">
        <v>103153.2</v>
      </c>
      <c r="E709" s="9" t="s">
        <v>16</v>
      </c>
      <c r="F709" s="36">
        <v>208</v>
      </c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ht="12.75" customHeight="1" x14ac:dyDescent="0.2">
      <c r="A710" s="6" t="s">
        <v>264</v>
      </c>
      <c r="B710" s="6" t="s">
        <v>15</v>
      </c>
      <c r="C710" s="7">
        <v>187703</v>
      </c>
      <c r="D710" s="8">
        <v>96772.800000000003</v>
      </c>
      <c r="E710" s="9" t="s">
        <v>16</v>
      </c>
      <c r="F710" s="36">
        <v>208</v>
      </c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ht="12.75" customHeight="1" x14ac:dyDescent="0.2">
      <c r="A711" s="6" t="s">
        <v>356</v>
      </c>
      <c r="B711" s="6" t="s">
        <v>15</v>
      </c>
      <c r="C711" s="7">
        <v>196134</v>
      </c>
      <c r="D711" s="8">
        <v>118328.4</v>
      </c>
      <c r="E711" s="9" t="s">
        <v>7</v>
      </c>
      <c r="F711" s="36">
        <v>208</v>
      </c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ht="12.75" customHeight="1" x14ac:dyDescent="0.2">
      <c r="A712" s="6" t="s">
        <v>355</v>
      </c>
      <c r="B712" s="6" t="s">
        <v>15</v>
      </c>
      <c r="C712" s="7">
        <v>196116</v>
      </c>
      <c r="D712" s="8">
        <v>111748.8</v>
      </c>
      <c r="E712" s="9" t="s">
        <v>7</v>
      </c>
      <c r="F712" s="36">
        <v>208</v>
      </c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ht="12.75" customHeight="1" x14ac:dyDescent="0.2">
      <c r="A713" s="6" t="s">
        <v>358</v>
      </c>
      <c r="B713" s="6" t="s">
        <v>15</v>
      </c>
      <c r="C713" s="7">
        <v>196148</v>
      </c>
      <c r="D713" s="8">
        <v>112801.2</v>
      </c>
      <c r="E713" s="9" t="s">
        <v>7</v>
      </c>
      <c r="F713" s="36">
        <v>208</v>
      </c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ht="12.75" customHeight="1" x14ac:dyDescent="0.2">
      <c r="A714" s="6" t="s">
        <v>364</v>
      </c>
      <c r="B714" s="6" t="s">
        <v>15</v>
      </c>
      <c r="C714" s="7">
        <v>211435</v>
      </c>
      <c r="D714" s="8">
        <v>115903.2</v>
      </c>
      <c r="E714" s="9" t="s">
        <v>7</v>
      </c>
      <c r="F714" s="36">
        <v>208</v>
      </c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ht="12.75" customHeight="1" x14ac:dyDescent="0.2">
      <c r="A715" s="6" t="s">
        <v>413</v>
      </c>
      <c r="B715" s="6" t="s">
        <v>15</v>
      </c>
      <c r="C715" s="7">
        <v>203550</v>
      </c>
      <c r="D715" s="8">
        <v>76806</v>
      </c>
      <c r="E715" s="9" t="s">
        <v>16</v>
      </c>
      <c r="F715" s="36">
        <v>208</v>
      </c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ht="12.75" customHeight="1" x14ac:dyDescent="0.2">
      <c r="A716" s="6" t="s">
        <v>414</v>
      </c>
      <c r="B716" s="6" t="s">
        <v>15</v>
      </c>
      <c r="C716" s="7">
        <v>203556</v>
      </c>
      <c r="D716" s="8">
        <v>83227.199999999997</v>
      </c>
      <c r="E716" s="9" t="s">
        <v>16</v>
      </c>
      <c r="F716" s="36">
        <v>208</v>
      </c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ht="12.75" customHeight="1" x14ac:dyDescent="0.2">
      <c r="A717" s="6" t="s">
        <v>415</v>
      </c>
      <c r="B717" s="6" t="s">
        <v>15</v>
      </c>
      <c r="C717" s="7">
        <v>203553</v>
      </c>
      <c r="D717" s="8">
        <v>79533.599999999991</v>
      </c>
      <c r="E717" s="9" t="s">
        <v>16</v>
      </c>
      <c r="F717" s="36">
        <v>208</v>
      </c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ht="12.75" customHeight="1" x14ac:dyDescent="0.2">
      <c r="A718" s="6" t="s">
        <v>416</v>
      </c>
      <c r="B718" s="6" t="s">
        <v>15</v>
      </c>
      <c r="C718" s="7">
        <v>203542</v>
      </c>
      <c r="D718" s="8">
        <v>78314.399999999994</v>
      </c>
      <c r="E718" s="9" t="s">
        <v>7</v>
      </c>
      <c r="F718" s="36">
        <v>208</v>
      </c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ht="12.75" customHeight="1" x14ac:dyDescent="0.2">
      <c r="A719" s="6" t="s">
        <v>417</v>
      </c>
      <c r="B719" s="6" t="s">
        <v>15</v>
      </c>
      <c r="C719" s="7">
        <v>203545</v>
      </c>
      <c r="D719" s="8">
        <v>96216</v>
      </c>
      <c r="E719" s="9" t="s">
        <v>7</v>
      </c>
      <c r="F719" s="36">
        <v>208</v>
      </c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ht="12.75" customHeight="1" x14ac:dyDescent="0.2">
      <c r="A720" s="6" t="s">
        <v>437</v>
      </c>
      <c r="B720" s="6" t="s">
        <v>15</v>
      </c>
      <c r="C720" s="7">
        <v>209573</v>
      </c>
      <c r="D720" s="8">
        <v>93447.599999999991</v>
      </c>
      <c r="E720" s="9" t="s">
        <v>16</v>
      </c>
      <c r="F720" s="36">
        <v>208</v>
      </c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ht="12.75" customHeight="1" x14ac:dyDescent="0.2">
      <c r="A721" s="6" t="s">
        <v>494</v>
      </c>
      <c r="B721" s="6" t="s">
        <v>15</v>
      </c>
      <c r="C721" s="7">
        <v>216624</v>
      </c>
      <c r="D721" s="8">
        <v>114498</v>
      </c>
      <c r="E721" s="9" t="s">
        <v>16</v>
      </c>
      <c r="F721" s="36">
        <v>208</v>
      </c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ht="12.75" customHeight="1" x14ac:dyDescent="0.2">
      <c r="A722" s="6" t="s">
        <v>61</v>
      </c>
      <c r="B722" s="6" t="s">
        <v>15</v>
      </c>
      <c r="C722" s="7">
        <v>190668</v>
      </c>
      <c r="D722" s="8">
        <v>78909.599999999991</v>
      </c>
      <c r="E722" s="9" t="s">
        <v>16</v>
      </c>
      <c r="F722" s="36">
        <v>208</v>
      </c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ht="12.75" customHeight="1" x14ac:dyDescent="0.2">
      <c r="A723" s="6" t="s">
        <v>70</v>
      </c>
      <c r="B723" s="6" t="s">
        <v>15</v>
      </c>
      <c r="C723" s="7">
        <v>197110</v>
      </c>
      <c r="D723" s="8">
        <v>106742.39999999999</v>
      </c>
      <c r="E723" s="9" t="s">
        <v>16</v>
      </c>
      <c r="F723" s="36">
        <v>208</v>
      </c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ht="12.75" customHeight="1" x14ac:dyDescent="0.2">
      <c r="A724" s="6" t="s">
        <v>356</v>
      </c>
      <c r="B724" s="6" t="s">
        <v>15</v>
      </c>
      <c r="C724" s="7">
        <v>197095</v>
      </c>
      <c r="D724" s="8">
        <v>118328.4</v>
      </c>
      <c r="E724" s="9" t="s">
        <v>7</v>
      </c>
      <c r="F724" s="36">
        <v>208</v>
      </c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ht="12.75" customHeight="1" x14ac:dyDescent="0.2">
      <c r="A725" s="6" t="s">
        <v>358</v>
      </c>
      <c r="B725" s="6" t="s">
        <v>15</v>
      </c>
      <c r="C725" s="7">
        <v>196158</v>
      </c>
      <c r="D725" s="8">
        <v>112801.2</v>
      </c>
      <c r="E725" s="9" t="s">
        <v>7</v>
      </c>
      <c r="F725" s="36">
        <v>208</v>
      </c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ht="12.75" customHeight="1" x14ac:dyDescent="0.2">
      <c r="A726" s="6" t="s">
        <v>414</v>
      </c>
      <c r="B726" s="6" t="s">
        <v>15</v>
      </c>
      <c r="C726" s="7">
        <v>203557</v>
      </c>
      <c r="D726" s="8">
        <v>83227.199999999997</v>
      </c>
      <c r="E726" s="9" t="s">
        <v>16</v>
      </c>
      <c r="F726" s="36">
        <v>208</v>
      </c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ht="12.75" customHeight="1" x14ac:dyDescent="0.2">
      <c r="A727" s="6" t="s">
        <v>593</v>
      </c>
      <c r="B727" s="6" t="s">
        <v>15</v>
      </c>
      <c r="C727" s="7">
        <v>201239</v>
      </c>
      <c r="D727" s="8">
        <v>337952.39999999997</v>
      </c>
      <c r="E727" s="9" t="s">
        <v>16</v>
      </c>
      <c r="F727" s="36">
        <v>208</v>
      </c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ht="12.75" customHeight="1" x14ac:dyDescent="0.2">
      <c r="A728" s="6" t="s">
        <v>600</v>
      </c>
      <c r="B728" s="6" t="s">
        <v>15</v>
      </c>
      <c r="C728" s="7">
        <v>201293</v>
      </c>
      <c r="D728" s="8">
        <v>92871.599999999991</v>
      </c>
      <c r="E728" s="9" t="s">
        <v>16</v>
      </c>
      <c r="F728" s="36">
        <v>208</v>
      </c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ht="12.75" customHeight="1" x14ac:dyDescent="0.2">
      <c r="A729" s="6" t="s">
        <v>610</v>
      </c>
      <c r="B729" s="6" t="s">
        <v>15</v>
      </c>
      <c r="C729" s="7">
        <v>201659</v>
      </c>
      <c r="D729" s="8">
        <v>240094.8</v>
      </c>
      <c r="E729" s="9" t="s">
        <v>16</v>
      </c>
      <c r="F729" s="36">
        <v>208</v>
      </c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ht="12.75" customHeight="1" x14ac:dyDescent="0.2">
      <c r="A730" s="6" t="s">
        <v>629</v>
      </c>
      <c r="B730" s="6" t="s">
        <v>15</v>
      </c>
      <c r="C730" s="7">
        <v>110720</v>
      </c>
      <c r="D730" s="8">
        <v>79810.8</v>
      </c>
      <c r="E730" s="9" t="s">
        <v>16</v>
      </c>
      <c r="F730" s="36">
        <v>208</v>
      </c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ht="12.75" customHeight="1" x14ac:dyDescent="0.2">
      <c r="A731" s="6" t="s">
        <v>199</v>
      </c>
      <c r="B731" s="6" t="s">
        <v>15</v>
      </c>
      <c r="C731" s="7">
        <v>10291101</v>
      </c>
      <c r="D731" s="8">
        <v>91968</v>
      </c>
      <c r="E731" s="9" t="s">
        <v>16</v>
      </c>
      <c r="F731" s="36">
        <v>208</v>
      </c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ht="12.75" customHeight="1" x14ac:dyDescent="0.2">
      <c r="A732" s="6" t="s">
        <v>686</v>
      </c>
      <c r="B732" s="6" t="s">
        <v>15</v>
      </c>
      <c r="C732" s="7">
        <v>166797</v>
      </c>
      <c r="D732" s="8">
        <v>75930</v>
      </c>
      <c r="E732" s="9" t="s">
        <v>16</v>
      </c>
      <c r="F732" s="36">
        <v>208</v>
      </c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ht="12.75" customHeight="1" x14ac:dyDescent="0.2">
      <c r="A733" s="6" t="s">
        <v>193</v>
      </c>
      <c r="B733" s="6" t="s">
        <v>15</v>
      </c>
      <c r="C733" s="7" t="s">
        <v>688</v>
      </c>
      <c r="D733" s="8">
        <v>77316</v>
      </c>
      <c r="E733" s="9" t="s">
        <v>16</v>
      </c>
      <c r="F733" s="36">
        <v>208</v>
      </c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ht="12.75" customHeight="1" x14ac:dyDescent="0.2">
      <c r="A734" s="6" t="s">
        <v>131</v>
      </c>
      <c r="B734" s="6" t="s">
        <v>175</v>
      </c>
      <c r="C734" s="7">
        <v>140212</v>
      </c>
      <c r="D734" s="8">
        <v>32358</v>
      </c>
      <c r="E734" s="9" t="s">
        <v>16</v>
      </c>
      <c r="F734" s="36">
        <v>20</v>
      </c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ht="12.75" customHeight="1" x14ac:dyDescent="0.2">
      <c r="A735" s="6" t="s">
        <v>127</v>
      </c>
      <c r="B735" s="6" t="s">
        <v>175</v>
      </c>
      <c r="C735" s="7">
        <v>146226</v>
      </c>
      <c r="D735" s="8">
        <v>29466</v>
      </c>
      <c r="E735" s="9" t="s">
        <v>16</v>
      </c>
      <c r="F735" s="36">
        <v>20</v>
      </c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ht="12.75" customHeight="1" x14ac:dyDescent="0.2">
      <c r="A736" s="6" t="s">
        <v>31</v>
      </c>
      <c r="B736" s="6" t="s">
        <v>32</v>
      </c>
      <c r="C736" s="7">
        <v>110469</v>
      </c>
      <c r="D736" s="8">
        <v>10196.4</v>
      </c>
      <c r="E736" s="9" t="s">
        <v>16</v>
      </c>
      <c r="F736" s="36">
        <v>20</v>
      </c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ht="12.75" customHeight="1" x14ac:dyDescent="0.2">
      <c r="A737" s="6" t="s">
        <v>35</v>
      </c>
      <c r="B737" s="6" t="s">
        <v>32</v>
      </c>
      <c r="C737" s="7">
        <v>110475</v>
      </c>
      <c r="D737" s="8">
        <v>9196.7999999999993</v>
      </c>
      <c r="E737" s="9" t="s">
        <v>16</v>
      </c>
      <c r="F737" s="36">
        <v>20</v>
      </c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ht="12.75" customHeight="1" x14ac:dyDescent="0.2">
      <c r="A738" s="6" t="s">
        <v>36</v>
      </c>
      <c r="B738" s="6" t="s">
        <v>32</v>
      </c>
      <c r="C738" s="7">
        <v>110478</v>
      </c>
      <c r="D738" s="8">
        <v>8870.4</v>
      </c>
      <c r="E738" s="9" t="s">
        <v>16</v>
      </c>
      <c r="F738" s="36">
        <v>20</v>
      </c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ht="12.75" customHeight="1" x14ac:dyDescent="0.2">
      <c r="A739" s="6" t="s">
        <v>37</v>
      </c>
      <c r="B739" s="6" t="s">
        <v>32</v>
      </c>
      <c r="C739" s="7">
        <v>110481</v>
      </c>
      <c r="D739" s="8">
        <v>9056.4</v>
      </c>
      <c r="E739" s="9" t="s">
        <v>16</v>
      </c>
      <c r="F739" s="36">
        <v>20</v>
      </c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ht="12.75" customHeight="1" x14ac:dyDescent="0.2">
      <c r="A740" s="6" t="s">
        <v>38</v>
      </c>
      <c r="B740" s="6" t="s">
        <v>32</v>
      </c>
      <c r="C740" s="7">
        <v>110484</v>
      </c>
      <c r="D740" s="8">
        <v>11161.199999999999</v>
      </c>
      <c r="E740" s="9" t="s">
        <v>16</v>
      </c>
      <c r="F740" s="36">
        <v>20</v>
      </c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ht="12.75" customHeight="1" x14ac:dyDescent="0.2">
      <c r="A741" s="6" t="s">
        <v>39</v>
      </c>
      <c r="B741" s="6" t="s">
        <v>32</v>
      </c>
      <c r="C741" s="7">
        <v>110487</v>
      </c>
      <c r="D741" s="8">
        <v>11019.6</v>
      </c>
      <c r="E741" s="9" t="s">
        <v>16</v>
      </c>
      <c r="F741" s="36">
        <v>20</v>
      </c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ht="12.75" customHeight="1" x14ac:dyDescent="0.2">
      <c r="A742" s="6" t="s">
        <v>40</v>
      </c>
      <c r="B742" s="6" t="s">
        <v>32</v>
      </c>
      <c r="C742" s="7">
        <v>110490</v>
      </c>
      <c r="D742" s="8">
        <v>11205.6</v>
      </c>
      <c r="E742" s="9" t="s">
        <v>16</v>
      </c>
      <c r="F742" s="36">
        <v>20</v>
      </c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ht="12.75" customHeight="1" x14ac:dyDescent="0.2">
      <c r="A743" s="6" t="s">
        <v>42</v>
      </c>
      <c r="B743" s="6" t="s">
        <v>32</v>
      </c>
      <c r="C743" s="7">
        <v>110495</v>
      </c>
      <c r="D743" s="8">
        <v>11764.8</v>
      </c>
      <c r="E743" s="9" t="s">
        <v>16</v>
      </c>
      <c r="F743" s="36">
        <v>20</v>
      </c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ht="12.75" customHeight="1" x14ac:dyDescent="0.2">
      <c r="A744" s="6" t="s">
        <v>45</v>
      </c>
      <c r="B744" s="6" t="s">
        <v>32</v>
      </c>
      <c r="C744" s="7">
        <v>110514</v>
      </c>
      <c r="D744" s="8">
        <v>22392</v>
      </c>
      <c r="E744" s="9" t="s">
        <v>16</v>
      </c>
      <c r="F744" s="36">
        <v>20</v>
      </c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ht="12.75" customHeight="1" x14ac:dyDescent="0.2">
      <c r="A745" s="6" t="s">
        <v>46</v>
      </c>
      <c r="B745" s="6" t="s">
        <v>32</v>
      </c>
      <c r="C745" s="7">
        <v>110515</v>
      </c>
      <c r="D745" s="8">
        <v>25195.200000000001</v>
      </c>
      <c r="E745" s="9" t="s">
        <v>16</v>
      </c>
      <c r="F745" s="36">
        <v>20</v>
      </c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ht="12.75" customHeight="1" x14ac:dyDescent="0.2">
      <c r="A746" s="6" t="s">
        <v>47</v>
      </c>
      <c r="B746" s="6" t="s">
        <v>32</v>
      </c>
      <c r="C746" s="7">
        <v>110516</v>
      </c>
      <c r="D746" s="8">
        <v>25430.399999999998</v>
      </c>
      <c r="E746" s="9" t="s">
        <v>16</v>
      </c>
      <c r="F746" s="36">
        <v>20</v>
      </c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ht="12.75" customHeight="1" x14ac:dyDescent="0.2">
      <c r="A747" s="6" t="s">
        <v>58</v>
      </c>
      <c r="B747" s="6" t="s">
        <v>32</v>
      </c>
      <c r="C747" s="7">
        <v>110556</v>
      </c>
      <c r="D747" s="8">
        <v>11965.199999999999</v>
      </c>
      <c r="E747" s="9" t="s">
        <v>16</v>
      </c>
      <c r="F747" s="36">
        <v>20</v>
      </c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ht="12.75" customHeight="1" x14ac:dyDescent="0.2">
      <c r="A748" s="6" t="s">
        <v>59</v>
      </c>
      <c r="B748" s="6" t="s">
        <v>32</v>
      </c>
      <c r="C748" s="7">
        <v>110569</v>
      </c>
      <c r="D748" s="8">
        <v>8954.4</v>
      </c>
      <c r="E748" s="9" t="s">
        <v>16</v>
      </c>
      <c r="F748" s="36">
        <v>20</v>
      </c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ht="12.75" customHeight="1" x14ac:dyDescent="0.2">
      <c r="A749" s="6" t="s">
        <v>60</v>
      </c>
      <c r="B749" s="6" t="s">
        <v>32</v>
      </c>
      <c r="C749" s="7">
        <v>110571</v>
      </c>
      <c r="D749" s="8">
        <v>8072.4</v>
      </c>
      <c r="E749" s="9" t="s">
        <v>16</v>
      </c>
      <c r="F749" s="36">
        <v>20</v>
      </c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ht="12.75" customHeight="1" x14ac:dyDescent="0.2">
      <c r="A750" s="6" t="s">
        <v>61</v>
      </c>
      <c r="B750" s="6" t="s">
        <v>32</v>
      </c>
      <c r="C750" s="7">
        <v>110574</v>
      </c>
      <c r="D750" s="8">
        <v>8718</v>
      </c>
      <c r="E750" s="9" t="s">
        <v>16</v>
      </c>
      <c r="F750" s="36">
        <v>20</v>
      </c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ht="12.75" customHeight="1" x14ac:dyDescent="0.2">
      <c r="A751" s="6" t="s">
        <v>62</v>
      </c>
      <c r="B751" s="6" t="s">
        <v>32</v>
      </c>
      <c r="C751" s="7">
        <v>110577</v>
      </c>
      <c r="D751" s="8">
        <v>8548.7999999999993</v>
      </c>
      <c r="E751" s="9" t="s">
        <v>16</v>
      </c>
      <c r="F751" s="36">
        <v>20</v>
      </c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ht="12.75" customHeight="1" x14ac:dyDescent="0.2">
      <c r="A752" s="6" t="s">
        <v>65</v>
      </c>
      <c r="B752" s="6" t="s">
        <v>32</v>
      </c>
      <c r="C752" s="7">
        <v>110630</v>
      </c>
      <c r="D752" s="8">
        <v>9434.4</v>
      </c>
      <c r="E752" s="9" t="s">
        <v>16</v>
      </c>
      <c r="F752" s="36">
        <v>20</v>
      </c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ht="12.75" customHeight="1" x14ac:dyDescent="0.2">
      <c r="A753" s="6" t="s">
        <v>67</v>
      </c>
      <c r="B753" s="6" t="s">
        <v>32</v>
      </c>
      <c r="C753" s="7">
        <v>110659</v>
      </c>
      <c r="D753" s="8">
        <v>9686.4</v>
      </c>
      <c r="E753" s="9" t="s">
        <v>16</v>
      </c>
      <c r="F753" s="36">
        <v>20</v>
      </c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ht="12.75" customHeight="1" x14ac:dyDescent="0.2">
      <c r="A754" s="6" t="s">
        <v>72</v>
      </c>
      <c r="B754" s="6" t="s">
        <v>32</v>
      </c>
      <c r="C754" s="7">
        <v>110797</v>
      </c>
      <c r="D754" s="8">
        <v>8463.6</v>
      </c>
      <c r="E754" s="9" t="s">
        <v>16</v>
      </c>
      <c r="F754" s="36">
        <v>20</v>
      </c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ht="12.75" customHeight="1" x14ac:dyDescent="0.2">
      <c r="A755" s="6" t="s">
        <v>73</v>
      </c>
      <c r="B755" s="6" t="s">
        <v>32</v>
      </c>
      <c r="C755" s="7">
        <v>110801</v>
      </c>
      <c r="D755" s="8">
        <v>9981.6</v>
      </c>
      <c r="E755" s="9" t="s">
        <v>16</v>
      </c>
      <c r="F755" s="36">
        <v>20</v>
      </c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ht="12.75" customHeight="1" x14ac:dyDescent="0.2">
      <c r="A756" s="6" t="s">
        <v>80</v>
      </c>
      <c r="B756" s="6" t="s">
        <v>32</v>
      </c>
      <c r="C756" s="7">
        <v>112463</v>
      </c>
      <c r="D756" s="8">
        <v>10876.8</v>
      </c>
      <c r="E756" s="9" t="s">
        <v>16</v>
      </c>
      <c r="F756" s="36">
        <v>20</v>
      </c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ht="12.75" customHeight="1" x14ac:dyDescent="0.2">
      <c r="A757" s="6" t="s">
        <v>34</v>
      </c>
      <c r="B757" s="6" t="s">
        <v>32</v>
      </c>
      <c r="C757" s="7">
        <v>112464</v>
      </c>
      <c r="D757" s="8">
        <v>9196.7999999999993</v>
      </c>
      <c r="E757" s="9" t="s">
        <v>16</v>
      </c>
      <c r="F757" s="36">
        <v>20</v>
      </c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ht="12.75" customHeight="1" x14ac:dyDescent="0.2">
      <c r="A758" s="6" t="s">
        <v>33</v>
      </c>
      <c r="B758" s="6" t="s">
        <v>32</v>
      </c>
      <c r="C758" s="7">
        <v>112469</v>
      </c>
      <c r="D758" s="8">
        <v>10098</v>
      </c>
      <c r="E758" s="9" t="s">
        <v>16</v>
      </c>
      <c r="F758" s="36">
        <v>20</v>
      </c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ht="12.75" customHeight="1" x14ac:dyDescent="0.2">
      <c r="A759" s="6" t="s">
        <v>94</v>
      </c>
      <c r="B759" s="6" t="s">
        <v>32</v>
      </c>
      <c r="C759" s="7">
        <v>112470</v>
      </c>
      <c r="D759" s="8">
        <v>14169.6</v>
      </c>
      <c r="E759" s="9" t="s">
        <v>16</v>
      </c>
      <c r="F759" s="36">
        <v>20</v>
      </c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ht="12.75" customHeight="1" x14ac:dyDescent="0.2">
      <c r="A760" s="6" t="s">
        <v>95</v>
      </c>
      <c r="B760" s="6" t="s">
        <v>32</v>
      </c>
      <c r="C760" s="7">
        <v>112471</v>
      </c>
      <c r="D760" s="8">
        <v>11946</v>
      </c>
      <c r="E760" s="9" t="s">
        <v>16</v>
      </c>
      <c r="F760" s="36">
        <v>20</v>
      </c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ht="12.75" customHeight="1" x14ac:dyDescent="0.2">
      <c r="A761" s="6" t="s">
        <v>96</v>
      </c>
      <c r="B761" s="6" t="s">
        <v>32</v>
      </c>
      <c r="C761" s="7">
        <v>112472</v>
      </c>
      <c r="D761" s="8">
        <v>10587.6</v>
      </c>
      <c r="E761" s="9" t="s">
        <v>16</v>
      </c>
      <c r="F761" s="36">
        <v>20</v>
      </c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ht="12.75" customHeight="1" x14ac:dyDescent="0.2">
      <c r="A762" s="6" t="s">
        <v>103</v>
      </c>
      <c r="B762" s="6" t="s">
        <v>32</v>
      </c>
      <c r="C762" s="7">
        <v>112473</v>
      </c>
      <c r="D762" s="8">
        <v>25992</v>
      </c>
      <c r="E762" s="9" t="s">
        <v>16</v>
      </c>
      <c r="F762" s="36">
        <v>20</v>
      </c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ht="12.75" customHeight="1" x14ac:dyDescent="0.2">
      <c r="A763" s="6" t="s">
        <v>97</v>
      </c>
      <c r="B763" s="6" t="s">
        <v>32</v>
      </c>
      <c r="C763" s="7">
        <v>112474</v>
      </c>
      <c r="D763" s="8">
        <v>29305.200000000001</v>
      </c>
      <c r="E763" s="9" t="s">
        <v>16</v>
      </c>
      <c r="F763" s="36">
        <v>20</v>
      </c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ht="12.75" customHeight="1" x14ac:dyDescent="0.2">
      <c r="A764" s="6" t="s">
        <v>98</v>
      </c>
      <c r="B764" s="6" t="s">
        <v>32</v>
      </c>
      <c r="C764" s="7">
        <v>112476</v>
      </c>
      <c r="D764" s="8">
        <v>18448.8</v>
      </c>
      <c r="E764" s="9" t="s">
        <v>16</v>
      </c>
      <c r="F764" s="36">
        <v>20</v>
      </c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ht="12.75" customHeight="1" x14ac:dyDescent="0.2">
      <c r="A765" s="6" t="s">
        <v>104</v>
      </c>
      <c r="B765" s="6" t="s">
        <v>32</v>
      </c>
      <c r="C765" s="7">
        <v>112478</v>
      </c>
      <c r="D765" s="8">
        <v>11397.6</v>
      </c>
      <c r="E765" s="9" t="s">
        <v>16</v>
      </c>
      <c r="F765" s="36">
        <v>20</v>
      </c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ht="12.75" customHeight="1" x14ac:dyDescent="0.2">
      <c r="A766" s="6" t="s">
        <v>81</v>
      </c>
      <c r="B766" s="6" t="s">
        <v>32</v>
      </c>
      <c r="C766" s="7">
        <v>112485</v>
      </c>
      <c r="D766" s="8">
        <v>8491.1999999999989</v>
      </c>
      <c r="E766" s="9" t="s">
        <v>16</v>
      </c>
      <c r="F766" s="36">
        <v>20</v>
      </c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ht="12.75" customHeight="1" x14ac:dyDescent="0.2">
      <c r="A767" s="6" t="s">
        <v>87</v>
      </c>
      <c r="B767" s="6" t="s">
        <v>32</v>
      </c>
      <c r="C767" s="7">
        <v>112490</v>
      </c>
      <c r="D767" s="8">
        <v>11397.6</v>
      </c>
      <c r="E767" s="9" t="s">
        <v>16</v>
      </c>
      <c r="F767" s="36">
        <v>20</v>
      </c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ht="12.75" customHeight="1" x14ac:dyDescent="0.2">
      <c r="A768" s="6" t="s">
        <v>105</v>
      </c>
      <c r="B768" s="6" t="s">
        <v>32</v>
      </c>
      <c r="C768" s="7">
        <v>112495</v>
      </c>
      <c r="D768" s="8">
        <v>10515.6</v>
      </c>
      <c r="E768" s="9" t="s">
        <v>16</v>
      </c>
      <c r="F768" s="36">
        <v>20</v>
      </c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ht="12.75" customHeight="1" x14ac:dyDescent="0.2">
      <c r="A769" s="6" t="s">
        <v>106</v>
      </c>
      <c r="B769" s="6" t="s">
        <v>32</v>
      </c>
      <c r="C769" s="7">
        <v>112496</v>
      </c>
      <c r="D769" s="8">
        <v>10653.6</v>
      </c>
      <c r="E769" s="9" t="s">
        <v>16</v>
      </c>
      <c r="F769" s="36">
        <v>20</v>
      </c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ht="12.75" customHeight="1" x14ac:dyDescent="0.2">
      <c r="A770" s="6" t="s">
        <v>99</v>
      </c>
      <c r="B770" s="6" t="s">
        <v>32</v>
      </c>
      <c r="C770" s="7">
        <v>112501</v>
      </c>
      <c r="D770" s="8">
        <v>14035.199999999999</v>
      </c>
      <c r="E770" s="9" t="s">
        <v>16</v>
      </c>
      <c r="F770" s="36">
        <v>20</v>
      </c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ht="12.75" customHeight="1" x14ac:dyDescent="0.2">
      <c r="A771" s="6" t="s">
        <v>43</v>
      </c>
      <c r="B771" s="6" t="s">
        <v>32</v>
      </c>
      <c r="C771" s="7">
        <v>112508</v>
      </c>
      <c r="D771" s="8">
        <v>10503.6</v>
      </c>
      <c r="E771" s="9" t="s">
        <v>16</v>
      </c>
      <c r="F771" s="36">
        <v>20</v>
      </c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ht="12.75" customHeight="1" x14ac:dyDescent="0.2">
      <c r="A772" s="6" t="s">
        <v>107</v>
      </c>
      <c r="B772" s="6" t="s">
        <v>32</v>
      </c>
      <c r="C772" s="7">
        <v>112515</v>
      </c>
      <c r="D772" s="8">
        <v>11166</v>
      </c>
      <c r="E772" s="9" t="s">
        <v>16</v>
      </c>
      <c r="F772" s="36">
        <v>20</v>
      </c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ht="12.75" customHeight="1" x14ac:dyDescent="0.2">
      <c r="A773" s="6" t="s">
        <v>108</v>
      </c>
      <c r="B773" s="6" t="s">
        <v>32</v>
      </c>
      <c r="C773" s="7">
        <v>112517</v>
      </c>
      <c r="D773" s="8">
        <v>10453.199999999999</v>
      </c>
      <c r="E773" s="9" t="s">
        <v>16</v>
      </c>
      <c r="F773" s="36">
        <v>20</v>
      </c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ht="12.75" customHeight="1" x14ac:dyDescent="0.2">
      <c r="A774" s="6" t="s">
        <v>109</v>
      </c>
      <c r="B774" s="6" t="s">
        <v>32</v>
      </c>
      <c r="C774" s="7">
        <v>112519</v>
      </c>
      <c r="D774" s="8">
        <v>10646.4</v>
      </c>
      <c r="E774" s="9" t="s">
        <v>16</v>
      </c>
      <c r="F774" s="36">
        <v>20</v>
      </c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ht="12.75" customHeight="1" x14ac:dyDescent="0.2">
      <c r="A775" s="6" t="s">
        <v>110</v>
      </c>
      <c r="B775" s="6" t="s">
        <v>32</v>
      </c>
      <c r="C775" s="7">
        <v>112521</v>
      </c>
      <c r="D775" s="8">
        <v>10802.4</v>
      </c>
      <c r="E775" s="9" t="s">
        <v>16</v>
      </c>
      <c r="F775" s="36">
        <v>20</v>
      </c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ht="12.75" customHeight="1" x14ac:dyDescent="0.2">
      <c r="A776" s="6" t="s">
        <v>111</v>
      </c>
      <c r="B776" s="6" t="s">
        <v>32</v>
      </c>
      <c r="C776" s="7">
        <v>112523</v>
      </c>
      <c r="D776" s="8">
        <v>11251.199999999999</v>
      </c>
      <c r="E776" s="9" t="s">
        <v>16</v>
      </c>
      <c r="F776" s="36">
        <v>20</v>
      </c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ht="12.75" customHeight="1" x14ac:dyDescent="0.2">
      <c r="A777" s="6" t="s">
        <v>112</v>
      </c>
      <c r="B777" s="6" t="s">
        <v>32</v>
      </c>
      <c r="C777" s="7">
        <v>112525</v>
      </c>
      <c r="D777" s="8">
        <v>11809.199999999999</v>
      </c>
      <c r="E777" s="9" t="s">
        <v>16</v>
      </c>
      <c r="F777" s="36">
        <v>20</v>
      </c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ht="12.75" customHeight="1" x14ac:dyDescent="0.2">
      <c r="A778" s="6" t="s">
        <v>113</v>
      </c>
      <c r="B778" s="6" t="s">
        <v>32</v>
      </c>
      <c r="C778" s="7">
        <v>112527</v>
      </c>
      <c r="D778" s="8">
        <v>11702.4</v>
      </c>
      <c r="E778" s="9" t="s">
        <v>16</v>
      </c>
      <c r="F778" s="36">
        <v>20</v>
      </c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ht="12.75" customHeight="1" x14ac:dyDescent="0.2">
      <c r="A779" s="6" t="s">
        <v>41</v>
      </c>
      <c r="B779" s="6" t="s">
        <v>32</v>
      </c>
      <c r="C779" s="7">
        <v>112532</v>
      </c>
      <c r="D779" s="8">
        <v>11284.8</v>
      </c>
      <c r="E779" s="9" t="s">
        <v>16</v>
      </c>
      <c r="F779" s="36">
        <v>20</v>
      </c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ht="12.75" customHeight="1" x14ac:dyDescent="0.2">
      <c r="A780" s="6" t="s">
        <v>44</v>
      </c>
      <c r="B780" s="6" t="s">
        <v>32</v>
      </c>
      <c r="C780" s="7">
        <v>112534</v>
      </c>
      <c r="D780" s="8">
        <v>12745.199999999999</v>
      </c>
      <c r="E780" s="9" t="s">
        <v>16</v>
      </c>
      <c r="F780" s="36">
        <v>20</v>
      </c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ht="12.75" customHeight="1" x14ac:dyDescent="0.2">
      <c r="A781" s="6" t="s">
        <v>84</v>
      </c>
      <c r="B781" s="6" t="s">
        <v>32</v>
      </c>
      <c r="C781" s="7">
        <v>112535</v>
      </c>
      <c r="D781" s="8">
        <v>13940.4</v>
      </c>
      <c r="E781" s="9" t="s">
        <v>16</v>
      </c>
      <c r="F781" s="36">
        <v>20</v>
      </c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ht="12.75" customHeight="1" x14ac:dyDescent="0.2">
      <c r="A782" s="6" t="s">
        <v>101</v>
      </c>
      <c r="B782" s="6" t="s">
        <v>32</v>
      </c>
      <c r="C782" s="7">
        <v>112537</v>
      </c>
      <c r="D782" s="8">
        <v>26331.599999999999</v>
      </c>
      <c r="E782" s="9" t="s">
        <v>16</v>
      </c>
      <c r="F782" s="36">
        <v>20</v>
      </c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ht="12.75" customHeight="1" x14ac:dyDescent="0.2">
      <c r="A783" s="6" t="s">
        <v>116</v>
      </c>
      <c r="B783" s="6" t="s">
        <v>32</v>
      </c>
      <c r="C783" s="7">
        <v>112539</v>
      </c>
      <c r="D783" s="8">
        <v>26670</v>
      </c>
      <c r="E783" s="9" t="s">
        <v>16</v>
      </c>
      <c r="F783" s="36">
        <v>20</v>
      </c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ht="12.75" customHeight="1" x14ac:dyDescent="0.2">
      <c r="A784" s="6" t="s">
        <v>118</v>
      </c>
      <c r="B784" s="6" t="s">
        <v>32</v>
      </c>
      <c r="C784" s="7">
        <v>112550</v>
      </c>
      <c r="D784" s="8">
        <v>28077.599999999999</v>
      </c>
      <c r="E784" s="9" t="s">
        <v>16</v>
      </c>
      <c r="F784" s="36">
        <v>20</v>
      </c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ht="12.75" customHeight="1" x14ac:dyDescent="0.2">
      <c r="A785" s="6" t="s">
        <v>119</v>
      </c>
      <c r="B785" s="6" t="s">
        <v>32</v>
      </c>
      <c r="C785" s="7">
        <v>112551</v>
      </c>
      <c r="D785" s="8">
        <v>35247.599999999999</v>
      </c>
      <c r="E785" s="9" t="s">
        <v>16</v>
      </c>
      <c r="F785" s="36">
        <v>20</v>
      </c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ht="12.75" customHeight="1" x14ac:dyDescent="0.2">
      <c r="A786" s="6" t="s">
        <v>120</v>
      </c>
      <c r="B786" s="6" t="s">
        <v>32</v>
      </c>
      <c r="C786" s="7">
        <v>112552</v>
      </c>
      <c r="D786" s="8">
        <v>33840</v>
      </c>
      <c r="E786" s="9" t="s">
        <v>16</v>
      </c>
      <c r="F786" s="36">
        <v>20</v>
      </c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ht="12.75" customHeight="1" x14ac:dyDescent="0.2">
      <c r="A787" s="6" t="s">
        <v>83</v>
      </c>
      <c r="B787" s="6" t="s">
        <v>32</v>
      </c>
      <c r="C787" s="7">
        <v>112567</v>
      </c>
      <c r="D787" s="8">
        <v>14388</v>
      </c>
      <c r="E787" s="9" t="s">
        <v>16</v>
      </c>
      <c r="F787" s="36">
        <v>20</v>
      </c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ht="12.75" customHeight="1" x14ac:dyDescent="0.2">
      <c r="A788" s="6" t="s">
        <v>52</v>
      </c>
      <c r="B788" s="6" t="s">
        <v>32</v>
      </c>
      <c r="C788" s="7">
        <v>112580</v>
      </c>
      <c r="D788" s="8">
        <v>11148</v>
      </c>
      <c r="E788" s="9" t="s">
        <v>16</v>
      </c>
      <c r="F788" s="36">
        <v>20</v>
      </c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ht="12.75" customHeight="1" x14ac:dyDescent="0.2">
      <c r="A789" s="6" t="s">
        <v>77</v>
      </c>
      <c r="B789" s="6" t="s">
        <v>32</v>
      </c>
      <c r="C789" s="7">
        <v>112581</v>
      </c>
      <c r="D789" s="8">
        <v>14640</v>
      </c>
      <c r="E789" s="9" t="s">
        <v>16</v>
      </c>
      <c r="F789" s="36">
        <v>20</v>
      </c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ht="12.75" customHeight="1" x14ac:dyDescent="0.2">
      <c r="A790" s="6" t="s">
        <v>56</v>
      </c>
      <c r="B790" s="6" t="s">
        <v>32</v>
      </c>
      <c r="C790" s="7">
        <v>112582</v>
      </c>
      <c r="D790" s="8">
        <v>11637.6</v>
      </c>
      <c r="E790" s="9" t="s">
        <v>16</v>
      </c>
      <c r="F790" s="36">
        <v>20</v>
      </c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ht="12.75" customHeight="1" x14ac:dyDescent="0.2">
      <c r="A791" s="6" t="s">
        <v>57</v>
      </c>
      <c r="B791" s="6" t="s">
        <v>32</v>
      </c>
      <c r="C791" s="7">
        <v>112583</v>
      </c>
      <c r="D791" s="8">
        <v>12445.199999999999</v>
      </c>
      <c r="E791" s="9" t="s">
        <v>16</v>
      </c>
      <c r="F791" s="36">
        <v>20</v>
      </c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ht="12.75" customHeight="1" x14ac:dyDescent="0.2">
      <c r="A792" s="6" t="s">
        <v>53</v>
      </c>
      <c r="B792" s="6" t="s">
        <v>32</v>
      </c>
      <c r="C792" s="7">
        <v>112585</v>
      </c>
      <c r="D792" s="8">
        <v>12436.8</v>
      </c>
      <c r="E792" s="9" t="s">
        <v>16</v>
      </c>
      <c r="F792" s="36">
        <v>20</v>
      </c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ht="12.75" customHeight="1" x14ac:dyDescent="0.2">
      <c r="A793" s="6" t="s">
        <v>54</v>
      </c>
      <c r="B793" s="6" t="s">
        <v>32</v>
      </c>
      <c r="C793" s="7">
        <v>112586</v>
      </c>
      <c r="D793" s="8">
        <v>12684</v>
      </c>
      <c r="E793" s="9" t="s">
        <v>16</v>
      </c>
      <c r="F793" s="36">
        <v>20</v>
      </c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ht="12.75" customHeight="1" x14ac:dyDescent="0.2">
      <c r="A794" s="6" t="s">
        <v>55</v>
      </c>
      <c r="B794" s="6" t="s">
        <v>32</v>
      </c>
      <c r="C794" s="7">
        <v>112587</v>
      </c>
      <c r="D794" s="8">
        <v>13587.6</v>
      </c>
      <c r="E794" s="9" t="s">
        <v>16</v>
      </c>
      <c r="F794" s="36">
        <v>20</v>
      </c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ht="12.75" customHeight="1" x14ac:dyDescent="0.2">
      <c r="A795" s="6" t="s">
        <v>123</v>
      </c>
      <c r="B795" s="6" t="s">
        <v>32</v>
      </c>
      <c r="C795" s="7">
        <v>112591</v>
      </c>
      <c r="D795" s="8">
        <v>19332</v>
      </c>
      <c r="E795" s="9" t="s">
        <v>16</v>
      </c>
      <c r="F795" s="36">
        <v>20</v>
      </c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ht="12.75" customHeight="1" x14ac:dyDescent="0.2">
      <c r="A796" s="6" t="s">
        <v>124</v>
      </c>
      <c r="B796" s="6" t="s">
        <v>32</v>
      </c>
      <c r="C796" s="7">
        <v>112592</v>
      </c>
      <c r="D796" s="8">
        <v>19792.8</v>
      </c>
      <c r="E796" s="9" t="s">
        <v>16</v>
      </c>
      <c r="F796" s="36">
        <v>20</v>
      </c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ht="12.75" customHeight="1" x14ac:dyDescent="0.2">
      <c r="A797" s="6" t="s">
        <v>125</v>
      </c>
      <c r="B797" s="6" t="s">
        <v>32</v>
      </c>
      <c r="C797" s="7">
        <v>112593</v>
      </c>
      <c r="D797" s="8">
        <v>22782</v>
      </c>
      <c r="E797" s="9" t="s">
        <v>16</v>
      </c>
      <c r="F797" s="36">
        <v>20</v>
      </c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ht="12.75" customHeight="1" x14ac:dyDescent="0.2">
      <c r="A798" s="6" t="s">
        <v>126</v>
      </c>
      <c r="B798" s="6" t="s">
        <v>32</v>
      </c>
      <c r="C798" s="7">
        <v>112594</v>
      </c>
      <c r="D798" s="8">
        <v>19792.8</v>
      </c>
      <c r="E798" s="9" t="s">
        <v>16</v>
      </c>
      <c r="F798" s="36">
        <v>20</v>
      </c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ht="12.75" customHeight="1" x14ac:dyDescent="0.2">
      <c r="A799" s="6" t="s">
        <v>121</v>
      </c>
      <c r="B799" s="6" t="s">
        <v>32</v>
      </c>
      <c r="C799" s="7">
        <v>112601</v>
      </c>
      <c r="D799" s="8">
        <v>14245.199999999999</v>
      </c>
      <c r="E799" s="9" t="s">
        <v>16</v>
      </c>
      <c r="F799" s="36">
        <v>20</v>
      </c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ht="12.75" customHeight="1" x14ac:dyDescent="0.2">
      <c r="A800" s="6" t="s">
        <v>122</v>
      </c>
      <c r="B800" s="6" t="s">
        <v>32</v>
      </c>
      <c r="C800" s="7">
        <v>112602</v>
      </c>
      <c r="D800" s="8">
        <v>12429.6</v>
      </c>
      <c r="E800" s="9" t="s">
        <v>16</v>
      </c>
      <c r="F800" s="36">
        <v>20</v>
      </c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ht="12.75" customHeight="1" x14ac:dyDescent="0.2">
      <c r="A801" s="6" t="s">
        <v>128</v>
      </c>
      <c r="B801" s="6" t="s">
        <v>32</v>
      </c>
      <c r="C801" s="7">
        <v>112609</v>
      </c>
      <c r="D801" s="8">
        <v>31027.199999999997</v>
      </c>
      <c r="E801" s="9" t="s">
        <v>16</v>
      </c>
      <c r="F801" s="36">
        <v>20</v>
      </c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ht="12.75" customHeight="1" x14ac:dyDescent="0.2">
      <c r="A802" s="6" t="s">
        <v>127</v>
      </c>
      <c r="B802" s="6" t="s">
        <v>32</v>
      </c>
      <c r="C802" s="7">
        <v>112622</v>
      </c>
      <c r="D802" s="8">
        <v>25701.599999999999</v>
      </c>
      <c r="E802" s="9" t="s">
        <v>16</v>
      </c>
      <c r="F802" s="36">
        <v>20</v>
      </c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ht="12.75" customHeight="1" x14ac:dyDescent="0.2">
      <c r="A803" s="6" t="s">
        <v>129</v>
      </c>
      <c r="B803" s="6" t="s">
        <v>32</v>
      </c>
      <c r="C803" s="7">
        <v>112623</v>
      </c>
      <c r="D803" s="8">
        <v>27258</v>
      </c>
      <c r="E803" s="9" t="s">
        <v>16</v>
      </c>
      <c r="F803" s="36">
        <v>20</v>
      </c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ht="12.75" customHeight="1" x14ac:dyDescent="0.2">
      <c r="A804" s="6" t="s">
        <v>130</v>
      </c>
      <c r="B804" s="6" t="s">
        <v>32</v>
      </c>
      <c r="C804" s="7">
        <v>112624</v>
      </c>
      <c r="D804" s="8">
        <v>25492.799999999999</v>
      </c>
      <c r="E804" s="9" t="s">
        <v>16</v>
      </c>
      <c r="F804" s="36">
        <v>20</v>
      </c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ht="12.75" customHeight="1" x14ac:dyDescent="0.2">
      <c r="A805" s="6" t="s">
        <v>131</v>
      </c>
      <c r="B805" s="6" t="s">
        <v>32</v>
      </c>
      <c r="C805" s="7">
        <v>112625</v>
      </c>
      <c r="D805" s="8">
        <v>28442.399999999998</v>
      </c>
      <c r="E805" s="9" t="s">
        <v>16</v>
      </c>
      <c r="F805" s="36">
        <v>20</v>
      </c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ht="12.75" customHeight="1" x14ac:dyDescent="0.2">
      <c r="A806" s="6" t="s">
        <v>133</v>
      </c>
      <c r="B806" s="6" t="s">
        <v>32</v>
      </c>
      <c r="C806" s="7">
        <v>112633</v>
      </c>
      <c r="D806" s="8">
        <v>30010.799999999999</v>
      </c>
      <c r="E806" s="9" t="s">
        <v>16</v>
      </c>
      <c r="F806" s="36">
        <v>20</v>
      </c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ht="12.75" customHeight="1" x14ac:dyDescent="0.2">
      <c r="A807" s="6" t="s">
        <v>134</v>
      </c>
      <c r="B807" s="6" t="s">
        <v>32</v>
      </c>
      <c r="C807" s="7">
        <v>112640</v>
      </c>
      <c r="D807" s="8">
        <v>11215.199999999999</v>
      </c>
      <c r="E807" s="9" t="s">
        <v>16</v>
      </c>
      <c r="F807" s="36">
        <v>20</v>
      </c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ht="12.75" customHeight="1" x14ac:dyDescent="0.2">
      <c r="A808" s="6" t="s">
        <v>102</v>
      </c>
      <c r="B808" s="6" t="s">
        <v>32</v>
      </c>
      <c r="C808" s="7">
        <v>112718</v>
      </c>
      <c r="D808" s="8">
        <v>26739.599999999999</v>
      </c>
      <c r="E808" s="9" t="s">
        <v>16</v>
      </c>
      <c r="F808" s="36">
        <v>20</v>
      </c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ht="12.75" customHeight="1" x14ac:dyDescent="0.2">
      <c r="A809" s="6" t="s">
        <v>138</v>
      </c>
      <c r="B809" s="6" t="s">
        <v>32</v>
      </c>
      <c r="C809" s="7">
        <v>114732</v>
      </c>
      <c r="D809" s="8">
        <v>11305.199999999999</v>
      </c>
      <c r="E809" s="9" t="s">
        <v>16</v>
      </c>
      <c r="F809" s="36">
        <v>20</v>
      </c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ht="12.75" customHeight="1" x14ac:dyDescent="0.2">
      <c r="A810" s="6" t="s">
        <v>66</v>
      </c>
      <c r="B810" s="6" t="s">
        <v>32</v>
      </c>
      <c r="C810" s="7">
        <v>114742</v>
      </c>
      <c r="D810" s="8">
        <v>8830.7999999999993</v>
      </c>
      <c r="E810" s="9" t="s">
        <v>16</v>
      </c>
      <c r="F810" s="36">
        <v>20</v>
      </c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ht="12.75" customHeight="1" x14ac:dyDescent="0.2">
      <c r="A811" s="6" t="s">
        <v>139</v>
      </c>
      <c r="B811" s="6" t="s">
        <v>32</v>
      </c>
      <c r="C811" s="7">
        <v>115806</v>
      </c>
      <c r="D811" s="8">
        <v>14853.599999999999</v>
      </c>
      <c r="E811" s="9" t="s">
        <v>16</v>
      </c>
      <c r="F811" s="36">
        <v>20</v>
      </c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ht="12.75" customHeight="1" x14ac:dyDescent="0.2">
      <c r="A812" s="6" t="s">
        <v>82</v>
      </c>
      <c r="B812" s="6" t="s">
        <v>32</v>
      </c>
      <c r="C812" s="7">
        <v>119494</v>
      </c>
      <c r="D812" s="8">
        <v>8842.7999999999993</v>
      </c>
      <c r="E812" s="9" t="s">
        <v>16</v>
      </c>
      <c r="F812" s="36">
        <v>20</v>
      </c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ht="12.75" customHeight="1" x14ac:dyDescent="0.2">
      <c r="A813" s="6" t="s">
        <v>135</v>
      </c>
      <c r="B813" s="6" t="s">
        <v>32</v>
      </c>
      <c r="C813" s="7">
        <v>120602</v>
      </c>
      <c r="D813" s="8">
        <v>13276.8</v>
      </c>
      <c r="E813" s="9" t="s">
        <v>16</v>
      </c>
      <c r="F813" s="36">
        <v>20</v>
      </c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ht="12.75" customHeight="1" x14ac:dyDescent="0.2">
      <c r="A814" s="6" t="s">
        <v>142</v>
      </c>
      <c r="B814" s="6" t="s">
        <v>32</v>
      </c>
      <c r="C814" s="7">
        <v>120659</v>
      </c>
      <c r="D814" s="8">
        <v>29624.399999999998</v>
      </c>
      <c r="E814" s="9" t="s">
        <v>16</v>
      </c>
      <c r="F814" s="36">
        <v>20</v>
      </c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ht="12.75" customHeight="1" x14ac:dyDescent="0.2">
      <c r="A815" s="6" t="s">
        <v>145</v>
      </c>
      <c r="B815" s="6" t="s">
        <v>32</v>
      </c>
      <c r="C815" s="7">
        <v>125883</v>
      </c>
      <c r="D815" s="8">
        <v>32726.399999999998</v>
      </c>
      <c r="E815" s="9" t="s">
        <v>16</v>
      </c>
      <c r="F815" s="36">
        <v>20</v>
      </c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ht="12.75" customHeight="1" x14ac:dyDescent="0.2">
      <c r="A816" s="6" t="s">
        <v>146</v>
      </c>
      <c r="B816" s="6" t="s">
        <v>32</v>
      </c>
      <c r="C816" s="7">
        <v>125884</v>
      </c>
      <c r="D816" s="8">
        <v>33465.599999999999</v>
      </c>
      <c r="E816" s="9" t="s">
        <v>16</v>
      </c>
      <c r="F816" s="36">
        <v>20</v>
      </c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ht="12.75" customHeight="1" x14ac:dyDescent="0.2">
      <c r="A817" s="6" t="s">
        <v>147</v>
      </c>
      <c r="B817" s="6" t="s">
        <v>32</v>
      </c>
      <c r="C817" s="7">
        <v>126429</v>
      </c>
      <c r="D817" s="8">
        <v>11757.6</v>
      </c>
      <c r="E817" s="9" t="s">
        <v>16</v>
      </c>
      <c r="F817" s="36">
        <v>20</v>
      </c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ht="12.75" customHeight="1" x14ac:dyDescent="0.2">
      <c r="A818" s="6" t="s">
        <v>12</v>
      </c>
      <c r="B818" s="6" t="s">
        <v>32</v>
      </c>
      <c r="C818" s="7">
        <v>127702</v>
      </c>
      <c r="D818" s="8">
        <v>11149.199999999999</v>
      </c>
      <c r="E818" s="9" t="s">
        <v>7</v>
      </c>
      <c r="F818" s="36">
        <v>20</v>
      </c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ht="12.75" customHeight="1" x14ac:dyDescent="0.2">
      <c r="A819" s="6" t="s">
        <v>149</v>
      </c>
      <c r="B819" s="6" t="s">
        <v>32</v>
      </c>
      <c r="C819" s="7">
        <v>127775</v>
      </c>
      <c r="D819" s="8">
        <v>8134.7999999999993</v>
      </c>
      <c r="E819" s="9" t="s">
        <v>7</v>
      </c>
      <c r="F819" s="36">
        <v>20</v>
      </c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ht="12.75" customHeight="1" x14ac:dyDescent="0.2">
      <c r="A820" s="6" t="s">
        <v>150</v>
      </c>
      <c r="B820" s="6" t="s">
        <v>32</v>
      </c>
      <c r="C820" s="7">
        <v>127853</v>
      </c>
      <c r="D820" s="8">
        <v>9487.1999999999989</v>
      </c>
      <c r="E820" s="9" t="s">
        <v>7</v>
      </c>
      <c r="F820" s="36">
        <v>20</v>
      </c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ht="12.75" customHeight="1" x14ac:dyDescent="0.2">
      <c r="A821" s="6" t="s">
        <v>8</v>
      </c>
      <c r="B821" s="6" t="s">
        <v>32</v>
      </c>
      <c r="C821" s="7">
        <v>127854</v>
      </c>
      <c r="D821" s="8">
        <v>11054.4</v>
      </c>
      <c r="E821" s="9" t="s">
        <v>7</v>
      </c>
      <c r="F821" s="36">
        <v>20</v>
      </c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ht="12.75" customHeight="1" x14ac:dyDescent="0.2">
      <c r="A822" s="6" t="s">
        <v>151</v>
      </c>
      <c r="B822" s="6" t="s">
        <v>32</v>
      </c>
      <c r="C822" s="7">
        <v>127860</v>
      </c>
      <c r="D822" s="8">
        <v>12775.199999999999</v>
      </c>
      <c r="E822" s="9" t="s">
        <v>7</v>
      </c>
      <c r="F822" s="36">
        <v>20</v>
      </c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ht="12.75" customHeight="1" x14ac:dyDescent="0.2">
      <c r="A823" s="6" t="s">
        <v>153</v>
      </c>
      <c r="B823" s="6" t="s">
        <v>32</v>
      </c>
      <c r="C823" s="7">
        <v>128788</v>
      </c>
      <c r="D823" s="8">
        <v>8515.1999999999989</v>
      </c>
      <c r="E823" s="9" t="s">
        <v>16</v>
      </c>
      <c r="F823" s="36">
        <v>20</v>
      </c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ht="12.75" customHeight="1" x14ac:dyDescent="0.2">
      <c r="A824" s="6" t="s">
        <v>5</v>
      </c>
      <c r="B824" s="6" t="s">
        <v>32</v>
      </c>
      <c r="C824" s="7">
        <v>130088</v>
      </c>
      <c r="D824" s="8">
        <v>9374.4</v>
      </c>
      <c r="E824" s="9" t="s">
        <v>7</v>
      </c>
      <c r="F824" s="36">
        <v>20</v>
      </c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ht="12.75" customHeight="1" x14ac:dyDescent="0.2">
      <c r="A825" s="6" t="s">
        <v>13</v>
      </c>
      <c r="B825" s="6" t="s">
        <v>32</v>
      </c>
      <c r="C825" s="7">
        <v>130089</v>
      </c>
      <c r="D825" s="8">
        <v>18664.8</v>
      </c>
      <c r="E825" s="9" t="s">
        <v>7</v>
      </c>
      <c r="F825" s="36">
        <v>20</v>
      </c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ht="12.75" customHeight="1" x14ac:dyDescent="0.2">
      <c r="A826" s="6" t="s">
        <v>70</v>
      </c>
      <c r="B826" s="6" t="s">
        <v>32</v>
      </c>
      <c r="C826" s="7">
        <v>132354</v>
      </c>
      <c r="D826" s="8">
        <v>11948.4</v>
      </c>
      <c r="E826" s="9" t="s">
        <v>16</v>
      </c>
      <c r="F826" s="36">
        <v>20</v>
      </c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ht="12.75" customHeight="1" x14ac:dyDescent="0.2">
      <c r="A827" s="6" t="s">
        <v>9</v>
      </c>
      <c r="B827" s="6" t="s">
        <v>32</v>
      </c>
      <c r="C827" s="7">
        <v>132617</v>
      </c>
      <c r="D827" s="8">
        <v>11949.6</v>
      </c>
      <c r="E827" s="9" t="s">
        <v>7</v>
      </c>
      <c r="F827" s="36">
        <v>20</v>
      </c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ht="12.75" customHeight="1" x14ac:dyDescent="0.2">
      <c r="A828" s="6" t="s">
        <v>154</v>
      </c>
      <c r="B828" s="6" t="s">
        <v>32</v>
      </c>
      <c r="C828" s="7">
        <v>133343</v>
      </c>
      <c r="D828" s="8">
        <v>18009.599999999999</v>
      </c>
      <c r="E828" s="9" t="s">
        <v>7</v>
      </c>
      <c r="F828" s="36">
        <v>20</v>
      </c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ht="12.75" customHeight="1" x14ac:dyDescent="0.2">
      <c r="A829" s="6" t="s">
        <v>89</v>
      </c>
      <c r="B829" s="6" t="s">
        <v>32</v>
      </c>
      <c r="C829" s="7">
        <v>133903</v>
      </c>
      <c r="D829" s="8">
        <v>10792.8</v>
      </c>
      <c r="E829" s="9" t="s">
        <v>16</v>
      </c>
      <c r="F829" s="36">
        <v>20</v>
      </c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ht="12.75" customHeight="1" x14ac:dyDescent="0.2">
      <c r="A830" s="6" t="s">
        <v>180</v>
      </c>
      <c r="B830" s="6" t="s">
        <v>32</v>
      </c>
      <c r="C830" s="7">
        <v>147623</v>
      </c>
      <c r="D830" s="8">
        <v>9378</v>
      </c>
      <c r="E830" s="9" t="s">
        <v>7</v>
      </c>
      <c r="F830" s="36">
        <v>20</v>
      </c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ht="12.75" customHeight="1" x14ac:dyDescent="0.2">
      <c r="A831" s="6" t="s">
        <v>181</v>
      </c>
      <c r="B831" s="6" t="s">
        <v>32</v>
      </c>
      <c r="C831" s="7">
        <v>147626</v>
      </c>
      <c r="D831" s="8">
        <v>9291.6</v>
      </c>
      <c r="E831" s="9" t="s">
        <v>16</v>
      </c>
      <c r="F831" s="36">
        <v>20</v>
      </c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ht="12.75" customHeight="1" x14ac:dyDescent="0.2">
      <c r="A832" s="6" t="s">
        <v>188</v>
      </c>
      <c r="B832" s="6" t="s">
        <v>32</v>
      </c>
      <c r="C832" s="7">
        <v>148015</v>
      </c>
      <c r="D832" s="8">
        <v>8812.7999999999993</v>
      </c>
      <c r="E832" s="9" t="s">
        <v>16</v>
      </c>
      <c r="F832" s="36">
        <v>20</v>
      </c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ht="12.75" customHeight="1" x14ac:dyDescent="0.2">
      <c r="A833" s="6" t="s">
        <v>193</v>
      </c>
      <c r="B833" s="6" t="s">
        <v>32</v>
      </c>
      <c r="C833" s="7">
        <v>148023</v>
      </c>
      <c r="D833" s="8">
        <v>9314.4</v>
      </c>
      <c r="E833" s="9" t="s">
        <v>16</v>
      </c>
      <c r="F833" s="36">
        <v>20</v>
      </c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ht="12.75" customHeight="1" x14ac:dyDescent="0.2">
      <c r="A834" s="6" t="s">
        <v>197</v>
      </c>
      <c r="B834" s="6" t="s">
        <v>32</v>
      </c>
      <c r="C834" s="7">
        <v>148711</v>
      </c>
      <c r="D834" s="8">
        <v>8743.1999999999989</v>
      </c>
      <c r="E834" s="9" t="s">
        <v>16</v>
      </c>
      <c r="F834" s="36">
        <v>20</v>
      </c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ht="12.75" customHeight="1" x14ac:dyDescent="0.2">
      <c r="A835" s="6" t="s">
        <v>200</v>
      </c>
      <c r="B835" s="6" t="s">
        <v>32</v>
      </c>
      <c r="C835" s="7">
        <v>150888</v>
      </c>
      <c r="D835" s="8">
        <v>12483.6</v>
      </c>
      <c r="E835" s="9" t="s">
        <v>16</v>
      </c>
      <c r="F835" s="36">
        <v>20</v>
      </c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ht="12.75" customHeight="1" x14ac:dyDescent="0.2">
      <c r="A836" s="6" t="s">
        <v>201</v>
      </c>
      <c r="B836" s="6" t="s">
        <v>32</v>
      </c>
      <c r="C836" s="7">
        <v>150889</v>
      </c>
      <c r="D836" s="8">
        <v>12622.8</v>
      </c>
      <c r="E836" s="9" t="s">
        <v>16</v>
      </c>
      <c r="F836" s="36">
        <v>20</v>
      </c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ht="12.75" customHeight="1" x14ac:dyDescent="0.2">
      <c r="A837" s="6" t="s">
        <v>207</v>
      </c>
      <c r="B837" s="6" t="s">
        <v>32</v>
      </c>
      <c r="C837" s="7">
        <v>154213</v>
      </c>
      <c r="D837" s="8">
        <v>13084.8</v>
      </c>
      <c r="E837" s="9" t="s">
        <v>16</v>
      </c>
      <c r="F837" s="36">
        <v>20</v>
      </c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ht="12.75" customHeight="1" x14ac:dyDescent="0.2">
      <c r="A838" s="6" t="s">
        <v>208</v>
      </c>
      <c r="B838" s="6" t="s">
        <v>32</v>
      </c>
      <c r="C838" s="7">
        <v>154242</v>
      </c>
      <c r="D838" s="8">
        <v>10876.8</v>
      </c>
      <c r="E838" s="9" t="s">
        <v>16</v>
      </c>
      <c r="F838" s="36">
        <v>20</v>
      </c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ht="12.75" customHeight="1" x14ac:dyDescent="0.2">
      <c r="A839" s="6" t="s">
        <v>209</v>
      </c>
      <c r="B839" s="6" t="s">
        <v>32</v>
      </c>
      <c r="C839" s="7">
        <v>154939</v>
      </c>
      <c r="D839" s="8">
        <v>16411.2</v>
      </c>
      <c r="E839" s="9" t="s">
        <v>16</v>
      </c>
      <c r="F839" s="36">
        <v>20</v>
      </c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ht="12.75" customHeight="1" x14ac:dyDescent="0.2">
      <c r="A840" s="6" t="s">
        <v>210</v>
      </c>
      <c r="B840" s="6" t="s">
        <v>32</v>
      </c>
      <c r="C840" s="7">
        <v>154943</v>
      </c>
      <c r="D840" s="8">
        <v>17394</v>
      </c>
      <c r="E840" s="9" t="s">
        <v>16</v>
      </c>
      <c r="F840" s="36">
        <v>20</v>
      </c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ht="12.75" customHeight="1" x14ac:dyDescent="0.2">
      <c r="A841" s="6" t="s">
        <v>214</v>
      </c>
      <c r="B841" s="6" t="s">
        <v>32</v>
      </c>
      <c r="C841" s="7">
        <v>156313</v>
      </c>
      <c r="D841" s="8">
        <v>12787.199999999999</v>
      </c>
      <c r="E841" s="9" t="s">
        <v>16</v>
      </c>
      <c r="F841" s="36">
        <v>20</v>
      </c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ht="12.75" customHeight="1" x14ac:dyDescent="0.2">
      <c r="A842" s="6" t="s">
        <v>219</v>
      </c>
      <c r="B842" s="6" t="s">
        <v>32</v>
      </c>
      <c r="C842" s="7">
        <v>157376</v>
      </c>
      <c r="D842" s="8">
        <v>30933.599999999999</v>
      </c>
      <c r="E842" s="9" t="s">
        <v>16</v>
      </c>
      <c r="F842" s="36">
        <v>20</v>
      </c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ht="12.75" customHeight="1" x14ac:dyDescent="0.2">
      <c r="A843" s="6" t="s">
        <v>216</v>
      </c>
      <c r="B843" s="6" t="s">
        <v>32</v>
      </c>
      <c r="C843" s="7">
        <v>157377</v>
      </c>
      <c r="D843" s="8">
        <v>7592.4</v>
      </c>
      <c r="E843" s="9" t="s">
        <v>16</v>
      </c>
      <c r="F843" s="36">
        <v>20</v>
      </c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ht="12.75" customHeight="1" x14ac:dyDescent="0.2">
      <c r="A844" s="6" t="s">
        <v>220</v>
      </c>
      <c r="B844" s="6" t="s">
        <v>32</v>
      </c>
      <c r="C844" s="7">
        <v>157423</v>
      </c>
      <c r="D844" s="8">
        <v>18759.599999999999</v>
      </c>
      <c r="E844" s="9" t="s">
        <v>16</v>
      </c>
      <c r="F844" s="36">
        <v>20</v>
      </c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ht="12.75" customHeight="1" x14ac:dyDescent="0.2">
      <c r="A845" s="6" t="s">
        <v>222</v>
      </c>
      <c r="B845" s="6" t="s">
        <v>32</v>
      </c>
      <c r="C845" s="7">
        <v>157479</v>
      </c>
      <c r="D845" s="8">
        <v>24192</v>
      </c>
      <c r="E845" s="9" t="s">
        <v>16</v>
      </c>
      <c r="F845" s="36">
        <v>20</v>
      </c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ht="12.75" customHeight="1" x14ac:dyDescent="0.2">
      <c r="A846" s="6" t="s">
        <v>223</v>
      </c>
      <c r="B846" s="6" t="s">
        <v>32</v>
      </c>
      <c r="C846" s="7">
        <v>157531</v>
      </c>
      <c r="D846" s="8">
        <v>27039.599999999999</v>
      </c>
      <c r="E846" s="9" t="s">
        <v>16</v>
      </c>
      <c r="F846" s="36">
        <v>20</v>
      </c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ht="12.75" customHeight="1" x14ac:dyDescent="0.2">
      <c r="A847" s="6" t="s">
        <v>230</v>
      </c>
      <c r="B847" s="6" t="s">
        <v>32</v>
      </c>
      <c r="C847" s="7">
        <v>158856</v>
      </c>
      <c r="D847" s="8">
        <v>11049.6</v>
      </c>
      <c r="E847" s="9" t="s">
        <v>16</v>
      </c>
      <c r="F847" s="36">
        <v>20</v>
      </c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ht="12.75" customHeight="1" x14ac:dyDescent="0.2">
      <c r="A848" s="6" t="s">
        <v>231</v>
      </c>
      <c r="B848" s="6" t="s">
        <v>32</v>
      </c>
      <c r="C848" s="7">
        <v>158857</v>
      </c>
      <c r="D848" s="8">
        <v>12159.6</v>
      </c>
      <c r="E848" s="9" t="s">
        <v>16</v>
      </c>
      <c r="F848" s="36">
        <v>20</v>
      </c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ht="12.75" customHeight="1" x14ac:dyDescent="0.2">
      <c r="A849" s="6" t="s">
        <v>234</v>
      </c>
      <c r="B849" s="6" t="s">
        <v>32</v>
      </c>
      <c r="C849" s="7">
        <v>160665</v>
      </c>
      <c r="D849" s="8">
        <v>23286</v>
      </c>
      <c r="E849" s="9" t="s">
        <v>16</v>
      </c>
      <c r="F849" s="36">
        <v>20</v>
      </c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ht="12.75" customHeight="1" x14ac:dyDescent="0.2">
      <c r="A850" s="6" t="s">
        <v>199</v>
      </c>
      <c r="B850" s="6" t="s">
        <v>32</v>
      </c>
      <c r="C850" s="7">
        <v>160777</v>
      </c>
      <c r="D850" s="8">
        <v>9871.1999999999989</v>
      </c>
      <c r="E850" s="9" t="s">
        <v>16</v>
      </c>
      <c r="F850" s="36">
        <v>20</v>
      </c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ht="12.75" customHeight="1" x14ac:dyDescent="0.2">
      <c r="A851" s="6" t="s">
        <v>237</v>
      </c>
      <c r="B851" s="6" t="s">
        <v>32</v>
      </c>
      <c r="C851" s="7">
        <v>160784</v>
      </c>
      <c r="D851" s="8">
        <v>12375.6</v>
      </c>
      <c r="E851" s="9" t="s">
        <v>16</v>
      </c>
      <c r="F851" s="36">
        <v>20</v>
      </c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ht="12.75" customHeight="1" x14ac:dyDescent="0.2">
      <c r="A852" s="6" t="s">
        <v>241</v>
      </c>
      <c r="B852" s="6" t="s">
        <v>32</v>
      </c>
      <c r="C852" s="7">
        <v>161407</v>
      </c>
      <c r="D852" s="8">
        <v>9121.1999999999989</v>
      </c>
      <c r="E852" s="9" t="s">
        <v>16</v>
      </c>
      <c r="F852" s="36">
        <v>20</v>
      </c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ht="12.75" customHeight="1" x14ac:dyDescent="0.2">
      <c r="A853" s="6" t="s">
        <v>242</v>
      </c>
      <c r="B853" s="6" t="s">
        <v>32</v>
      </c>
      <c r="C853" s="7">
        <v>161610</v>
      </c>
      <c r="D853" s="8">
        <v>14229.6</v>
      </c>
      <c r="E853" s="9" t="s">
        <v>16</v>
      </c>
      <c r="F853" s="36">
        <v>20</v>
      </c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ht="12.75" customHeight="1" x14ac:dyDescent="0.2">
      <c r="A854" s="6" t="s">
        <v>227</v>
      </c>
      <c r="B854" s="6" t="s">
        <v>32</v>
      </c>
      <c r="C854" s="7">
        <v>161653</v>
      </c>
      <c r="D854" s="8">
        <v>18842.399999999998</v>
      </c>
      <c r="E854" s="9" t="s">
        <v>16</v>
      </c>
      <c r="F854" s="36">
        <v>20</v>
      </c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ht="12.75" customHeight="1" x14ac:dyDescent="0.2">
      <c r="A855" s="6" t="s">
        <v>243</v>
      </c>
      <c r="B855" s="6" t="s">
        <v>32</v>
      </c>
      <c r="C855" s="7">
        <v>162118</v>
      </c>
      <c r="D855" s="8">
        <v>9710.4</v>
      </c>
      <c r="E855" s="9" t="s">
        <v>16</v>
      </c>
      <c r="F855" s="36">
        <v>20</v>
      </c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ht="12.75" customHeight="1" x14ac:dyDescent="0.2">
      <c r="A856" s="6" t="s">
        <v>244</v>
      </c>
      <c r="B856" s="6" t="s">
        <v>32</v>
      </c>
      <c r="C856" s="7">
        <v>162120</v>
      </c>
      <c r="D856" s="8">
        <v>9448.7999999999993</v>
      </c>
      <c r="E856" s="9" t="s">
        <v>16</v>
      </c>
      <c r="F856" s="36">
        <v>20</v>
      </c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ht="12.75" customHeight="1" x14ac:dyDescent="0.2">
      <c r="A857" s="6" t="s">
        <v>245</v>
      </c>
      <c r="B857" s="6" t="s">
        <v>32</v>
      </c>
      <c r="C857" s="7">
        <v>162122</v>
      </c>
      <c r="D857" s="8">
        <v>9844.7999999999993</v>
      </c>
      <c r="E857" s="9" t="s">
        <v>16</v>
      </c>
      <c r="F857" s="36">
        <v>20</v>
      </c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ht="12.75" customHeight="1" x14ac:dyDescent="0.2">
      <c r="A858" s="6" t="s">
        <v>246</v>
      </c>
      <c r="B858" s="6" t="s">
        <v>32</v>
      </c>
      <c r="C858" s="7">
        <v>162125</v>
      </c>
      <c r="D858" s="8">
        <v>10569.6</v>
      </c>
      <c r="E858" s="9" t="s">
        <v>16</v>
      </c>
      <c r="F858" s="36">
        <v>20</v>
      </c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ht="12.75" customHeight="1" x14ac:dyDescent="0.2">
      <c r="A859" s="6" t="s">
        <v>247</v>
      </c>
      <c r="B859" s="6" t="s">
        <v>32</v>
      </c>
      <c r="C859" s="7">
        <v>162127</v>
      </c>
      <c r="D859" s="8">
        <v>10761.6</v>
      </c>
      <c r="E859" s="9" t="s">
        <v>16</v>
      </c>
      <c r="F859" s="36">
        <v>20</v>
      </c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ht="12.75" customHeight="1" x14ac:dyDescent="0.2">
      <c r="A860" s="6" t="s">
        <v>248</v>
      </c>
      <c r="B860" s="6" t="s">
        <v>32</v>
      </c>
      <c r="C860" s="7">
        <v>163278</v>
      </c>
      <c r="D860" s="8">
        <v>10069.199999999999</v>
      </c>
      <c r="E860" s="9" t="s">
        <v>16</v>
      </c>
      <c r="F860" s="36">
        <v>20</v>
      </c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ht="12.75" customHeight="1" x14ac:dyDescent="0.2">
      <c r="A861" s="6" t="s">
        <v>249</v>
      </c>
      <c r="B861" s="6" t="s">
        <v>32</v>
      </c>
      <c r="C861" s="7">
        <v>163821</v>
      </c>
      <c r="D861" s="8">
        <v>13182</v>
      </c>
      <c r="E861" s="9" t="s">
        <v>16</v>
      </c>
      <c r="F861" s="36">
        <v>20</v>
      </c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ht="12.75" customHeight="1" x14ac:dyDescent="0.2">
      <c r="A862" s="6" t="s">
        <v>204</v>
      </c>
      <c r="B862" s="6" t="s">
        <v>32</v>
      </c>
      <c r="C862" s="7">
        <v>164501</v>
      </c>
      <c r="D862" s="8">
        <v>14320.8</v>
      </c>
      <c r="E862" s="9" t="s">
        <v>16</v>
      </c>
      <c r="F862" s="36">
        <v>20</v>
      </c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ht="12.75" customHeight="1" x14ac:dyDescent="0.2">
      <c r="A863" s="6" t="s">
        <v>251</v>
      </c>
      <c r="B863" s="6" t="s">
        <v>32</v>
      </c>
      <c r="C863" s="7">
        <v>164571</v>
      </c>
      <c r="D863" s="8">
        <v>10621.199999999999</v>
      </c>
      <c r="E863" s="9" t="s">
        <v>16</v>
      </c>
      <c r="F863" s="36">
        <v>20</v>
      </c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ht="12.75" customHeight="1" x14ac:dyDescent="0.2">
      <c r="A864" s="6" t="s">
        <v>253</v>
      </c>
      <c r="B864" s="6" t="s">
        <v>32</v>
      </c>
      <c r="C864" s="7">
        <v>164608</v>
      </c>
      <c r="D864" s="8">
        <v>8598</v>
      </c>
      <c r="E864" s="9" t="s">
        <v>16</v>
      </c>
      <c r="F864" s="36">
        <v>20</v>
      </c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ht="12.75" customHeight="1" x14ac:dyDescent="0.2">
      <c r="A865" s="6" t="s">
        <v>250</v>
      </c>
      <c r="B865" s="6" t="s">
        <v>32</v>
      </c>
      <c r="C865" s="7">
        <v>164790</v>
      </c>
      <c r="D865" s="8">
        <v>16148.4</v>
      </c>
      <c r="E865" s="9" t="s">
        <v>16</v>
      </c>
      <c r="F865" s="36">
        <v>20</v>
      </c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ht="12.75" customHeight="1" x14ac:dyDescent="0.2">
      <c r="A866" s="6" t="s">
        <v>255</v>
      </c>
      <c r="B866" s="6" t="s">
        <v>32</v>
      </c>
      <c r="C866" s="7">
        <v>164842</v>
      </c>
      <c r="D866" s="8">
        <v>14607.6</v>
      </c>
      <c r="E866" s="9" t="s">
        <v>16</v>
      </c>
      <c r="F866" s="36">
        <v>20</v>
      </c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ht="12.75" customHeight="1" x14ac:dyDescent="0.2">
      <c r="A867" s="6" t="s">
        <v>257</v>
      </c>
      <c r="B867" s="6" t="s">
        <v>32</v>
      </c>
      <c r="C867" s="7">
        <v>166130</v>
      </c>
      <c r="D867" s="8">
        <v>19700.399999999998</v>
      </c>
      <c r="E867" s="9" t="s">
        <v>16</v>
      </c>
      <c r="F867" s="36">
        <v>20</v>
      </c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ht="12.75" customHeight="1" x14ac:dyDescent="0.2">
      <c r="A868" s="6" t="s">
        <v>212</v>
      </c>
      <c r="B868" s="6" t="s">
        <v>32</v>
      </c>
      <c r="C868" s="7">
        <v>166181</v>
      </c>
      <c r="D868" s="8">
        <v>11910</v>
      </c>
      <c r="E868" s="9" t="s">
        <v>16</v>
      </c>
      <c r="F868" s="36">
        <v>20</v>
      </c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ht="12.75" customHeight="1" x14ac:dyDescent="0.2">
      <c r="A869" s="6" t="s">
        <v>264</v>
      </c>
      <c r="B869" s="6" t="s">
        <v>32</v>
      </c>
      <c r="C869" s="7">
        <v>168819</v>
      </c>
      <c r="D869" s="8">
        <v>10276.799999999999</v>
      </c>
      <c r="E869" s="9" t="s">
        <v>16</v>
      </c>
      <c r="F869" s="36">
        <v>20</v>
      </c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ht="12.75" customHeight="1" x14ac:dyDescent="0.2">
      <c r="A870" s="6" t="s">
        <v>217</v>
      </c>
      <c r="B870" s="6" t="s">
        <v>32</v>
      </c>
      <c r="C870" s="7">
        <v>169898</v>
      </c>
      <c r="D870" s="8">
        <v>12468</v>
      </c>
      <c r="E870" s="9" t="s">
        <v>16</v>
      </c>
      <c r="F870" s="36">
        <v>20</v>
      </c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ht="12.75" customHeight="1" x14ac:dyDescent="0.2">
      <c r="A871" s="6" t="s">
        <v>265</v>
      </c>
      <c r="B871" s="6" t="s">
        <v>32</v>
      </c>
      <c r="C871" s="7">
        <v>170296</v>
      </c>
      <c r="D871" s="8">
        <v>9067.1999999999989</v>
      </c>
      <c r="E871" s="9" t="s">
        <v>16</v>
      </c>
      <c r="F871" s="36">
        <v>20</v>
      </c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ht="12.75" customHeight="1" x14ac:dyDescent="0.2">
      <c r="A872" s="6" t="s">
        <v>270</v>
      </c>
      <c r="B872" s="6" t="s">
        <v>32</v>
      </c>
      <c r="C872" s="7">
        <v>171270</v>
      </c>
      <c r="D872" s="8">
        <v>30225.599999999999</v>
      </c>
      <c r="E872" s="9" t="s">
        <v>16</v>
      </c>
      <c r="F872" s="36">
        <v>20</v>
      </c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ht="12.75" customHeight="1" x14ac:dyDescent="0.2">
      <c r="A873" s="6" t="s">
        <v>271</v>
      </c>
      <c r="B873" s="6" t="s">
        <v>32</v>
      </c>
      <c r="C873" s="7">
        <v>171475</v>
      </c>
      <c r="D873" s="8">
        <v>9783.6</v>
      </c>
      <c r="E873" s="9" t="s">
        <v>16</v>
      </c>
      <c r="F873" s="36">
        <v>20</v>
      </c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ht="12.75" customHeight="1" x14ac:dyDescent="0.2">
      <c r="A874" s="6" t="s">
        <v>274</v>
      </c>
      <c r="B874" s="6" t="s">
        <v>32</v>
      </c>
      <c r="C874" s="7">
        <v>174371</v>
      </c>
      <c r="D874" s="8">
        <v>14674.8</v>
      </c>
      <c r="E874" s="9" t="s">
        <v>16</v>
      </c>
      <c r="F874" s="36">
        <v>20</v>
      </c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ht="12.75" customHeight="1" x14ac:dyDescent="0.2">
      <c r="A875" s="6" t="s">
        <v>276</v>
      </c>
      <c r="B875" s="6" t="s">
        <v>32</v>
      </c>
      <c r="C875" s="7">
        <v>174389</v>
      </c>
      <c r="D875" s="8">
        <v>30628.799999999999</v>
      </c>
      <c r="E875" s="9" t="s">
        <v>16</v>
      </c>
      <c r="F875" s="36">
        <v>20</v>
      </c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ht="12.75" customHeight="1" x14ac:dyDescent="0.2">
      <c r="A876" s="6" t="s">
        <v>279</v>
      </c>
      <c r="B876" s="6" t="s">
        <v>32</v>
      </c>
      <c r="C876" s="7">
        <v>175405</v>
      </c>
      <c r="D876" s="8">
        <v>20786.399999999998</v>
      </c>
      <c r="E876" s="9" t="s">
        <v>16</v>
      </c>
      <c r="F876" s="36">
        <v>20</v>
      </c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ht="12.75" customHeight="1" x14ac:dyDescent="0.2">
      <c r="A877" s="6" t="s">
        <v>275</v>
      </c>
      <c r="B877" s="6" t="s">
        <v>32</v>
      </c>
      <c r="C877" s="7">
        <v>175755</v>
      </c>
      <c r="D877" s="8">
        <v>18654</v>
      </c>
      <c r="E877" s="9" t="s">
        <v>16</v>
      </c>
      <c r="F877" s="36">
        <v>20</v>
      </c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ht="12.75" customHeight="1" x14ac:dyDescent="0.2">
      <c r="A878" s="6" t="s">
        <v>286</v>
      </c>
      <c r="B878" s="6" t="s">
        <v>32</v>
      </c>
      <c r="C878" s="7">
        <v>180949</v>
      </c>
      <c r="D878" s="8">
        <v>45818.400000000001</v>
      </c>
      <c r="E878" s="9" t="s">
        <v>16</v>
      </c>
      <c r="F878" s="36">
        <v>20</v>
      </c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ht="12.75" customHeight="1" x14ac:dyDescent="0.2">
      <c r="A879" s="6" t="s">
        <v>285</v>
      </c>
      <c r="B879" s="6" t="s">
        <v>32</v>
      </c>
      <c r="C879" s="7">
        <v>181710</v>
      </c>
      <c r="D879" s="8">
        <v>14006.4</v>
      </c>
      <c r="E879" s="9" t="s">
        <v>16</v>
      </c>
      <c r="F879" s="36">
        <v>20</v>
      </c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ht="12.75" customHeight="1" x14ac:dyDescent="0.2">
      <c r="A880" s="6" t="s">
        <v>288</v>
      </c>
      <c r="B880" s="6" t="s">
        <v>32</v>
      </c>
      <c r="C880" s="7">
        <v>182022</v>
      </c>
      <c r="D880" s="8">
        <v>10207.199999999999</v>
      </c>
      <c r="E880" s="9" t="s">
        <v>16</v>
      </c>
      <c r="F880" s="36">
        <v>20</v>
      </c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ht="12.75" customHeight="1" x14ac:dyDescent="0.2">
      <c r="A881" s="6" t="s">
        <v>302</v>
      </c>
      <c r="B881" s="6" t="s">
        <v>32</v>
      </c>
      <c r="C881" s="7">
        <v>183632</v>
      </c>
      <c r="D881" s="8">
        <v>10476</v>
      </c>
      <c r="E881" s="9" t="s">
        <v>16</v>
      </c>
      <c r="F881" s="36">
        <v>20</v>
      </c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ht="12.75" customHeight="1" x14ac:dyDescent="0.2">
      <c r="A882" s="6" t="s">
        <v>308</v>
      </c>
      <c r="B882" s="6" t="s">
        <v>32</v>
      </c>
      <c r="C882" s="7">
        <v>186856</v>
      </c>
      <c r="D882" s="8">
        <v>21164.399999999998</v>
      </c>
      <c r="E882" s="9" t="s">
        <v>16</v>
      </c>
      <c r="F882" s="36">
        <v>20</v>
      </c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ht="12.75" customHeight="1" x14ac:dyDescent="0.2">
      <c r="A883" s="6" t="s">
        <v>317</v>
      </c>
      <c r="B883" s="6" t="s">
        <v>32</v>
      </c>
      <c r="C883" s="7">
        <v>188257</v>
      </c>
      <c r="D883" s="8">
        <v>10249.199999999999</v>
      </c>
      <c r="E883" s="9" t="s">
        <v>16</v>
      </c>
      <c r="F883" s="36">
        <v>20</v>
      </c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ht="12.75" customHeight="1" x14ac:dyDescent="0.2">
      <c r="A884" s="6" t="s">
        <v>323</v>
      </c>
      <c r="B884" s="6" t="s">
        <v>32</v>
      </c>
      <c r="C884" s="7">
        <v>189239</v>
      </c>
      <c r="D884" s="8">
        <v>10100.4</v>
      </c>
      <c r="E884" s="9" t="s">
        <v>16</v>
      </c>
      <c r="F884" s="36">
        <v>20</v>
      </c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ht="12.75" customHeight="1" x14ac:dyDescent="0.2">
      <c r="A885" s="6" t="s">
        <v>324</v>
      </c>
      <c r="B885" s="6" t="s">
        <v>32</v>
      </c>
      <c r="C885" s="7">
        <v>189338</v>
      </c>
      <c r="D885" s="8">
        <v>31660.799999999999</v>
      </c>
      <c r="E885" s="9" t="s">
        <v>16</v>
      </c>
      <c r="F885" s="36">
        <v>20</v>
      </c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ht="12.75" customHeight="1" x14ac:dyDescent="0.2">
      <c r="A886" s="6" t="s">
        <v>327</v>
      </c>
      <c r="B886" s="6" t="s">
        <v>32</v>
      </c>
      <c r="C886" s="7">
        <v>190483</v>
      </c>
      <c r="D886" s="8">
        <v>20162.399999999998</v>
      </c>
      <c r="E886" s="9" t="s">
        <v>16</v>
      </c>
      <c r="F886" s="36">
        <v>20</v>
      </c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ht="12.75" customHeight="1" x14ac:dyDescent="0.2">
      <c r="A887" s="6" t="s">
        <v>328</v>
      </c>
      <c r="B887" s="6" t="s">
        <v>32</v>
      </c>
      <c r="C887" s="7">
        <v>190486</v>
      </c>
      <c r="D887" s="8">
        <v>22527.599999999999</v>
      </c>
      <c r="E887" s="9" t="s">
        <v>16</v>
      </c>
      <c r="F887" s="36">
        <v>20</v>
      </c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ht="12.75" customHeight="1" x14ac:dyDescent="0.2">
      <c r="A888" s="6" t="s">
        <v>331</v>
      </c>
      <c r="B888" s="6" t="s">
        <v>32</v>
      </c>
      <c r="C888" s="7">
        <v>190503</v>
      </c>
      <c r="D888" s="8">
        <v>13381.199999999999</v>
      </c>
      <c r="E888" s="9" t="s">
        <v>16</v>
      </c>
      <c r="F888" s="36">
        <v>20</v>
      </c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ht="12.75" customHeight="1" x14ac:dyDescent="0.2">
      <c r="A889" s="6" t="s">
        <v>332</v>
      </c>
      <c r="B889" s="6" t="s">
        <v>32</v>
      </c>
      <c r="C889" s="7">
        <v>190507</v>
      </c>
      <c r="D889" s="8">
        <v>12847.199999999999</v>
      </c>
      <c r="E889" s="9" t="s">
        <v>16</v>
      </c>
      <c r="F889" s="36">
        <v>20</v>
      </c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ht="12.75" customHeight="1" x14ac:dyDescent="0.2">
      <c r="A890" s="6" t="s">
        <v>333</v>
      </c>
      <c r="B890" s="6" t="s">
        <v>32</v>
      </c>
      <c r="C890" s="7">
        <v>190540</v>
      </c>
      <c r="D890" s="8">
        <v>23528.399999999998</v>
      </c>
      <c r="E890" s="9" t="s">
        <v>16</v>
      </c>
      <c r="F890" s="36">
        <v>20</v>
      </c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ht="12.75" customHeight="1" x14ac:dyDescent="0.2">
      <c r="A891" s="6" t="s">
        <v>334</v>
      </c>
      <c r="B891" s="6" t="s">
        <v>32</v>
      </c>
      <c r="C891" s="7">
        <v>190543</v>
      </c>
      <c r="D891" s="8">
        <v>25570.799999999999</v>
      </c>
      <c r="E891" s="9" t="s">
        <v>16</v>
      </c>
      <c r="F891" s="36">
        <v>20</v>
      </c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ht="12.75" customHeight="1" x14ac:dyDescent="0.2">
      <c r="A892" s="6" t="s">
        <v>335</v>
      </c>
      <c r="B892" s="6" t="s">
        <v>32</v>
      </c>
      <c r="C892" s="7">
        <v>190546</v>
      </c>
      <c r="D892" s="8">
        <v>12772.8</v>
      </c>
      <c r="E892" s="9" t="s">
        <v>16</v>
      </c>
      <c r="F892" s="36">
        <v>20</v>
      </c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ht="12.75" customHeight="1" x14ac:dyDescent="0.2">
      <c r="A893" s="6" t="s">
        <v>336</v>
      </c>
      <c r="B893" s="6" t="s">
        <v>32</v>
      </c>
      <c r="C893" s="7">
        <v>190550</v>
      </c>
      <c r="D893" s="8">
        <v>12859.199999999999</v>
      </c>
      <c r="E893" s="9" t="s">
        <v>16</v>
      </c>
      <c r="F893" s="36">
        <v>20</v>
      </c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ht="12.75" customHeight="1" x14ac:dyDescent="0.2">
      <c r="A894" s="6" t="s">
        <v>337</v>
      </c>
      <c r="B894" s="6" t="s">
        <v>32</v>
      </c>
      <c r="C894" s="7">
        <v>190571</v>
      </c>
      <c r="D894" s="8">
        <v>10249.199999999999</v>
      </c>
      <c r="E894" s="9" t="s">
        <v>16</v>
      </c>
      <c r="F894" s="36">
        <v>20</v>
      </c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ht="12.75" customHeight="1" x14ac:dyDescent="0.2">
      <c r="A895" s="6" t="s">
        <v>338</v>
      </c>
      <c r="B895" s="6" t="s">
        <v>32</v>
      </c>
      <c r="C895" s="7">
        <v>190574</v>
      </c>
      <c r="D895" s="8">
        <v>16008</v>
      </c>
      <c r="E895" s="9" t="s">
        <v>16</v>
      </c>
      <c r="F895" s="36">
        <v>20</v>
      </c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ht="12.75" customHeight="1" x14ac:dyDescent="0.2">
      <c r="A896" s="6" t="s">
        <v>339</v>
      </c>
      <c r="B896" s="6" t="s">
        <v>32</v>
      </c>
      <c r="C896" s="7">
        <v>190578</v>
      </c>
      <c r="D896" s="8">
        <v>15946.8</v>
      </c>
      <c r="E896" s="9" t="s">
        <v>16</v>
      </c>
      <c r="F896" s="36">
        <v>20</v>
      </c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ht="12.75" customHeight="1" x14ac:dyDescent="0.2">
      <c r="A897" s="6" t="s">
        <v>340</v>
      </c>
      <c r="B897" s="6" t="s">
        <v>32</v>
      </c>
      <c r="C897" s="7">
        <v>190581</v>
      </c>
      <c r="D897" s="8">
        <v>16159.199999999999</v>
      </c>
      <c r="E897" s="9" t="s">
        <v>16</v>
      </c>
      <c r="F897" s="36">
        <v>20</v>
      </c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ht="12.75" customHeight="1" x14ac:dyDescent="0.2">
      <c r="A898" s="6" t="s">
        <v>341</v>
      </c>
      <c r="B898" s="6" t="s">
        <v>32</v>
      </c>
      <c r="C898" s="7">
        <v>190583</v>
      </c>
      <c r="D898" s="8">
        <v>16363.199999999999</v>
      </c>
      <c r="E898" s="9" t="s">
        <v>16</v>
      </c>
      <c r="F898" s="36">
        <v>20</v>
      </c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ht="12.75" customHeight="1" x14ac:dyDescent="0.2">
      <c r="A899" s="6" t="s">
        <v>342</v>
      </c>
      <c r="B899" s="6" t="s">
        <v>32</v>
      </c>
      <c r="C899" s="7">
        <v>190587</v>
      </c>
      <c r="D899" s="8">
        <v>17020.8</v>
      </c>
      <c r="E899" s="9" t="s">
        <v>16</v>
      </c>
      <c r="F899" s="36">
        <v>20</v>
      </c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ht="12.75" customHeight="1" x14ac:dyDescent="0.2">
      <c r="A900" s="6" t="s">
        <v>343</v>
      </c>
      <c r="B900" s="6" t="s">
        <v>32</v>
      </c>
      <c r="C900" s="7">
        <v>190589</v>
      </c>
      <c r="D900" s="8">
        <v>18512.399999999998</v>
      </c>
      <c r="E900" s="9" t="s">
        <v>16</v>
      </c>
      <c r="F900" s="36">
        <v>20</v>
      </c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ht="12.75" customHeight="1" x14ac:dyDescent="0.2">
      <c r="A901" s="6" t="s">
        <v>344</v>
      </c>
      <c r="B901" s="6" t="s">
        <v>32</v>
      </c>
      <c r="C901" s="7">
        <v>190592</v>
      </c>
      <c r="D901" s="8">
        <v>26632.799999999999</v>
      </c>
      <c r="E901" s="9" t="s">
        <v>16</v>
      </c>
      <c r="F901" s="36">
        <v>20</v>
      </c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ht="12.75" customHeight="1" x14ac:dyDescent="0.2">
      <c r="A902" s="6" t="s">
        <v>345</v>
      </c>
      <c r="B902" s="6" t="s">
        <v>32</v>
      </c>
      <c r="C902" s="7">
        <v>190594</v>
      </c>
      <c r="D902" s="8">
        <v>29095.200000000001</v>
      </c>
      <c r="E902" s="9" t="s">
        <v>16</v>
      </c>
      <c r="F902" s="36">
        <v>20</v>
      </c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ht="12.75" customHeight="1" x14ac:dyDescent="0.2">
      <c r="A903" s="6" t="s">
        <v>346</v>
      </c>
      <c r="B903" s="6" t="s">
        <v>32</v>
      </c>
      <c r="C903" s="7">
        <v>190639</v>
      </c>
      <c r="D903" s="8">
        <v>33502.799999999996</v>
      </c>
      <c r="E903" s="9" t="s">
        <v>16</v>
      </c>
      <c r="F903" s="36">
        <v>20</v>
      </c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ht="12.75" customHeight="1" x14ac:dyDescent="0.2">
      <c r="A904" s="6" t="s">
        <v>348</v>
      </c>
      <c r="B904" s="6" t="s">
        <v>32</v>
      </c>
      <c r="C904" s="7">
        <v>190654</v>
      </c>
      <c r="D904" s="8">
        <v>15771.599999999999</v>
      </c>
      <c r="E904" s="9" t="s">
        <v>16</v>
      </c>
      <c r="F904" s="36">
        <v>20</v>
      </c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ht="12.75" customHeight="1" x14ac:dyDescent="0.2">
      <c r="A905" s="6" t="s">
        <v>351</v>
      </c>
      <c r="B905" s="6" t="s">
        <v>32</v>
      </c>
      <c r="C905" s="7">
        <v>194215</v>
      </c>
      <c r="D905" s="8">
        <v>19806</v>
      </c>
      <c r="E905" s="9" t="s">
        <v>16</v>
      </c>
      <c r="F905" s="36">
        <v>20</v>
      </c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ht="12.75" customHeight="1" x14ac:dyDescent="0.2">
      <c r="A906" s="6" t="s">
        <v>232</v>
      </c>
      <c r="B906" s="6" t="s">
        <v>32</v>
      </c>
      <c r="C906" s="7">
        <v>194713</v>
      </c>
      <c r="D906" s="8">
        <v>9312</v>
      </c>
      <c r="E906" s="9" t="s">
        <v>16</v>
      </c>
      <c r="F906" s="36">
        <v>20</v>
      </c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ht="12.75" customHeight="1" x14ac:dyDescent="0.2">
      <c r="A907" s="6" t="s">
        <v>357</v>
      </c>
      <c r="B907" s="6" t="s">
        <v>32</v>
      </c>
      <c r="C907" s="7">
        <v>194786</v>
      </c>
      <c r="D907" s="8">
        <v>13413.6</v>
      </c>
      <c r="E907" s="9" t="s">
        <v>7</v>
      </c>
      <c r="F907" s="36">
        <v>20</v>
      </c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ht="12.75" customHeight="1" x14ac:dyDescent="0.2">
      <c r="A908" s="6" t="s">
        <v>358</v>
      </c>
      <c r="B908" s="6" t="s">
        <v>32</v>
      </c>
      <c r="C908" s="7">
        <v>194799</v>
      </c>
      <c r="D908" s="8">
        <v>12278.4</v>
      </c>
      <c r="E908" s="9" t="s">
        <v>7</v>
      </c>
      <c r="F908" s="36">
        <v>20</v>
      </c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ht="12.75" customHeight="1" x14ac:dyDescent="0.2">
      <c r="A909" s="6" t="s">
        <v>325</v>
      </c>
      <c r="B909" s="6" t="s">
        <v>32</v>
      </c>
      <c r="C909" s="7">
        <v>196439</v>
      </c>
      <c r="D909" s="8">
        <v>10857.6</v>
      </c>
      <c r="E909" s="9" t="s">
        <v>16</v>
      </c>
      <c r="F909" s="36">
        <v>20</v>
      </c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ht="12.75" customHeight="1" x14ac:dyDescent="0.2">
      <c r="A910" s="6" t="s">
        <v>374</v>
      </c>
      <c r="B910" s="6" t="s">
        <v>32</v>
      </c>
      <c r="C910" s="7">
        <v>196616</v>
      </c>
      <c r="D910" s="8">
        <v>33094.799999999996</v>
      </c>
      <c r="E910" s="9" t="s">
        <v>16</v>
      </c>
      <c r="F910" s="36">
        <v>20</v>
      </c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ht="12.75" customHeight="1" x14ac:dyDescent="0.2">
      <c r="A911" s="6" t="s">
        <v>377</v>
      </c>
      <c r="B911" s="6" t="s">
        <v>32</v>
      </c>
      <c r="C911" s="7">
        <v>197732</v>
      </c>
      <c r="D911" s="8">
        <v>12166.8</v>
      </c>
      <c r="E911" s="9" t="s">
        <v>16</v>
      </c>
      <c r="F911" s="36">
        <v>20</v>
      </c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ht="12.75" customHeight="1" x14ac:dyDescent="0.2">
      <c r="A912" s="6" t="s">
        <v>395</v>
      </c>
      <c r="B912" s="6" t="s">
        <v>32</v>
      </c>
      <c r="C912" s="7">
        <v>199507</v>
      </c>
      <c r="D912" s="8">
        <v>23689.200000000001</v>
      </c>
      <c r="E912" s="9" t="s">
        <v>16</v>
      </c>
      <c r="F912" s="36">
        <v>20</v>
      </c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ht="12.75" customHeight="1" x14ac:dyDescent="0.2">
      <c r="A913" s="6" t="s">
        <v>397</v>
      </c>
      <c r="B913" s="6" t="s">
        <v>32</v>
      </c>
      <c r="C913" s="7">
        <v>199636</v>
      </c>
      <c r="D913" s="8">
        <v>25947.599999999999</v>
      </c>
      <c r="E913" s="9" t="s">
        <v>16</v>
      </c>
      <c r="F913" s="36">
        <v>20</v>
      </c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ht="12.75" customHeight="1" x14ac:dyDescent="0.2">
      <c r="A914" s="6" t="s">
        <v>398</v>
      </c>
      <c r="B914" s="6" t="s">
        <v>32</v>
      </c>
      <c r="C914" s="7">
        <v>199642</v>
      </c>
      <c r="D914" s="8">
        <v>26985.599999999999</v>
      </c>
      <c r="E914" s="9" t="s">
        <v>16</v>
      </c>
      <c r="F914" s="36">
        <v>20</v>
      </c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ht="12.75" customHeight="1" x14ac:dyDescent="0.2">
      <c r="A915" s="6" t="s">
        <v>399</v>
      </c>
      <c r="B915" s="6" t="s">
        <v>32</v>
      </c>
      <c r="C915" s="7">
        <v>199649</v>
      </c>
      <c r="D915" s="8">
        <v>22214.399999999998</v>
      </c>
      <c r="E915" s="9" t="s">
        <v>16</v>
      </c>
      <c r="F915" s="36">
        <v>20</v>
      </c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ht="12.75" customHeight="1" x14ac:dyDescent="0.2">
      <c r="A916" s="6" t="s">
        <v>400</v>
      </c>
      <c r="B916" s="6" t="s">
        <v>32</v>
      </c>
      <c r="C916" s="7">
        <v>199664</v>
      </c>
      <c r="D916" s="8">
        <v>27218.399999999998</v>
      </c>
      <c r="E916" s="9" t="s">
        <v>16</v>
      </c>
      <c r="F916" s="36">
        <v>20</v>
      </c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ht="12.75" customHeight="1" x14ac:dyDescent="0.2">
      <c r="A917" s="6" t="s">
        <v>401</v>
      </c>
      <c r="B917" s="6" t="s">
        <v>32</v>
      </c>
      <c r="C917" s="7">
        <v>199673</v>
      </c>
      <c r="D917" s="8">
        <v>22824</v>
      </c>
      <c r="E917" s="9" t="s">
        <v>16</v>
      </c>
      <c r="F917" s="36">
        <v>20</v>
      </c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ht="12.75" customHeight="1" x14ac:dyDescent="0.2">
      <c r="A918" s="6" t="s">
        <v>373</v>
      </c>
      <c r="B918" s="6" t="s">
        <v>32</v>
      </c>
      <c r="C918" s="7">
        <v>199760</v>
      </c>
      <c r="D918" s="8">
        <v>10896</v>
      </c>
      <c r="E918" s="9" t="s">
        <v>16</v>
      </c>
      <c r="F918" s="36">
        <v>20</v>
      </c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ht="12.75" customHeight="1" x14ac:dyDescent="0.2">
      <c r="A919" s="6" t="s">
        <v>408</v>
      </c>
      <c r="B919" s="6" t="s">
        <v>32</v>
      </c>
      <c r="C919" s="7">
        <v>201271</v>
      </c>
      <c r="D919" s="8">
        <v>14599.199999999999</v>
      </c>
      <c r="E919" s="9" t="s">
        <v>16</v>
      </c>
      <c r="F919" s="36">
        <v>20</v>
      </c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ht="12.75" customHeight="1" x14ac:dyDescent="0.2">
      <c r="A920" s="6" t="s">
        <v>413</v>
      </c>
      <c r="B920" s="6" t="s">
        <v>32</v>
      </c>
      <c r="C920" s="7">
        <v>201515</v>
      </c>
      <c r="D920" s="8">
        <v>8850</v>
      </c>
      <c r="E920" s="9" t="s">
        <v>16</v>
      </c>
      <c r="F920" s="36">
        <v>20</v>
      </c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ht="12.75" customHeight="1" x14ac:dyDescent="0.2">
      <c r="A921" s="6" t="s">
        <v>415</v>
      </c>
      <c r="B921" s="6" t="s">
        <v>32</v>
      </c>
      <c r="C921" s="7">
        <v>201529</v>
      </c>
      <c r="D921" s="8">
        <v>80136</v>
      </c>
      <c r="E921" s="9" t="s">
        <v>16</v>
      </c>
      <c r="F921" s="36">
        <v>20</v>
      </c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ht="12.75" customHeight="1" x14ac:dyDescent="0.2">
      <c r="A922" s="6" t="s">
        <v>416</v>
      </c>
      <c r="B922" s="6" t="s">
        <v>32</v>
      </c>
      <c r="C922" s="7">
        <v>201543</v>
      </c>
      <c r="D922" s="8">
        <v>8857.1999999999989</v>
      </c>
      <c r="E922" s="9" t="s">
        <v>7</v>
      </c>
      <c r="F922" s="36">
        <v>20</v>
      </c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ht="12.75" customHeight="1" x14ac:dyDescent="0.2">
      <c r="A923" s="6" t="s">
        <v>418</v>
      </c>
      <c r="B923" s="6" t="s">
        <v>32</v>
      </c>
      <c r="C923" s="7">
        <v>201657</v>
      </c>
      <c r="D923" s="8">
        <v>18920.399999999998</v>
      </c>
      <c r="E923" s="9" t="s">
        <v>16</v>
      </c>
      <c r="F923" s="36">
        <v>20</v>
      </c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ht="12.75" customHeight="1" x14ac:dyDescent="0.2">
      <c r="A924" s="6" t="s">
        <v>426</v>
      </c>
      <c r="B924" s="6" t="s">
        <v>32</v>
      </c>
      <c r="C924" s="7">
        <v>204405</v>
      </c>
      <c r="D924" s="8">
        <v>10236</v>
      </c>
      <c r="E924" s="9" t="s">
        <v>16</v>
      </c>
      <c r="F924" s="36">
        <v>20</v>
      </c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ht="12.75" customHeight="1" x14ac:dyDescent="0.2">
      <c r="A925" s="6" t="s">
        <v>424</v>
      </c>
      <c r="B925" s="6" t="s">
        <v>32</v>
      </c>
      <c r="C925" s="7">
        <v>205698</v>
      </c>
      <c r="D925" s="8">
        <v>17145.599999999999</v>
      </c>
      <c r="E925" s="9" t="s">
        <v>16</v>
      </c>
      <c r="F925" s="36">
        <v>20</v>
      </c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ht="12.75" customHeight="1" x14ac:dyDescent="0.2">
      <c r="A926" s="6" t="s">
        <v>425</v>
      </c>
      <c r="B926" s="6" t="s">
        <v>32</v>
      </c>
      <c r="C926" s="7">
        <v>205699</v>
      </c>
      <c r="D926" s="8">
        <v>19692</v>
      </c>
      <c r="E926" s="9" t="s">
        <v>16</v>
      </c>
      <c r="F926" s="36">
        <v>20</v>
      </c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ht="12.75" customHeight="1" x14ac:dyDescent="0.2">
      <c r="A927" s="6" t="s">
        <v>431</v>
      </c>
      <c r="B927" s="6" t="s">
        <v>32</v>
      </c>
      <c r="C927" s="7">
        <v>205816</v>
      </c>
      <c r="D927" s="8">
        <v>14575.199999999999</v>
      </c>
      <c r="E927" s="9" t="s">
        <v>16</v>
      </c>
      <c r="F927" s="36">
        <v>20</v>
      </c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ht="12.75" customHeight="1" x14ac:dyDescent="0.2">
      <c r="A928" s="6" t="s">
        <v>432</v>
      </c>
      <c r="B928" s="6" t="s">
        <v>32</v>
      </c>
      <c r="C928" s="7">
        <v>206400</v>
      </c>
      <c r="D928" s="8">
        <v>24432</v>
      </c>
      <c r="E928" s="9" t="s">
        <v>16</v>
      </c>
      <c r="F928" s="36">
        <v>20</v>
      </c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ht="12.75" customHeight="1" x14ac:dyDescent="0.2">
      <c r="A929" s="6" t="s">
        <v>436</v>
      </c>
      <c r="B929" s="6" t="s">
        <v>32</v>
      </c>
      <c r="C929" s="7">
        <v>206924</v>
      </c>
      <c r="D929" s="8">
        <v>9560.4</v>
      </c>
      <c r="E929" s="9" t="s">
        <v>16</v>
      </c>
      <c r="F929" s="36">
        <v>20</v>
      </c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ht="12.75" customHeight="1" x14ac:dyDescent="0.2">
      <c r="A930" s="6" t="s">
        <v>437</v>
      </c>
      <c r="B930" s="6" t="s">
        <v>32</v>
      </c>
      <c r="C930" s="7">
        <v>207424</v>
      </c>
      <c r="D930" s="8">
        <v>9673.1999999999989</v>
      </c>
      <c r="E930" s="9" t="s">
        <v>16</v>
      </c>
      <c r="F930" s="36">
        <v>20</v>
      </c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ht="12.75" customHeight="1" x14ac:dyDescent="0.2">
      <c r="A931" s="6" t="s">
        <v>438</v>
      </c>
      <c r="B931" s="6" t="s">
        <v>32</v>
      </c>
      <c r="C931" s="7">
        <v>207445</v>
      </c>
      <c r="D931" s="8">
        <v>10142.4</v>
      </c>
      <c r="E931" s="9" t="s">
        <v>16</v>
      </c>
      <c r="F931" s="36">
        <v>20</v>
      </c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ht="12.75" customHeight="1" x14ac:dyDescent="0.2">
      <c r="A932" s="6" t="s">
        <v>439</v>
      </c>
      <c r="B932" s="6" t="s">
        <v>32</v>
      </c>
      <c r="C932" s="7">
        <v>207450</v>
      </c>
      <c r="D932" s="8">
        <v>11059.199999999999</v>
      </c>
      <c r="E932" s="9" t="s">
        <v>16</v>
      </c>
      <c r="F932" s="36">
        <v>20</v>
      </c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ht="12.75" customHeight="1" x14ac:dyDescent="0.2">
      <c r="A933" s="6" t="s">
        <v>440</v>
      </c>
      <c r="B933" s="6" t="s">
        <v>32</v>
      </c>
      <c r="C933" s="7">
        <v>207669</v>
      </c>
      <c r="D933" s="8">
        <v>13628.4</v>
      </c>
      <c r="E933" s="9" t="s">
        <v>16</v>
      </c>
      <c r="F933" s="36">
        <v>20</v>
      </c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ht="12.75" customHeight="1" x14ac:dyDescent="0.2">
      <c r="A934" s="6" t="s">
        <v>441</v>
      </c>
      <c r="B934" s="6" t="s">
        <v>32</v>
      </c>
      <c r="C934" s="7">
        <v>207848</v>
      </c>
      <c r="D934" s="8">
        <v>8925.6</v>
      </c>
      <c r="E934" s="9" t="s">
        <v>16</v>
      </c>
      <c r="F934" s="36">
        <v>20</v>
      </c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ht="12.75" customHeight="1" x14ac:dyDescent="0.2">
      <c r="A935" s="6" t="s">
        <v>442</v>
      </c>
      <c r="B935" s="6" t="s">
        <v>32</v>
      </c>
      <c r="C935" s="7">
        <v>207892</v>
      </c>
      <c r="D935" s="8">
        <v>8880</v>
      </c>
      <c r="E935" s="9" t="s">
        <v>16</v>
      </c>
      <c r="F935" s="36">
        <v>20</v>
      </c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ht="12.75" customHeight="1" x14ac:dyDescent="0.2">
      <c r="A936" s="6" t="s">
        <v>445</v>
      </c>
      <c r="B936" s="6" t="s">
        <v>32</v>
      </c>
      <c r="C936" s="7">
        <v>209501</v>
      </c>
      <c r="D936" s="8">
        <v>16900.8</v>
      </c>
      <c r="E936" s="9" t="s">
        <v>16</v>
      </c>
      <c r="F936" s="36">
        <v>20</v>
      </c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ht="12.75" customHeight="1" x14ac:dyDescent="0.2">
      <c r="A937" s="6" t="s">
        <v>451</v>
      </c>
      <c r="B937" s="6" t="s">
        <v>32</v>
      </c>
      <c r="C937" s="7">
        <v>213639</v>
      </c>
      <c r="D937" s="8">
        <v>12076.8</v>
      </c>
      <c r="E937" s="9" t="s">
        <v>16</v>
      </c>
      <c r="F937" s="36">
        <v>20</v>
      </c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ht="12.75" customHeight="1" x14ac:dyDescent="0.2">
      <c r="A938" s="6" t="s">
        <v>450</v>
      </c>
      <c r="B938" s="6" t="s">
        <v>32</v>
      </c>
      <c r="C938" s="7">
        <v>213643</v>
      </c>
      <c r="D938" s="8">
        <v>8622</v>
      </c>
      <c r="E938" s="9" t="s">
        <v>16</v>
      </c>
      <c r="F938" s="36">
        <v>20</v>
      </c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ht="12.75" customHeight="1" x14ac:dyDescent="0.2">
      <c r="A939" s="6" t="s">
        <v>453</v>
      </c>
      <c r="B939" s="6" t="s">
        <v>32</v>
      </c>
      <c r="C939" s="7">
        <v>213645</v>
      </c>
      <c r="D939" s="8">
        <v>8460</v>
      </c>
      <c r="E939" s="9" t="s">
        <v>16</v>
      </c>
      <c r="F939" s="36">
        <v>20</v>
      </c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ht="12.75" customHeight="1" x14ac:dyDescent="0.2">
      <c r="A940" s="6" t="s">
        <v>454</v>
      </c>
      <c r="B940" s="6" t="s">
        <v>32</v>
      </c>
      <c r="C940" s="7">
        <v>213651</v>
      </c>
      <c r="D940" s="8">
        <v>11804.4</v>
      </c>
      <c r="E940" s="9" t="s">
        <v>16</v>
      </c>
      <c r="F940" s="36">
        <v>20</v>
      </c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ht="12.75" customHeight="1" x14ac:dyDescent="0.2">
      <c r="A941" s="6" t="s">
        <v>455</v>
      </c>
      <c r="B941" s="6" t="s">
        <v>32</v>
      </c>
      <c r="C941" s="7">
        <v>213658</v>
      </c>
      <c r="D941" s="8">
        <v>9440.4</v>
      </c>
      <c r="E941" s="9" t="s">
        <v>16</v>
      </c>
      <c r="F941" s="36">
        <v>20</v>
      </c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ht="12.75" customHeight="1" x14ac:dyDescent="0.2">
      <c r="A942" s="6" t="s">
        <v>481</v>
      </c>
      <c r="B942" s="6" t="s">
        <v>32</v>
      </c>
      <c r="C942" s="7">
        <v>213720</v>
      </c>
      <c r="D942" s="8">
        <v>13182</v>
      </c>
      <c r="E942" s="9" t="s">
        <v>16</v>
      </c>
      <c r="F942" s="36">
        <v>20</v>
      </c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ht="12.75" customHeight="1" x14ac:dyDescent="0.2">
      <c r="A943" s="6" t="s">
        <v>592</v>
      </c>
      <c r="B943" s="6" t="s">
        <v>32</v>
      </c>
      <c r="C943" s="7">
        <v>214071</v>
      </c>
      <c r="D943" s="8">
        <v>11820</v>
      </c>
      <c r="E943" s="9" t="s">
        <v>16</v>
      </c>
      <c r="F943" s="36">
        <v>20</v>
      </c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ht="12.75" customHeight="1" x14ac:dyDescent="0.2">
      <c r="A944" s="6" t="s">
        <v>594</v>
      </c>
      <c r="B944" s="6" t="s">
        <v>32</v>
      </c>
      <c r="C944" s="7">
        <v>214076</v>
      </c>
      <c r="D944" s="8">
        <v>14599.199999999999</v>
      </c>
      <c r="E944" s="9" t="s">
        <v>16</v>
      </c>
      <c r="F944" s="36">
        <v>20</v>
      </c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ht="12.75" customHeight="1" x14ac:dyDescent="0.2">
      <c r="A945" s="6" t="s">
        <v>595</v>
      </c>
      <c r="B945" s="6" t="s">
        <v>32</v>
      </c>
      <c r="C945" s="7">
        <v>214078</v>
      </c>
      <c r="D945" s="8">
        <v>12078</v>
      </c>
      <c r="E945" s="9" t="s">
        <v>16</v>
      </c>
      <c r="F945" s="36">
        <v>20</v>
      </c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ht="12.75" customHeight="1" x14ac:dyDescent="0.2">
      <c r="A946" s="6" t="s">
        <v>597</v>
      </c>
      <c r="B946" s="6" t="s">
        <v>32</v>
      </c>
      <c r="C946" s="7">
        <v>214084</v>
      </c>
      <c r="D946" s="8">
        <v>13201.199999999999</v>
      </c>
      <c r="E946" s="9" t="s">
        <v>16</v>
      </c>
      <c r="F946" s="36">
        <v>20</v>
      </c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ht="12.75" customHeight="1" x14ac:dyDescent="0.2">
      <c r="A947" s="6" t="s">
        <v>598</v>
      </c>
      <c r="B947" s="6" t="s">
        <v>32</v>
      </c>
      <c r="C947" s="7">
        <v>214088</v>
      </c>
      <c r="D947" s="8">
        <v>9439.1999999999989</v>
      </c>
      <c r="E947" s="9" t="s">
        <v>16</v>
      </c>
      <c r="F947" s="36">
        <v>20</v>
      </c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ht="12.75" customHeight="1" x14ac:dyDescent="0.2">
      <c r="A948" s="6" t="s">
        <v>599</v>
      </c>
      <c r="B948" s="6" t="s">
        <v>32</v>
      </c>
      <c r="C948" s="7">
        <v>214093</v>
      </c>
      <c r="D948" s="8">
        <v>11216.4</v>
      </c>
      <c r="E948" s="9" t="s">
        <v>16</v>
      </c>
      <c r="F948" s="36">
        <v>20</v>
      </c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ht="12.75" customHeight="1" x14ac:dyDescent="0.2">
      <c r="A949" s="6" t="s">
        <v>600</v>
      </c>
      <c r="B949" s="6" t="s">
        <v>32</v>
      </c>
      <c r="C949" s="7">
        <v>214096</v>
      </c>
      <c r="D949" s="8">
        <v>9692.4</v>
      </c>
      <c r="E949" s="9" t="s">
        <v>16</v>
      </c>
      <c r="F949" s="36">
        <v>20</v>
      </c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ht="12.75" customHeight="1" x14ac:dyDescent="0.2">
      <c r="A950" s="6" t="s">
        <v>596</v>
      </c>
      <c r="B950" s="6" t="s">
        <v>32</v>
      </c>
      <c r="C950" s="7">
        <v>214099</v>
      </c>
      <c r="D950" s="8">
        <v>11492.4</v>
      </c>
      <c r="E950" s="9" t="s">
        <v>16</v>
      </c>
      <c r="F950" s="36">
        <v>20</v>
      </c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ht="12.75" customHeight="1" x14ac:dyDescent="0.2">
      <c r="A951" s="6" t="s">
        <v>608</v>
      </c>
      <c r="B951" s="6" t="s">
        <v>32</v>
      </c>
      <c r="C951" s="7">
        <v>214138</v>
      </c>
      <c r="D951" s="8">
        <v>12232.8</v>
      </c>
      <c r="E951" s="9" t="s">
        <v>16</v>
      </c>
      <c r="F951" s="36">
        <v>20</v>
      </c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ht="12.75" customHeight="1" x14ac:dyDescent="0.2">
      <c r="A952" s="6" t="s">
        <v>610</v>
      </c>
      <c r="B952" s="6" t="s">
        <v>32</v>
      </c>
      <c r="C952" s="7">
        <v>214146</v>
      </c>
      <c r="D952" s="8">
        <v>23085.599999999999</v>
      </c>
      <c r="E952" s="9" t="s">
        <v>16</v>
      </c>
      <c r="F952" s="36">
        <v>20</v>
      </c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ht="12.75" customHeight="1" x14ac:dyDescent="0.2">
      <c r="A953" s="6" t="s">
        <v>611</v>
      </c>
      <c r="B953" s="6" t="s">
        <v>32</v>
      </c>
      <c r="C953" s="7">
        <v>214149</v>
      </c>
      <c r="D953" s="8">
        <v>19819.2</v>
      </c>
      <c r="E953" s="9" t="s">
        <v>16</v>
      </c>
      <c r="F953" s="36">
        <v>20</v>
      </c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1:22" ht="12.75" customHeight="1" x14ac:dyDescent="0.2">
      <c r="A954" s="6" t="s">
        <v>613</v>
      </c>
      <c r="B954" s="6" t="s">
        <v>32</v>
      </c>
      <c r="C954" s="7">
        <v>214154</v>
      </c>
      <c r="D954" s="8">
        <v>10900.8</v>
      </c>
      <c r="E954" s="9" t="s">
        <v>16</v>
      </c>
      <c r="F954" s="36">
        <v>20</v>
      </c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1:22" ht="12.75" customHeight="1" x14ac:dyDescent="0.2">
      <c r="A955" s="6" t="s">
        <v>631</v>
      </c>
      <c r="B955" s="6" t="s">
        <v>32</v>
      </c>
      <c r="C955" s="7">
        <v>215820</v>
      </c>
      <c r="D955" s="8">
        <v>11055.6</v>
      </c>
      <c r="E955" s="9" t="s">
        <v>16</v>
      </c>
      <c r="F955" s="36">
        <v>20</v>
      </c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spans="1:22" ht="12.75" customHeight="1" x14ac:dyDescent="0.2">
      <c r="A956" s="6" t="s">
        <v>633</v>
      </c>
      <c r="B956" s="6" t="s">
        <v>32</v>
      </c>
      <c r="C956" s="7">
        <v>215824</v>
      </c>
      <c r="D956" s="8">
        <v>11054.4</v>
      </c>
      <c r="E956" s="9" t="s">
        <v>7</v>
      </c>
      <c r="F956" s="36">
        <v>20</v>
      </c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spans="1:22" ht="12.75" customHeight="1" x14ac:dyDescent="0.2">
      <c r="A957" s="6" t="s">
        <v>630</v>
      </c>
      <c r="B957" s="6" t="s">
        <v>32</v>
      </c>
      <c r="C957" s="7">
        <v>215825</v>
      </c>
      <c r="D957" s="8">
        <v>9180</v>
      </c>
      <c r="E957" s="9" t="s">
        <v>7</v>
      </c>
      <c r="F957" s="36">
        <v>20</v>
      </c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1:22" ht="12.75" customHeight="1" x14ac:dyDescent="0.2">
      <c r="A958" s="6" t="s">
        <v>632</v>
      </c>
      <c r="B958" s="6" t="s">
        <v>32</v>
      </c>
      <c r="C958" s="7">
        <v>215828</v>
      </c>
      <c r="D958" s="8">
        <v>8743.1999999999989</v>
      </c>
      <c r="E958" s="9" t="s">
        <v>16</v>
      </c>
      <c r="F958" s="36">
        <v>20</v>
      </c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1:22" ht="12.75" customHeight="1" x14ac:dyDescent="0.2">
      <c r="A959" s="6" t="s">
        <v>634</v>
      </c>
      <c r="B959" s="6" t="s">
        <v>32</v>
      </c>
      <c r="C959" s="7">
        <v>215837</v>
      </c>
      <c r="D959" s="8">
        <v>8895.6</v>
      </c>
      <c r="E959" s="9" t="s">
        <v>7</v>
      </c>
      <c r="F959" s="36">
        <v>20</v>
      </c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spans="1:22" ht="12.75" customHeight="1" x14ac:dyDescent="0.2">
      <c r="A960" s="6" t="s">
        <v>447</v>
      </c>
      <c r="B960" s="6" t="s">
        <v>32</v>
      </c>
      <c r="C960" s="7">
        <v>222301</v>
      </c>
      <c r="D960" s="8">
        <v>12289.199999999999</v>
      </c>
      <c r="E960" s="9" t="s">
        <v>16</v>
      </c>
      <c r="F960" s="36">
        <v>20</v>
      </c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1:22" ht="12.75" customHeight="1" x14ac:dyDescent="0.2">
      <c r="A961" s="6" t="s">
        <v>642</v>
      </c>
      <c r="B961" s="6" t="s">
        <v>32</v>
      </c>
      <c r="C961" s="7">
        <v>223503</v>
      </c>
      <c r="D961" s="8">
        <v>14563.199999999999</v>
      </c>
      <c r="E961" s="9" t="s">
        <v>7</v>
      </c>
      <c r="F961" s="36">
        <v>20</v>
      </c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1:22" ht="12.75" customHeight="1" x14ac:dyDescent="0.2">
      <c r="A962" s="6" t="s">
        <v>35</v>
      </c>
      <c r="B962" s="6" t="s">
        <v>32</v>
      </c>
      <c r="C962" s="7">
        <v>10030901</v>
      </c>
      <c r="D962" s="8">
        <v>7651.2</v>
      </c>
      <c r="E962" s="9" t="s">
        <v>16</v>
      </c>
      <c r="F962" s="36">
        <v>20</v>
      </c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1:22" ht="12.75" customHeight="1" x14ac:dyDescent="0.2">
      <c r="A963" s="6" t="s">
        <v>36</v>
      </c>
      <c r="B963" s="6" t="s">
        <v>32</v>
      </c>
      <c r="C963" s="7">
        <v>10040901</v>
      </c>
      <c r="D963" s="8">
        <v>6943.2</v>
      </c>
      <c r="E963" s="9" t="s">
        <v>16</v>
      </c>
      <c r="F963" s="36">
        <v>20</v>
      </c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1:22" ht="12.75" customHeight="1" x14ac:dyDescent="0.2">
      <c r="A964" s="6" t="s">
        <v>643</v>
      </c>
      <c r="B964" s="6" t="s">
        <v>32</v>
      </c>
      <c r="C964" s="7">
        <v>10080901</v>
      </c>
      <c r="D964" s="8">
        <v>7934.4</v>
      </c>
      <c r="E964" s="9" t="s">
        <v>16</v>
      </c>
      <c r="F964" s="36">
        <v>20</v>
      </c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spans="1:22" ht="12.75" customHeight="1" x14ac:dyDescent="0.2">
      <c r="A965" s="6" t="s">
        <v>645</v>
      </c>
      <c r="B965" s="6" t="s">
        <v>32</v>
      </c>
      <c r="C965" s="7">
        <v>10090901</v>
      </c>
      <c r="D965" s="8">
        <v>8331.6</v>
      </c>
      <c r="E965" s="9" t="s">
        <v>16</v>
      </c>
      <c r="F965" s="36">
        <v>20</v>
      </c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1:22" ht="12.75" customHeight="1" x14ac:dyDescent="0.2">
      <c r="A966" s="6" t="s">
        <v>648</v>
      </c>
      <c r="B966" s="6" t="s">
        <v>32</v>
      </c>
      <c r="C966" s="7">
        <v>10100901</v>
      </c>
      <c r="D966" s="8">
        <v>8142</v>
      </c>
      <c r="E966" s="9" t="s">
        <v>16</v>
      </c>
      <c r="F966" s="36">
        <v>20</v>
      </c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1:22" ht="12.75" customHeight="1" x14ac:dyDescent="0.2">
      <c r="A967" s="6" t="s">
        <v>60</v>
      </c>
      <c r="B967" s="6" t="s">
        <v>32</v>
      </c>
      <c r="C967" s="7">
        <v>10110901</v>
      </c>
      <c r="D967" s="8">
        <v>7084.8</v>
      </c>
      <c r="E967" s="9" t="s">
        <v>16</v>
      </c>
      <c r="F967" s="36">
        <v>20</v>
      </c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1:22" ht="12.75" customHeight="1" x14ac:dyDescent="0.2">
      <c r="A968" s="6" t="s">
        <v>61</v>
      </c>
      <c r="B968" s="6" t="s">
        <v>32</v>
      </c>
      <c r="C968" s="7">
        <v>10120901</v>
      </c>
      <c r="D968" s="8">
        <v>7438.7999999999993</v>
      </c>
      <c r="E968" s="9" t="s">
        <v>16</v>
      </c>
      <c r="F968" s="36">
        <v>20</v>
      </c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1:22" ht="12.75" customHeight="1" x14ac:dyDescent="0.2">
      <c r="A969" s="6" t="s">
        <v>649</v>
      </c>
      <c r="B969" s="6" t="s">
        <v>32</v>
      </c>
      <c r="C969" s="7">
        <v>10260901</v>
      </c>
      <c r="D969" s="8">
        <v>8743.1999999999989</v>
      </c>
      <c r="E969" s="9" t="s">
        <v>16</v>
      </c>
      <c r="F969" s="36">
        <v>20</v>
      </c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spans="1:22" ht="12.75" customHeight="1" x14ac:dyDescent="0.2">
      <c r="A970" s="6" t="s">
        <v>137</v>
      </c>
      <c r="B970" s="6" t="s">
        <v>32</v>
      </c>
      <c r="C970" s="7">
        <v>10270901</v>
      </c>
      <c r="D970" s="8">
        <v>7831.2</v>
      </c>
      <c r="E970" s="9" t="s">
        <v>16</v>
      </c>
      <c r="F970" s="36">
        <v>20</v>
      </c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1:22" ht="12.75" customHeight="1" x14ac:dyDescent="0.2">
      <c r="A971" s="6" t="s">
        <v>137</v>
      </c>
      <c r="B971" s="6" t="s">
        <v>32</v>
      </c>
      <c r="C971" s="7">
        <v>113430</v>
      </c>
      <c r="D971" s="8">
        <v>7831.2</v>
      </c>
      <c r="E971" s="9" t="s">
        <v>16</v>
      </c>
      <c r="F971" s="36">
        <v>20</v>
      </c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spans="1:22" ht="12.75" customHeight="1" x14ac:dyDescent="0.2">
      <c r="A972" s="6" t="s">
        <v>650</v>
      </c>
      <c r="B972" s="6" t="s">
        <v>32</v>
      </c>
      <c r="C972" s="7">
        <v>10460901</v>
      </c>
      <c r="D972" s="8">
        <v>6520.8</v>
      </c>
      <c r="E972" s="9" t="s">
        <v>16</v>
      </c>
      <c r="F972" s="36">
        <v>20</v>
      </c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1:22" ht="12.75" customHeight="1" x14ac:dyDescent="0.2">
      <c r="A973" s="6" t="s">
        <v>651</v>
      </c>
      <c r="B973" s="6" t="s">
        <v>32</v>
      </c>
      <c r="C973" s="7">
        <v>10520901</v>
      </c>
      <c r="D973" s="8">
        <v>7290</v>
      </c>
      <c r="E973" s="9" t="s">
        <v>16</v>
      </c>
      <c r="F973" s="36">
        <v>20</v>
      </c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1:22" ht="12.75" customHeight="1" x14ac:dyDescent="0.2">
      <c r="A974" s="6" t="s">
        <v>653</v>
      </c>
      <c r="B974" s="6" t="s">
        <v>32</v>
      </c>
      <c r="C974" s="7">
        <v>10550901</v>
      </c>
      <c r="D974" s="8">
        <v>7650</v>
      </c>
      <c r="E974" s="9" t="s">
        <v>16</v>
      </c>
      <c r="F974" s="36">
        <v>20</v>
      </c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1:22" ht="12.75" customHeight="1" x14ac:dyDescent="0.2">
      <c r="A975" s="6" t="s">
        <v>654</v>
      </c>
      <c r="B975" s="6" t="s">
        <v>32</v>
      </c>
      <c r="C975" s="7">
        <v>10780901</v>
      </c>
      <c r="D975" s="8">
        <v>6956.4</v>
      </c>
      <c r="E975" s="9" t="s">
        <v>16</v>
      </c>
      <c r="F975" s="36">
        <v>20</v>
      </c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1:22" ht="12.75" customHeight="1" x14ac:dyDescent="0.2">
      <c r="A976" s="6" t="s">
        <v>197</v>
      </c>
      <c r="B976" s="6" t="s">
        <v>32</v>
      </c>
      <c r="C976" s="7">
        <v>10470901</v>
      </c>
      <c r="D976" s="8">
        <v>9421.1999999999989</v>
      </c>
      <c r="E976" s="9" t="s">
        <v>16</v>
      </c>
      <c r="F976" s="36">
        <v>20</v>
      </c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1:22" ht="12.75" customHeight="1" x14ac:dyDescent="0.2">
      <c r="A977" s="6" t="s">
        <v>36</v>
      </c>
      <c r="B977" s="6" t="s">
        <v>32</v>
      </c>
      <c r="C977" s="7" t="s">
        <v>656</v>
      </c>
      <c r="D977" s="8">
        <v>6943.2</v>
      </c>
      <c r="E977" s="9" t="s">
        <v>16</v>
      </c>
      <c r="F977" s="36">
        <v>20</v>
      </c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1:22" ht="12.75" customHeight="1" x14ac:dyDescent="0.2">
      <c r="A978" s="6" t="s">
        <v>37</v>
      </c>
      <c r="B978" s="6" t="s">
        <v>32</v>
      </c>
      <c r="C978" s="7" t="s">
        <v>658</v>
      </c>
      <c r="D978" s="8">
        <v>6943.2</v>
      </c>
      <c r="E978" s="9" t="s">
        <v>16</v>
      </c>
      <c r="F978" s="36">
        <v>20</v>
      </c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1:22" ht="12.75" customHeight="1" x14ac:dyDescent="0.2">
      <c r="A979" s="6" t="s">
        <v>40</v>
      </c>
      <c r="B979" s="6" t="s">
        <v>32</v>
      </c>
      <c r="C979" s="7" t="s">
        <v>662</v>
      </c>
      <c r="D979" s="8">
        <v>10768.8</v>
      </c>
      <c r="E979" s="9" t="s">
        <v>16</v>
      </c>
      <c r="F979" s="36">
        <v>20</v>
      </c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1:22" ht="12.75" customHeight="1" x14ac:dyDescent="0.2">
      <c r="A980" s="6" t="s">
        <v>41</v>
      </c>
      <c r="B980" s="6" t="s">
        <v>32</v>
      </c>
      <c r="C980" s="7" t="s">
        <v>664</v>
      </c>
      <c r="D980" s="8">
        <v>10910.4</v>
      </c>
      <c r="E980" s="9" t="s">
        <v>16</v>
      </c>
      <c r="F980" s="36">
        <v>20</v>
      </c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1:22" ht="12.75" customHeight="1" x14ac:dyDescent="0.2">
      <c r="A981" s="6" t="s">
        <v>244</v>
      </c>
      <c r="B981" s="6" t="s">
        <v>32</v>
      </c>
      <c r="C981" s="7" t="s">
        <v>674</v>
      </c>
      <c r="D981" s="8">
        <v>6943.2</v>
      </c>
      <c r="E981" s="9" t="s">
        <v>16</v>
      </c>
      <c r="F981" s="36">
        <v>20</v>
      </c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1:22" ht="12.75" customHeight="1" x14ac:dyDescent="0.2">
      <c r="A982" s="6" t="s">
        <v>681</v>
      </c>
      <c r="B982" s="6" t="s">
        <v>32</v>
      </c>
      <c r="C982" s="7" t="s">
        <v>683</v>
      </c>
      <c r="D982" s="8">
        <v>8182.7999999999993</v>
      </c>
      <c r="E982" s="9" t="s">
        <v>16</v>
      </c>
      <c r="F982" s="36">
        <v>20</v>
      </c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1:22" ht="12.75" customHeight="1" x14ac:dyDescent="0.2">
      <c r="A983" s="6" t="s">
        <v>35</v>
      </c>
      <c r="B983" s="6" t="s">
        <v>32</v>
      </c>
      <c r="C983" s="7">
        <v>166505</v>
      </c>
      <c r="D983" s="8">
        <v>9196.7999999999993</v>
      </c>
      <c r="E983" s="9" t="s">
        <v>16</v>
      </c>
      <c r="F983" s="36">
        <v>20</v>
      </c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1:22" ht="12.75" customHeight="1" x14ac:dyDescent="0.2">
      <c r="A984" s="6" t="s">
        <v>36</v>
      </c>
      <c r="B984" s="6" t="s">
        <v>32</v>
      </c>
      <c r="C984" s="7">
        <v>166463</v>
      </c>
      <c r="D984" s="8">
        <v>8870.4</v>
      </c>
      <c r="E984" s="9" t="s">
        <v>16</v>
      </c>
      <c r="F984" s="36">
        <v>20</v>
      </c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1:22" ht="12.75" customHeight="1" x14ac:dyDescent="0.2">
      <c r="A985" s="6" t="s">
        <v>37</v>
      </c>
      <c r="B985" s="6" t="s">
        <v>32</v>
      </c>
      <c r="C985" s="7">
        <v>166515</v>
      </c>
      <c r="D985" s="8">
        <v>9056.4</v>
      </c>
      <c r="E985" s="9" t="s">
        <v>16</v>
      </c>
      <c r="F985" s="36">
        <v>20</v>
      </c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spans="1:22" ht="12.75" customHeight="1" x14ac:dyDescent="0.2">
      <c r="A986" s="6" t="s">
        <v>38</v>
      </c>
      <c r="B986" s="6" t="s">
        <v>32</v>
      </c>
      <c r="C986" s="7">
        <v>166530</v>
      </c>
      <c r="D986" s="8">
        <v>11161.199999999999</v>
      </c>
      <c r="E986" s="9" t="s">
        <v>16</v>
      </c>
      <c r="F986" s="36">
        <v>20</v>
      </c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spans="1:22" ht="12.75" customHeight="1" x14ac:dyDescent="0.2">
      <c r="A987" s="6" t="s">
        <v>39</v>
      </c>
      <c r="B987" s="6" t="s">
        <v>32</v>
      </c>
      <c r="C987" s="7">
        <v>166810</v>
      </c>
      <c r="D987" s="8">
        <v>11019.6</v>
      </c>
      <c r="E987" s="9" t="s">
        <v>16</v>
      </c>
      <c r="F987" s="36">
        <v>20</v>
      </c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spans="1:22" ht="12.75" customHeight="1" x14ac:dyDescent="0.2">
      <c r="A988" s="6" t="s">
        <v>40</v>
      </c>
      <c r="B988" s="6" t="s">
        <v>32</v>
      </c>
      <c r="C988" s="7">
        <v>166521</v>
      </c>
      <c r="D988" s="8">
        <v>11205.6</v>
      </c>
      <c r="E988" s="9" t="s">
        <v>16</v>
      </c>
      <c r="F988" s="36">
        <v>20</v>
      </c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spans="1:22" ht="12.75" customHeight="1" x14ac:dyDescent="0.2">
      <c r="A989" s="6" t="s">
        <v>42</v>
      </c>
      <c r="B989" s="6" t="s">
        <v>32</v>
      </c>
      <c r="C989" s="7">
        <v>166523</v>
      </c>
      <c r="D989" s="8">
        <v>11764.8</v>
      </c>
      <c r="E989" s="9" t="s">
        <v>16</v>
      </c>
      <c r="F989" s="36">
        <v>20</v>
      </c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spans="1:22" ht="12.75" customHeight="1" x14ac:dyDescent="0.2">
      <c r="A990" s="6" t="s">
        <v>58</v>
      </c>
      <c r="B990" s="6" t="s">
        <v>32</v>
      </c>
      <c r="C990" s="7">
        <v>166518</v>
      </c>
      <c r="D990" s="8">
        <v>11965.199999999999</v>
      </c>
      <c r="E990" s="9" t="s">
        <v>16</v>
      </c>
      <c r="F990" s="36">
        <v>20</v>
      </c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spans="1:22" ht="12.75" customHeight="1" x14ac:dyDescent="0.2">
      <c r="A991" s="6" t="s">
        <v>60</v>
      </c>
      <c r="B991" s="6" t="s">
        <v>32</v>
      </c>
      <c r="C991" s="7">
        <v>166508</v>
      </c>
      <c r="D991" s="8">
        <v>8072.4</v>
      </c>
      <c r="E991" s="9" t="s">
        <v>16</v>
      </c>
      <c r="F991" s="36">
        <v>20</v>
      </c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spans="1:22" ht="12.75" customHeight="1" x14ac:dyDescent="0.2">
      <c r="A992" s="6" t="s">
        <v>61</v>
      </c>
      <c r="B992" s="6" t="s">
        <v>32</v>
      </c>
      <c r="C992" s="7">
        <v>166510</v>
      </c>
      <c r="D992" s="8">
        <v>8718</v>
      </c>
      <c r="E992" s="9" t="s">
        <v>16</v>
      </c>
      <c r="F992" s="36">
        <v>20</v>
      </c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spans="1:22" ht="12.75" customHeight="1" x14ac:dyDescent="0.2">
      <c r="A993" s="6" t="s">
        <v>62</v>
      </c>
      <c r="B993" s="6" t="s">
        <v>32</v>
      </c>
      <c r="C993" s="7">
        <v>166513</v>
      </c>
      <c r="D993" s="8">
        <v>8548.7999999999993</v>
      </c>
      <c r="E993" s="9" t="s">
        <v>16</v>
      </c>
      <c r="F993" s="36">
        <v>20</v>
      </c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spans="1:22" ht="12.75" customHeight="1" x14ac:dyDescent="0.2">
      <c r="A994" s="6" t="s">
        <v>67</v>
      </c>
      <c r="B994" s="6" t="s">
        <v>32</v>
      </c>
      <c r="C994" s="7">
        <v>166805</v>
      </c>
      <c r="D994" s="8">
        <v>9686.4</v>
      </c>
      <c r="E994" s="9" t="s">
        <v>16</v>
      </c>
      <c r="F994" s="36">
        <v>20</v>
      </c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spans="1:22" ht="12.75" customHeight="1" x14ac:dyDescent="0.2">
      <c r="A995" s="6" t="s">
        <v>72</v>
      </c>
      <c r="B995" s="6" t="s">
        <v>32</v>
      </c>
      <c r="C995" s="7">
        <v>166798</v>
      </c>
      <c r="D995" s="8">
        <v>8463.6</v>
      </c>
      <c r="E995" s="9" t="s">
        <v>16</v>
      </c>
      <c r="F995" s="36">
        <v>20</v>
      </c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spans="1:22" ht="12.75" customHeight="1" x14ac:dyDescent="0.2">
      <c r="A996" s="6" t="s">
        <v>73</v>
      </c>
      <c r="B996" s="6" t="s">
        <v>32</v>
      </c>
      <c r="C996" s="7">
        <v>165999</v>
      </c>
      <c r="D996" s="8">
        <v>9981.6</v>
      </c>
      <c r="E996" s="9" t="s">
        <v>16</v>
      </c>
      <c r="F996" s="36">
        <v>20</v>
      </c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spans="1:22" ht="12.75" customHeight="1" x14ac:dyDescent="0.2">
      <c r="A997" s="6" t="s">
        <v>43</v>
      </c>
      <c r="B997" s="6" t="s">
        <v>32</v>
      </c>
      <c r="C997" s="7">
        <v>166525</v>
      </c>
      <c r="D997" s="8">
        <v>10503.6</v>
      </c>
      <c r="E997" s="9" t="s">
        <v>16</v>
      </c>
      <c r="F997" s="36">
        <v>20</v>
      </c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 spans="1:22" ht="12.75" customHeight="1" x14ac:dyDescent="0.2">
      <c r="A998" s="6" t="s">
        <v>41</v>
      </c>
      <c r="B998" s="6" t="s">
        <v>32</v>
      </c>
      <c r="C998" s="7">
        <v>166532</v>
      </c>
      <c r="D998" s="8">
        <v>11284.8</v>
      </c>
      <c r="E998" s="9" t="s">
        <v>16</v>
      </c>
      <c r="F998" s="36">
        <v>20</v>
      </c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 spans="1:22" ht="12.75" customHeight="1" x14ac:dyDescent="0.2">
      <c r="A999" s="6" t="s">
        <v>153</v>
      </c>
      <c r="B999" s="6" t="s">
        <v>32</v>
      </c>
      <c r="C999" s="7">
        <v>166792</v>
      </c>
      <c r="D999" s="8">
        <v>8515.1999999999989</v>
      </c>
      <c r="E999" s="9" t="s">
        <v>16</v>
      </c>
      <c r="F999" s="36">
        <v>20</v>
      </c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 spans="1:22" ht="12.75" customHeight="1" x14ac:dyDescent="0.2">
      <c r="A1000" s="6" t="s">
        <v>208</v>
      </c>
      <c r="B1000" s="6" t="s">
        <v>32</v>
      </c>
      <c r="C1000" s="7">
        <v>173645</v>
      </c>
      <c r="D1000" s="8">
        <v>10876.8</v>
      </c>
      <c r="E1000" s="9" t="s">
        <v>16</v>
      </c>
      <c r="F1000" s="36">
        <v>20</v>
      </c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  <row r="1001" spans="1:22" ht="12.75" customHeight="1" x14ac:dyDescent="0.2">
      <c r="A1001" s="6" t="s">
        <v>199</v>
      </c>
      <c r="B1001" s="6" t="s">
        <v>32</v>
      </c>
      <c r="C1001" s="7">
        <v>174755</v>
      </c>
      <c r="D1001" s="8">
        <v>9871.1999999999989</v>
      </c>
      <c r="E1001" s="9" t="s">
        <v>16</v>
      </c>
      <c r="F1001" s="36">
        <v>20</v>
      </c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</row>
    <row r="1002" spans="1:22" ht="12.75" customHeight="1" x14ac:dyDescent="0.2">
      <c r="A1002" s="6" t="s">
        <v>264</v>
      </c>
      <c r="B1002" s="6" t="s">
        <v>32</v>
      </c>
      <c r="C1002" s="7">
        <v>187704</v>
      </c>
      <c r="D1002" s="8">
        <v>10276.799999999999</v>
      </c>
      <c r="E1002" s="9" t="s">
        <v>16</v>
      </c>
      <c r="F1002" s="36">
        <v>20</v>
      </c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</row>
    <row r="1003" spans="1:22" ht="12.75" customHeight="1" x14ac:dyDescent="0.2">
      <c r="A1003" s="6" t="s">
        <v>437</v>
      </c>
      <c r="B1003" s="6" t="s">
        <v>32</v>
      </c>
      <c r="C1003" s="7">
        <v>209575</v>
      </c>
      <c r="D1003" s="8">
        <v>9673.1999999999989</v>
      </c>
      <c r="E1003" s="9" t="s">
        <v>16</v>
      </c>
      <c r="F1003" s="36">
        <v>20</v>
      </c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</row>
    <row r="1004" spans="1:22" ht="12.75" customHeight="1" x14ac:dyDescent="0.2">
      <c r="A1004" s="6" t="s">
        <v>445</v>
      </c>
      <c r="B1004" s="6" t="s">
        <v>32</v>
      </c>
      <c r="C1004" s="7">
        <v>209643</v>
      </c>
      <c r="D1004" s="8">
        <v>16900.8</v>
      </c>
      <c r="E1004" s="9" t="s">
        <v>16</v>
      </c>
      <c r="F1004" s="36">
        <v>20</v>
      </c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</row>
    <row r="1005" spans="1:22" ht="12.75" customHeight="1" x14ac:dyDescent="0.2">
      <c r="A1005" s="6" t="s">
        <v>137</v>
      </c>
      <c r="B1005" s="6" t="s">
        <v>32</v>
      </c>
      <c r="C1005" s="7">
        <v>166795</v>
      </c>
      <c r="D1005" s="8">
        <v>7831.2</v>
      </c>
      <c r="E1005" s="9" t="s">
        <v>16</v>
      </c>
      <c r="F1005" s="36">
        <v>20</v>
      </c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</row>
    <row r="1006" spans="1:22" ht="12.75" customHeight="1" x14ac:dyDescent="0.2">
      <c r="A1006" s="6" t="s">
        <v>455</v>
      </c>
      <c r="B1006" s="6" t="s">
        <v>32</v>
      </c>
      <c r="C1006" s="7">
        <v>134149</v>
      </c>
      <c r="D1006" s="8">
        <v>9440.4</v>
      </c>
      <c r="E1006" s="9" t="s">
        <v>16</v>
      </c>
      <c r="F1006" s="36">
        <v>20</v>
      </c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</row>
    <row r="1007" spans="1:22" ht="12.75" customHeight="1" x14ac:dyDescent="0.2">
      <c r="A1007" s="6" t="s">
        <v>600</v>
      </c>
      <c r="B1007" s="6" t="s">
        <v>32</v>
      </c>
      <c r="C1007" s="7">
        <v>201292</v>
      </c>
      <c r="D1007" s="8">
        <v>9692.4</v>
      </c>
      <c r="E1007" s="9" t="s">
        <v>16</v>
      </c>
      <c r="F1007" s="36">
        <v>20</v>
      </c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</row>
    <row r="1008" spans="1:22" ht="12.75" customHeight="1" x14ac:dyDescent="0.2">
      <c r="A1008" s="6" t="s">
        <v>687</v>
      </c>
      <c r="B1008" s="6" t="s">
        <v>32</v>
      </c>
      <c r="C1008" s="7">
        <v>201284</v>
      </c>
      <c r="D1008" s="8">
        <v>9439.1999999999989</v>
      </c>
      <c r="E1008" s="9" t="s">
        <v>16</v>
      </c>
      <c r="F1008" s="36">
        <v>20</v>
      </c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</row>
    <row r="1009" spans="1:22" ht="12.75" customHeight="1" x14ac:dyDescent="0.2">
      <c r="A1009" s="6" t="s">
        <v>465</v>
      </c>
      <c r="B1009" s="6" t="s">
        <v>506</v>
      </c>
      <c r="C1009" s="7">
        <v>213823</v>
      </c>
      <c r="D1009" s="8">
        <v>4845.5999999999995</v>
      </c>
      <c r="E1009" s="9" t="s">
        <v>16</v>
      </c>
      <c r="F1009" s="36">
        <f t="shared" ref="F1009:F1010" si="4">24*0.25</f>
        <v>6</v>
      </c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</row>
    <row r="1010" spans="1:22" ht="12.75" customHeight="1" x14ac:dyDescent="0.2">
      <c r="A1010" s="6" t="s">
        <v>507</v>
      </c>
      <c r="B1010" s="6" t="s">
        <v>506</v>
      </c>
      <c r="C1010" s="7">
        <v>213825</v>
      </c>
      <c r="D1010" s="8">
        <v>5974.8</v>
      </c>
      <c r="E1010" s="9" t="s">
        <v>16</v>
      </c>
      <c r="F1010" s="36">
        <f t="shared" si="4"/>
        <v>6</v>
      </c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</row>
    <row r="1011" spans="1:22" ht="12.75" customHeight="1" x14ac:dyDescent="0.2">
      <c r="A1011" s="6" t="s">
        <v>238</v>
      </c>
      <c r="B1011" s="6" t="s">
        <v>239</v>
      </c>
      <c r="C1011" s="7">
        <v>161172</v>
      </c>
      <c r="D1011" s="8">
        <v>16975.2</v>
      </c>
      <c r="E1011" s="9" t="s">
        <v>16</v>
      </c>
      <c r="F1011" s="36">
        <f t="shared" ref="F1011:F1014" si="5">24*0.37</f>
        <v>8.879999999999999</v>
      </c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</row>
    <row r="1012" spans="1:22" ht="12.75" customHeight="1" x14ac:dyDescent="0.2">
      <c r="A1012" s="6" t="s">
        <v>240</v>
      </c>
      <c r="B1012" s="6" t="s">
        <v>239</v>
      </c>
      <c r="C1012" s="7">
        <v>161390</v>
      </c>
      <c r="D1012" s="8">
        <v>16975.2</v>
      </c>
      <c r="E1012" s="9" t="s">
        <v>16</v>
      </c>
      <c r="F1012" s="36">
        <f t="shared" si="5"/>
        <v>8.879999999999999</v>
      </c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</row>
    <row r="1013" spans="1:22" ht="12.75" customHeight="1" x14ac:dyDescent="0.2">
      <c r="A1013" s="6" t="s">
        <v>267</v>
      </c>
      <c r="B1013" s="6" t="s">
        <v>239</v>
      </c>
      <c r="C1013" s="7">
        <v>172826</v>
      </c>
      <c r="D1013" s="8">
        <v>20371.2</v>
      </c>
      <c r="E1013" s="9" t="s">
        <v>16</v>
      </c>
      <c r="F1013" s="36">
        <f t="shared" si="5"/>
        <v>8.879999999999999</v>
      </c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</row>
    <row r="1014" spans="1:22" ht="12.75" customHeight="1" x14ac:dyDescent="0.2">
      <c r="A1014" s="6" t="s">
        <v>320</v>
      </c>
      <c r="B1014" s="6" t="s">
        <v>239</v>
      </c>
      <c r="C1014" s="7">
        <v>188476</v>
      </c>
      <c r="D1014" s="8">
        <v>12303.6</v>
      </c>
      <c r="E1014" s="9" t="s">
        <v>16</v>
      </c>
      <c r="F1014" s="36">
        <f t="shared" si="5"/>
        <v>8.879999999999999</v>
      </c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</row>
    <row r="1015" spans="1:22" ht="12.75" customHeight="1" x14ac:dyDescent="0.2">
      <c r="A1015" s="6" t="s">
        <v>281</v>
      </c>
      <c r="B1015" s="6" t="s">
        <v>284</v>
      </c>
      <c r="C1015" s="7">
        <v>179304</v>
      </c>
      <c r="D1015" s="8">
        <v>9859.1999999999989</v>
      </c>
      <c r="E1015" s="9" t="s">
        <v>16</v>
      </c>
      <c r="F1015" s="36">
        <f t="shared" ref="F1015:F1017" si="6">24*0.42</f>
        <v>10.08</v>
      </c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</row>
    <row r="1016" spans="1:22" ht="12.75" customHeight="1" x14ac:dyDescent="0.2">
      <c r="A1016" s="6" t="s">
        <v>289</v>
      </c>
      <c r="B1016" s="6" t="s">
        <v>284</v>
      </c>
      <c r="C1016" s="7">
        <v>182240</v>
      </c>
      <c r="D1016" s="8">
        <v>9970.7999999999993</v>
      </c>
      <c r="E1016" s="9" t="s">
        <v>16</v>
      </c>
      <c r="F1016" s="36">
        <f t="shared" si="6"/>
        <v>10.08</v>
      </c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</row>
    <row r="1017" spans="1:22" ht="12.75" customHeight="1" x14ac:dyDescent="0.2">
      <c r="A1017" s="6" t="s">
        <v>391</v>
      </c>
      <c r="B1017" s="6" t="s">
        <v>284</v>
      </c>
      <c r="C1017" s="7">
        <v>199422</v>
      </c>
      <c r="D1017" s="8">
        <v>11698.8</v>
      </c>
      <c r="E1017" s="9" t="s">
        <v>16</v>
      </c>
      <c r="F1017" s="36">
        <f t="shared" si="6"/>
        <v>10.08</v>
      </c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</row>
    <row r="1018" spans="1:22" ht="12.75" customHeight="1" x14ac:dyDescent="0.2">
      <c r="A1018" s="6" t="s">
        <v>10</v>
      </c>
      <c r="B1018" s="6" t="s">
        <v>11</v>
      </c>
      <c r="C1018" s="7">
        <v>102798</v>
      </c>
      <c r="D1018" s="8">
        <v>7848</v>
      </c>
      <c r="E1018" s="9" t="s">
        <v>7</v>
      </c>
      <c r="F1018" s="36">
        <f t="shared" ref="F1018:F1040" si="7">24*0.4</f>
        <v>9.6000000000000014</v>
      </c>
      <c r="G1018" s="37"/>
      <c r="H1018" s="14">
        <f>H$3+G1018</f>
        <v>0.55000000000000004</v>
      </c>
      <c r="I1018" s="37">
        <f ca="1">IFERROR(__xludf.DUMMYFUNCTION("ROUND(D1018*GOOGLEFINANCE(""RUBKZT"")*H1018)"),33683)</f>
        <v>33683</v>
      </c>
      <c r="J1018" s="38">
        <f ca="1">IFERROR(__xludf.DUMMYFUNCTION("ROUND(I1018*GOOGLEFINANCE(""KZTEUR""))"),71)</f>
        <v>71</v>
      </c>
      <c r="K1018" s="38">
        <f ca="1">ROUND(J1018/F1018*1000,0)</f>
        <v>7396</v>
      </c>
      <c r="L1018" s="38">
        <f ca="1">K1018*L$3</f>
        <v>1405.24</v>
      </c>
      <c r="M1018" s="38">
        <f t="shared" ref="M1018:N1018" si="8">M$3</f>
        <v>500</v>
      </c>
      <c r="N1018" s="38">
        <f t="shared" si="8"/>
        <v>500</v>
      </c>
      <c r="O1018" s="38">
        <f ca="1">IFERROR(__xludf.DUMMYFUNCTION("ROUND(GOOGLEFINANCE(""Currency:EURKZT"")*K1018)"),3532105)</f>
        <v>3532105</v>
      </c>
      <c r="P1018" s="38">
        <f ca="1">IFERROR(__xludf.DUMMYFUNCTION("ROUND(GOOGLEFINANCE(""Currency:EURKZT"")*M1018)"),238785)</f>
        <v>238785</v>
      </c>
      <c r="Q1018" s="38">
        <f ca="1">IFERROR(__xludf.DUMMYFUNCTION("ROUND(GOOGLEFINANCE(""Currency:EURKZT"")*N1018)"),238785)</f>
        <v>238785</v>
      </c>
      <c r="R1018" s="38">
        <f ca="1">ROUND(O1018*R$3,0)</f>
        <v>423853</v>
      </c>
      <c r="S1018" s="38">
        <f ca="1">SUM(O1018:R1018)</f>
        <v>4433528</v>
      </c>
      <c r="T1018" s="38">
        <f ca="1">IFERROR(__xludf.DUMMYFUNCTION("ROUND(GOOGLEFINANCE(""Currency:EURKZT"")*L1018+S1018)"),5104628)</f>
        <v>5104628</v>
      </c>
      <c r="U1018" s="38">
        <f ca="1">IFERROR(__xludf.DUMMYFUNCTION("D1018*GOOGLEFINANCE(""RUBKZT"")*1000/F1018"),6379379.93150999)</f>
        <v>6379379.9315099902</v>
      </c>
      <c r="V1018" s="39">
        <f ca="1">(U1018-T1018)/T1018</f>
        <v>0.24972474615388041</v>
      </c>
    </row>
    <row r="1019" spans="1:22" ht="12.75" customHeight="1" x14ac:dyDescent="0.2">
      <c r="A1019" s="6" t="s">
        <v>161</v>
      </c>
      <c r="B1019" s="6" t="s">
        <v>11</v>
      </c>
      <c r="C1019" s="7">
        <v>140007</v>
      </c>
      <c r="D1019" s="8">
        <v>8257.1999999999989</v>
      </c>
      <c r="E1019" s="9" t="s">
        <v>7</v>
      </c>
      <c r="F1019" s="36">
        <f t="shared" si="7"/>
        <v>9.6000000000000014</v>
      </c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</row>
    <row r="1020" spans="1:22" ht="12.75" customHeight="1" x14ac:dyDescent="0.2">
      <c r="A1020" s="6" t="s">
        <v>185</v>
      </c>
      <c r="B1020" s="6" t="s">
        <v>11</v>
      </c>
      <c r="C1020" s="7">
        <v>147907</v>
      </c>
      <c r="D1020" s="8">
        <v>9511.1999999999989</v>
      </c>
      <c r="E1020" s="9" t="s">
        <v>7</v>
      </c>
      <c r="F1020" s="36">
        <f t="shared" si="7"/>
        <v>9.6000000000000014</v>
      </c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</row>
    <row r="1021" spans="1:22" ht="12.75" customHeight="1" x14ac:dyDescent="0.2">
      <c r="A1021" s="6" t="s">
        <v>168</v>
      </c>
      <c r="B1021" s="6" t="s">
        <v>11</v>
      </c>
      <c r="C1021" s="7">
        <v>160801</v>
      </c>
      <c r="D1021" s="8">
        <v>11067.6</v>
      </c>
      <c r="E1021" s="9" t="s">
        <v>16</v>
      </c>
      <c r="F1021" s="36">
        <f t="shared" si="7"/>
        <v>9.6000000000000014</v>
      </c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</row>
    <row r="1022" spans="1:22" ht="12.75" customHeight="1" x14ac:dyDescent="0.2">
      <c r="A1022" s="6" t="s">
        <v>24</v>
      </c>
      <c r="B1022" s="6" t="s">
        <v>11</v>
      </c>
      <c r="C1022" s="7">
        <v>160803</v>
      </c>
      <c r="D1022" s="8">
        <v>7161.5999999999995</v>
      </c>
      <c r="E1022" s="9" t="s">
        <v>16</v>
      </c>
      <c r="F1022" s="36">
        <f t="shared" si="7"/>
        <v>9.6000000000000014</v>
      </c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</row>
    <row r="1023" spans="1:22" ht="12.75" customHeight="1" x14ac:dyDescent="0.2">
      <c r="A1023" s="6" t="s">
        <v>21</v>
      </c>
      <c r="B1023" s="6" t="s">
        <v>11</v>
      </c>
      <c r="C1023" s="7">
        <v>160804</v>
      </c>
      <c r="D1023" s="8">
        <v>7130.4</v>
      </c>
      <c r="E1023" s="9" t="s">
        <v>16</v>
      </c>
      <c r="F1023" s="36">
        <f t="shared" si="7"/>
        <v>9.6000000000000014</v>
      </c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</row>
    <row r="1024" spans="1:22" ht="12.75" customHeight="1" x14ac:dyDescent="0.2">
      <c r="A1024" s="6" t="s">
        <v>17</v>
      </c>
      <c r="B1024" s="6" t="s">
        <v>11</v>
      </c>
      <c r="C1024" s="7">
        <v>160816</v>
      </c>
      <c r="D1024" s="8">
        <v>10185.6</v>
      </c>
      <c r="E1024" s="9" t="s">
        <v>16</v>
      </c>
      <c r="F1024" s="36">
        <f t="shared" si="7"/>
        <v>9.6000000000000014</v>
      </c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</row>
    <row r="1025" spans="1:22" ht="12.75" customHeight="1" x14ac:dyDescent="0.2">
      <c r="A1025" s="6" t="s">
        <v>23</v>
      </c>
      <c r="B1025" s="6" t="s">
        <v>11</v>
      </c>
      <c r="C1025" s="7">
        <v>160820</v>
      </c>
      <c r="D1025" s="8">
        <v>9087.6</v>
      </c>
      <c r="E1025" s="9" t="s">
        <v>16</v>
      </c>
      <c r="F1025" s="36">
        <f t="shared" si="7"/>
        <v>9.6000000000000014</v>
      </c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</row>
    <row r="1026" spans="1:22" ht="12.75" customHeight="1" x14ac:dyDescent="0.2">
      <c r="A1026" s="6" t="s">
        <v>172</v>
      </c>
      <c r="B1026" s="6" t="s">
        <v>11</v>
      </c>
      <c r="C1026" s="7">
        <v>160821</v>
      </c>
      <c r="D1026" s="8">
        <v>11851.199999999999</v>
      </c>
      <c r="E1026" s="9" t="s">
        <v>16</v>
      </c>
      <c r="F1026" s="36">
        <f t="shared" si="7"/>
        <v>9.6000000000000014</v>
      </c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</row>
    <row r="1027" spans="1:22" ht="12.75" customHeight="1" x14ac:dyDescent="0.2">
      <c r="A1027" s="6" t="s">
        <v>174</v>
      </c>
      <c r="B1027" s="6" t="s">
        <v>11</v>
      </c>
      <c r="C1027" s="7">
        <v>160825</v>
      </c>
      <c r="D1027" s="8">
        <v>15795.599999999999</v>
      </c>
      <c r="E1027" s="9" t="s">
        <v>16</v>
      </c>
      <c r="F1027" s="36">
        <f t="shared" si="7"/>
        <v>9.6000000000000014</v>
      </c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</row>
    <row r="1028" spans="1:22" ht="12.75" customHeight="1" x14ac:dyDescent="0.2">
      <c r="A1028" s="6" t="s">
        <v>20</v>
      </c>
      <c r="B1028" s="6" t="s">
        <v>11</v>
      </c>
      <c r="C1028" s="7">
        <v>160828</v>
      </c>
      <c r="D1028" s="8">
        <v>7486.7999999999993</v>
      </c>
      <c r="E1028" s="9" t="s">
        <v>16</v>
      </c>
      <c r="F1028" s="36">
        <f t="shared" si="7"/>
        <v>9.6000000000000014</v>
      </c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</row>
    <row r="1029" spans="1:22" ht="12.75" customHeight="1" x14ac:dyDescent="0.2">
      <c r="A1029" s="6" t="s">
        <v>171</v>
      </c>
      <c r="B1029" s="6" t="s">
        <v>11</v>
      </c>
      <c r="C1029" s="7">
        <v>160830</v>
      </c>
      <c r="D1029" s="8">
        <v>9452.4</v>
      </c>
      <c r="E1029" s="9" t="s">
        <v>16</v>
      </c>
      <c r="F1029" s="36">
        <f t="shared" si="7"/>
        <v>9.6000000000000014</v>
      </c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</row>
    <row r="1030" spans="1:22" ht="12.75" customHeight="1" x14ac:dyDescent="0.2">
      <c r="A1030" s="6" t="s">
        <v>182</v>
      </c>
      <c r="B1030" s="6" t="s">
        <v>11</v>
      </c>
      <c r="C1030" s="7">
        <v>160832</v>
      </c>
      <c r="D1030" s="8">
        <v>9224.4</v>
      </c>
      <c r="E1030" s="9" t="s">
        <v>16</v>
      </c>
      <c r="F1030" s="36">
        <f t="shared" si="7"/>
        <v>9.6000000000000014</v>
      </c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</row>
    <row r="1031" spans="1:22" ht="12.75" customHeight="1" x14ac:dyDescent="0.2">
      <c r="A1031" s="6" t="s">
        <v>183</v>
      </c>
      <c r="B1031" s="6" t="s">
        <v>11</v>
      </c>
      <c r="C1031" s="7">
        <v>160833</v>
      </c>
      <c r="D1031" s="8">
        <v>10398</v>
      </c>
      <c r="E1031" s="9" t="s">
        <v>16</v>
      </c>
      <c r="F1031" s="36">
        <f t="shared" si="7"/>
        <v>9.6000000000000014</v>
      </c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</row>
    <row r="1032" spans="1:22" ht="12.75" customHeight="1" x14ac:dyDescent="0.2">
      <c r="A1032" s="6" t="s">
        <v>196</v>
      </c>
      <c r="B1032" s="6" t="s">
        <v>11</v>
      </c>
      <c r="C1032" s="7">
        <v>160834</v>
      </c>
      <c r="D1032" s="8">
        <v>11806.8</v>
      </c>
      <c r="E1032" s="9" t="s">
        <v>16</v>
      </c>
      <c r="F1032" s="36">
        <f t="shared" si="7"/>
        <v>9.6000000000000014</v>
      </c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</row>
    <row r="1033" spans="1:22" ht="12.75" customHeight="1" x14ac:dyDescent="0.2">
      <c r="A1033" s="6" t="s">
        <v>184</v>
      </c>
      <c r="B1033" s="6" t="s">
        <v>11</v>
      </c>
      <c r="C1033" s="7">
        <v>178530</v>
      </c>
      <c r="D1033" s="8">
        <v>9807.6</v>
      </c>
      <c r="E1033" s="9" t="s">
        <v>16</v>
      </c>
      <c r="F1033" s="36">
        <f t="shared" si="7"/>
        <v>9.6000000000000014</v>
      </c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</row>
    <row r="1034" spans="1:22" ht="12.75" customHeight="1" x14ac:dyDescent="0.2">
      <c r="A1034" s="6" t="s">
        <v>258</v>
      </c>
      <c r="B1034" s="6" t="s">
        <v>11</v>
      </c>
      <c r="C1034" s="7">
        <v>183717</v>
      </c>
      <c r="D1034" s="8">
        <v>10249.199999999999</v>
      </c>
      <c r="E1034" s="9" t="s">
        <v>16</v>
      </c>
      <c r="F1034" s="36">
        <f t="shared" si="7"/>
        <v>9.6000000000000014</v>
      </c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</row>
    <row r="1035" spans="1:22" ht="12.75" customHeight="1" x14ac:dyDescent="0.2">
      <c r="A1035" s="6" t="s">
        <v>316</v>
      </c>
      <c r="B1035" s="6" t="s">
        <v>11</v>
      </c>
      <c r="C1035" s="7">
        <v>188292</v>
      </c>
      <c r="D1035" s="8">
        <v>16954.8</v>
      </c>
      <c r="E1035" s="9" t="s">
        <v>16</v>
      </c>
      <c r="F1035" s="36">
        <f t="shared" si="7"/>
        <v>9.6000000000000014</v>
      </c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</row>
    <row r="1036" spans="1:22" ht="12.75" customHeight="1" x14ac:dyDescent="0.2">
      <c r="A1036" s="6" t="s">
        <v>322</v>
      </c>
      <c r="B1036" s="6" t="s">
        <v>11</v>
      </c>
      <c r="C1036" s="7">
        <v>188583</v>
      </c>
      <c r="D1036" s="8">
        <v>14763.599999999999</v>
      </c>
      <c r="E1036" s="9" t="s">
        <v>16</v>
      </c>
      <c r="F1036" s="36">
        <f t="shared" si="7"/>
        <v>9.6000000000000014</v>
      </c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</row>
    <row r="1037" spans="1:22" ht="12.75" customHeight="1" x14ac:dyDescent="0.2">
      <c r="A1037" s="6" t="s">
        <v>375</v>
      </c>
      <c r="B1037" s="6" t="s">
        <v>11</v>
      </c>
      <c r="C1037" s="7">
        <v>197030</v>
      </c>
      <c r="D1037" s="8">
        <v>17589.599999999999</v>
      </c>
      <c r="E1037" s="9" t="s">
        <v>16</v>
      </c>
      <c r="F1037" s="36">
        <f t="shared" si="7"/>
        <v>9.6000000000000014</v>
      </c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</row>
    <row r="1038" spans="1:22" ht="12.75" customHeight="1" x14ac:dyDescent="0.2">
      <c r="A1038" s="6" t="s">
        <v>392</v>
      </c>
      <c r="B1038" s="6" t="s">
        <v>11</v>
      </c>
      <c r="C1038" s="7">
        <v>199423</v>
      </c>
      <c r="D1038" s="8">
        <v>12504</v>
      </c>
      <c r="E1038" s="9" t="s">
        <v>16</v>
      </c>
      <c r="F1038" s="36">
        <f t="shared" si="7"/>
        <v>9.6000000000000014</v>
      </c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</row>
    <row r="1039" spans="1:22" ht="12.75" customHeight="1" x14ac:dyDescent="0.2">
      <c r="A1039" s="6" t="s">
        <v>21</v>
      </c>
      <c r="B1039" s="6" t="s">
        <v>11</v>
      </c>
      <c r="C1039" s="7">
        <v>206701</v>
      </c>
      <c r="D1039" s="8">
        <v>7130.4</v>
      </c>
      <c r="E1039" s="9" t="s">
        <v>16</v>
      </c>
      <c r="F1039" s="36">
        <f t="shared" si="7"/>
        <v>9.6000000000000014</v>
      </c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</row>
    <row r="1040" spans="1:22" ht="12.75" customHeight="1" x14ac:dyDescent="0.2">
      <c r="A1040" s="6" t="s">
        <v>23</v>
      </c>
      <c r="B1040" s="6" t="s">
        <v>11</v>
      </c>
      <c r="C1040" s="7">
        <v>166651</v>
      </c>
      <c r="D1040" s="8">
        <v>9087.6</v>
      </c>
      <c r="E1040" s="9" t="s">
        <v>16</v>
      </c>
      <c r="F1040" s="36">
        <f t="shared" si="7"/>
        <v>9.6000000000000014</v>
      </c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</row>
    <row r="1041" spans="1:22" ht="12.75" customHeight="1" x14ac:dyDescent="0.2">
      <c r="A1041" s="6" t="s">
        <v>169</v>
      </c>
      <c r="B1041" s="6" t="s">
        <v>170</v>
      </c>
      <c r="C1041" s="7">
        <v>140089</v>
      </c>
      <c r="D1041" s="8">
        <v>18210</v>
      </c>
      <c r="E1041" s="9" t="s">
        <v>16</v>
      </c>
      <c r="F1041" s="36">
        <f t="shared" ref="F1041:F1043" si="9">25*0.25</f>
        <v>6.25</v>
      </c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</row>
    <row r="1042" spans="1:22" ht="12.75" customHeight="1" x14ac:dyDescent="0.2">
      <c r="A1042" s="6" t="s">
        <v>178</v>
      </c>
      <c r="B1042" s="6" t="s">
        <v>170</v>
      </c>
      <c r="C1042" s="7">
        <v>140223</v>
      </c>
      <c r="D1042" s="8">
        <v>17716.8</v>
      </c>
      <c r="E1042" s="9" t="s">
        <v>16</v>
      </c>
      <c r="F1042" s="36">
        <f t="shared" si="9"/>
        <v>6.25</v>
      </c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</row>
    <row r="1043" spans="1:22" ht="12.75" customHeight="1" x14ac:dyDescent="0.2">
      <c r="A1043" s="6" t="s">
        <v>374</v>
      </c>
      <c r="B1043" s="6" t="s">
        <v>170</v>
      </c>
      <c r="C1043" s="7">
        <v>196617</v>
      </c>
      <c r="D1043" s="8">
        <v>18326.399999999998</v>
      </c>
      <c r="E1043" s="9" t="s">
        <v>16</v>
      </c>
      <c r="F1043" s="36">
        <f t="shared" si="9"/>
        <v>6.25</v>
      </c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</row>
    <row r="1044" spans="1:22" ht="12.75" customHeight="1" x14ac:dyDescent="0.2">
      <c r="A1044" s="6" t="s">
        <v>156</v>
      </c>
      <c r="B1044" s="6" t="s">
        <v>158</v>
      </c>
      <c r="C1044" s="7">
        <v>134023</v>
      </c>
      <c r="D1044" s="8">
        <v>42493.2</v>
      </c>
      <c r="E1044" s="9" t="s">
        <v>16</v>
      </c>
      <c r="F1044" s="36">
        <v>25</v>
      </c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</row>
    <row r="1045" spans="1:22" ht="12.75" customHeight="1" x14ac:dyDescent="0.2">
      <c r="A1045" s="6" t="s">
        <v>159</v>
      </c>
      <c r="B1045" s="6" t="s">
        <v>158</v>
      </c>
      <c r="C1045" s="7">
        <v>134024</v>
      </c>
      <c r="D1045" s="8">
        <v>42758.400000000001</v>
      </c>
      <c r="E1045" s="9" t="s">
        <v>16</v>
      </c>
      <c r="F1045" s="36">
        <v>25</v>
      </c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</row>
    <row r="1046" spans="1:22" ht="12.75" customHeight="1" x14ac:dyDescent="0.2">
      <c r="A1046" s="6" t="s">
        <v>305</v>
      </c>
      <c r="B1046" s="6" t="s">
        <v>319</v>
      </c>
      <c r="C1046" s="7">
        <v>188475</v>
      </c>
      <c r="D1046" s="8">
        <v>12315.6</v>
      </c>
      <c r="E1046" s="9" t="s">
        <v>16</v>
      </c>
      <c r="F1046" s="36">
        <f>2*12*0.3</f>
        <v>7.1999999999999993</v>
      </c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</row>
    <row r="1047" spans="1:22" ht="12.75" customHeight="1" x14ac:dyDescent="0.2">
      <c r="A1047" s="6" t="s">
        <v>277</v>
      </c>
      <c r="B1047" s="6" t="s">
        <v>278</v>
      </c>
      <c r="C1047" s="7">
        <v>174547</v>
      </c>
      <c r="D1047" s="8">
        <v>13467.6</v>
      </c>
      <c r="E1047" s="9" t="s">
        <v>16</v>
      </c>
      <c r="F1047" s="36">
        <f t="shared" ref="F1047:F1049" si="10">2*12*0.4</f>
        <v>9.6000000000000014</v>
      </c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</row>
    <row r="1048" spans="1:22" ht="12.75" customHeight="1" x14ac:dyDescent="0.2">
      <c r="A1048" s="6" t="s">
        <v>329</v>
      </c>
      <c r="B1048" s="6" t="s">
        <v>278</v>
      </c>
      <c r="C1048" s="7">
        <v>190493</v>
      </c>
      <c r="D1048" s="8">
        <v>17736</v>
      </c>
      <c r="E1048" s="9" t="s">
        <v>16</v>
      </c>
      <c r="F1048" s="36">
        <f t="shared" si="10"/>
        <v>9.6000000000000014</v>
      </c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</row>
    <row r="1049" spans="1:22" ht="12.75" customHeight="1" x14ac:dyDescent="0.2">
      <c r="A1049" s="6" t="s">
        <v>330</v>
      </c>
      <c r="B1049" s="6" t="s">
        <v>278</v>
      </c>
      <c r="C1049" s="7">
        <v>190497</v>
      </c>
      <c r="D1049" s="8">
        <v>17462.399999999998</v>
      </c>
      <c r="E1049" s="9" t="s">
        <v>16</v>
      </c>
      <c r="F1049" s="36">
        <f t="shared" si="10"/>
        <v>9.6000000000000014</v>
      </c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</row>
    <row r="1050" spans="1:22" ht="12.75" customHeight="1" x14ac:dyDescent="0.2">
      <c r="A1050" s="6" t="s">
        <v>460</v>
      </c>
      <c r="B1050" s="6" t="s">
        <v>461</v>
      </c>
      <c r="C1050" s="7">
        <v>213672</v>
      </c>
      <c r="D1050" s="8">
        <v>5348.4</v>
      </c>
      <c r="E1050" s="9" t="s">
        <v>16</v>
      </c>
      <c r="F1050" s="36">
        <v>12</v>
      </c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</row>
    <row r="1051" spans="1:22" ht="12.75" customHeight="1" x14ac:dyDescent="0.2">
      <c r="A1051" s="6" t="s">
        <v>462</v>
      </c>
      <c r="B1051" s="6" t="s">
        <v>461</v>
      </c>
      <c r="C1051" s="7">
        <v>213673</v>
      </c>
      <c r="D1051" s="8">
        <v>5710.8</v>
      </c>
      <c r="E1051" s="9" t="s">
        <v>16</v>
      </c>
      <c r="F1051" s="36">
        <v>12</v>
      </c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</row>
    <row r="1052" spans="1:22" ht="12.75" customHeight="1" x14ac:dyDescent="0.2">
      <c r="A1052" s="6" t="s">
        <v>463</v>
      </c>
      <c r="B1052" s="6" t="s">
        <v>461</v>
      </c>
      <c r="C1052" s="7">
        <v>213674</v>
      </c>
      <c r="D1052" s="8">
        <v>7926</v>
      </c>
      <c r="E1052" s="9" t="s">
        <v>16</v>
      </c>
      <c r="F1052" s="36">
        <v>12</v>
      </c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</row>
    <row r="1053" spans="1:22" ht="12.75" customHeight="1" x14ac:dyDescent="0.2">
      <c r="A1053" s="6" t="s">
        <v>469</v>
      </c>
      <c r="B1053" s="6" t="s">
        <v>461</v>
      </c>
      <c r="C1053" s="7">
        <v>213685</v>
      </c>
      <c r="D1053" s="8">
        <v>8036.4</v>
      </c>
      <c r="E1053" s="9" t="s">
        <v>16</v>
      </c>
      <c r="F1053" s="36">
        <v>12</v>
      </c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</row>
    <row r="1054" spans="1:22" ht="12.75" customHeight="1" x14ac:dyDescent="0.2">
      <c r="A1054" s="6" t="s">
        <v>471</v>
      </c>
      <c r="B1054" s="6" t="s">
        <v>461</v>
      </c>
      <c r="C1054" s="7">
        <v>213687</v>
      </c>
      <c r="D1054" s="8">
        <v>9103.1999999999989</v>
      </c>
      <c r="E1054" s="9" t="s">
        <v>16</v>
      </c>
      <c r="F1054" s="36">
        <v>12</v>
      </c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</row>
    <row r="1055" spans="1:22" ht="12.75" customHeight="1" x14ac:dyDescent="0.2">
      <c r="A1055" s="6" t="s">
        <v>509</v>
      </c>
      <c r="B1055" s="6" t="s">
        <v>461</v>
      </c>
      <c r="C1055" s="7">
        <v>213834</v>
      </c>
      <c r="D1055" s="8">
        <v>8606.4</v>
      </c>
      <c r="E1055" s="9" t="s">
        <v>16</v>
      </c>
      <c r="F1055" s="36">
        <v>12</v>
      </c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</row>
    <row r="1056" spans="1:22" ht="12.75" customHeight="1" x14ac:dyDescent="0.2">
      <c r="A1056" s="6" t="s">
        <v>494</v>
      </c>
      <c r="B1056" s="6" t="s">
        <v>461</v>
      </c>
      <c r="C1056" s="7">
        <v>213836</v>
      </c>
      <c r="D1056" s="8">
        <v>7855.2</v>
      </c>
      <c r="E1056" s="9" t="s">
        <v>16</v>
      </c>
      <c r="F1056" s="36">
        <v>12</v>
      </c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</row>
    <row r="1057" spans="1:22" ht="12.75" customHeight="1" x14ac:dyDescent="0.2">
      <c r="A1057" s="6" t="s">
        <v>535</v>
      </c>
      <c r="B1057" s="6" t="s">
        <v>461</v>
      </c>
      <c r="C1057" s="7">
        <v>213887</v>
      </c>
      <c r="D1057" s="8">
        <v>7798.7999999999993</v>
      </c>
      <c r="E1057" s="9" t="s">
        <v>7</v>
      </c>
      <c r="F1057" s="36">
        <v>12</v>
      </c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</row>
    <row r="1058" spans="1:22" ht="12.75" customHeight="1" x14ac:dyDescent="0.2">
      <c r="A1058" s="6" t="s">
        <v>534</v>
      </c>
      <c r="B1058" s="6" t="s">
        <v>461</v>
      </c>
      <c r="C1058" s="7">
        <v>213895</v>
      </c>
      <c r="D1058" s="8">
        <v>4858.8</v>
      </c>
      <c r="E1058" s="9" t="s">
        <v>7</v>
      </c>
      <c r="F1058" s="36">
        <v>12</v>
      </c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</row>
    <row r="1059" spans="1:22" ht="12.75" customHeight="1" x14ac:dyDescent="0.2">
      <c r="A1059" s="6" t="s">
        <v>540</v>
      </c>
      <c r="B1059" s="6" t="s">
        <v>461</v>
      </c>
      <c r="C1059" s="7">
        <v>213909</v>
      </c>
      <c r="D1059" s="8">
        <v>8204.4</v>
      </c>
      <c r="E1059" s="9" t="s">
        <v>7</v>
      </c>
      <c r="F1059" s="36">
        <v>12</v>
      </c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</row>
    <row r="1060" spans="1:22" ht="12.75" customHeight="1" x14ac:dyDescent="0.2">
      <c r="A1060" s="6" t="s">
        <v>537</v>
      </c>
      <c r="B1060" s="6" t="s">
        <v>461</v>
      </c>
      <c r="C1060" s="7">
        <v>213914</v>
      </c>
      <c r="D1060" s="8">
        <v>7300.8</v>
      </c>
      <c r="E1060" s="9" t="s">
        <v>7</v>
      </c>
      <c r="F1060" s="36">
        <v>12</v>
      </c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</row>
    <row r="1061" spans="1:22" ht="12.75" customHeight="1" x14ac:dyDescent="0.2">
      <c r="A1061" s="6" t="s">
        <v>550</v>
      </c>
      <c r="B1061" s="6" t="s">
        <v>461</v>
      </c>
      <c r="C1061" s="7">
        <v>213945</v>
      </c>
      <c r="D1061" s="8">
        <v>7554</v>
      </c>
      <c r="E1061" s="9" t="s">
        <v>7</v>
      </c>
      <c r="F1061" s="36">
        <v>12</v>
      </c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</row>
    <row r="1062" spans="1:22" ht="12.75" customHeight="1" x14ac:dyDescent="0.2">
      <c r="A1062" s="6" t="s">
        <v>551</v>
      </c>
      <c r="B1062" s="6" t="s">
        <v>461</v>
      </c>
      <c r="C1062" s="7">
        <v>213948</v>
      </c>
      <c r="D1062" s="8">
        <v>9586.7999999999993</v>
      </c>
      <c r="E1062" s="9" t="s">
        <v>7</v>
      </c>
      <c r="F1062" s="36">
        <v>12</v>
      </c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</row>
    <row r="1063" spans="1:22" ht="12.75" customHeight="1" x14ac:dyDescent="0.2">
      <c r="A1063" s="6" t="s">
        <v>552</v>
      </c>
      <c r="B1063" s="6" t="s">
        <v>461</v>
      </c>
      <c r="C1063" s="7">
        <v>213950</v>
      </c>
      <c r="D1063" s="8">
        <v>6775.2</v>
      </c>
      <c r="E1063" s="9" t="s">
        <v>7</v>
      </c>
      <c r="F1063" s="36">
        <v>12</v>
      </c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</row>
    <row r="1064" spans="1:22" ht="12.75" customHeight="1" x14ac:dyDescent="0.2">
      <c r="A1064" s="6" t="s">
        <v>554</v>
      </c>
      <c r="B1064" s="6" t="s">
        <v>461</v>
      </c>
      <c r="C1064" s="7">
        <v>213953</v>
      </c>
      <c r="D1064" s="8">
        <v>6813.5999999999995</v>
      </c>
      <c r="E1064" s="9" t="s">
        <v>7</v>
      </c>
      <c r="F1064" s="36">
        <v>12</v>
      </c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</row>
    <row r="1065" spans="1:22" ht="12.75" customHeight="1" x14ac:dyDescent="0.2">
      <c r="A1065" s="6" t="s">
        <v>557</v>
      </c>
      <c r="B1065" s="6" t="s">
        <v>461</v>
      </c>
      <c r="C1065" s="7">
        <v>213958</v>
      </c>
      <c r="D1065" s="8">
        <v>6145.2</v>
      </c>
      <c r="E1065" s="9" t="s">
        <v>7</v>
      </c>
      <c r="F1065" s="36">
        <v>12</v>
      </c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</row>
    <row r="1066" spans="1:22" ht="12.75" customHeight="1" x14ac:dyDescent="0.2">
      <c r="A1066" s="6" t="s">
        <v>577</v>
      </c>
      <c r="B1066" s="6" t="s">
        <v>461</v>
      </c>
      <c r="C1066" s="7">
        <v>213993</v>
      </c>
      <c r="D1066" s="8">
        <v>9482.4</v>
      </c>
      <c r="E1066" s="9" t="s">
        <v>7</v>
      </c>
      <c r="F1066" s="36">
        <v>12</v>
      </c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</row>
    <row r="1067" spans="1:22" ht="12.75" customHeight="1" x14ac:dyDescent="0.2">
      <c r="A1067" s="6" t="s">
        <v>602</v>
      </c>
      <c r="B1067" s="6" t="s">
        <v>461</v>
      </c>
      <c r="C1067" s="7">
        <v>214107</v>
      </c>
      <c r="D1067" s="8">
        <v>5412</v>
      </c>
      <c r="E1067" s="9" t="s">
        <v>16</v>
      </c>
      <c r="F1067" s="36">
        <v>12</v>
      </c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</row>
    <row r="1068" spans="1:22" ht="12.75" customHeight="1" x14ac:dyDescent="0.2">
      <c r="A1068" s="6" t="s">
        <v>604</v>
      </c>
      <c r="B1068" s="6" t="s">
        <v>461</v>
      </c>
      <c r="C1068" s="7">
        <v>214113</v>
      </c>
      <c r="D1068" s="8">
        <v>26954.399999999998</v>
      </c>
      <c r="E1068" s="9" t="s">
        <v>16</v>
      </c>
      <c r="F1068" s="36">
        <v>12</v>
      </c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</row>
    <row r="1069" spans="1:22" ht="12.75" customHeight="1" x14ac:dyDescent="0.2">
      <c r="A1069" s="6" t="s">
        <v>605</v>
      </c>
      <c r="B1069" s="6" t="s">
        <v>461</v>
      </c>
      <c r="C1069" s="7">
        <v>214120</v>
      </c>
      <c r="D1069" s="8">
        <v>5780.4</v>
      </c>
      <c r="E1069" s="9" t="s">
        <v>7</v>
      </c>
      <c r="F1069" s="36">
        <v>12</v>
      </c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</row>
    <row r="1070" spans="1:22" ht="12.75" customHeight="1" x14ac:dyDescent="0.2">
      <c r="A1070" s="6" t="s">
        <v>629</v>
      </c>
      <c r="B1070" s="6" t="s">
        <v>461</v>
      </c>
      <c r="C1070" s="7">
        <v>215827</v>
      </c>
      <c r="D1070" s="8">
        <v>5463.5999999999995</v>
      </c>
      <c r="E1070" s="9" t="s">
        <v>16</v>
      </c>
      <c r="F1070" s="36">
        <v>12</v>
      </c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</row>
    <row r="1071" spans="1:22" ht="12.75" customHeight="1" x14ac:dyDescent="0.2">
      <c r="A1071" s="6" t="s">
        <v>462</v>
      </c>
      <c r="B1071" s="6" t="s">
        <v>461</v>
      </c>
      <c r="C1071" s="7">
        <v>216566</v>
      </c>
      <c r="D1071" s="8">
        <v>5710.8</v>
      </c>
      <c r="E1071" s="9" t="s">
        <v>16</v>
      </c>
      <c r="F1071" s="36">
        <v>12</v>
      </c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</row>
    <row r="1072" spans="1:22" ht="12.75" customHeight="1" x14ac:dyDescent="0.2">
      <c r="A1072" s="6" t="s">
        <v>463</v>
      </c>
      <c r="B1072" s="6" t="s">
        <v>461</v>
      </c>
      <c r="C1072" s="7">
        <v>216565</v>
      </c>
      <c r="D1072" s="8">
        <v>7926</v>
      </c>
      <c r="E1072" s="9" t="s">
        <v>16</v>
      </c>
      <c r="F1072" s="36">
        <v>12</v>
      </c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</row>
    <row r="1073" spans="1:22" ht="12.75" customHeight="1" x14ac:dyDescent="0.2">
      <c r="A1073" s="6" t="s">
        <v>469</v>
      </c>
      <c r="B1073" s="6" t="s">
        <v>461</v>
      </c>
      <c r="C1073" s="7">
        <v>216635</v>
      </c>
      <c r="D1073" s="8">
        <v>8036.4</v>
      </c>
      <c r="E1073" s="9" t="s">
        <v>16</v>
      </c>
      <c r="F1073" s="36">
        <v>12</v>
      </c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</row>
    <row r="1074" spans="1:22" ht="12.75" customHeight="1" x14ac:dyDescent="0.2">
      <c r="A1074" s="6" t="s">
        <v>494</v>
      </c>
      <c r="B1074" s="6" t="s">
        <v>461</v>
      </c>
      <c r="C1074" s="7">
        <v>216627</v>
      </c>
      <c r="D1074" s="8">
        <v>7855.2</v>
      </c>
      <c r="E1074" s="9" t="s">
        <v>16</v>
      </c>
      <c r="F1074" s="36">
        <v>12</v>
      </c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</row>
    <row r="1075" spans="1:22" ht="12.75" customHeight="1" x14ac:dyDescent="0.2">
      <c r="A1075" s="6" t="s">
        <v>684</v>
      </c>
      <c r="B1075" s="6" t="s">
        <v>461</v>
      </c>
      <c r="C1075" s="7">
        <v>216643</v>
      </c>
      <c r="D1075" s="8">
        <v>8505.6</v>
      </c>
      <c r="E1075" s="9" t="s">
        <v>7</v>
      </c>
      <c r="F1075" s="36">
        <v>12</v>
      </c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</row>
    <row r="1076" spans="1:22" ht="12.75" customHeight="1" x14ac:dyDescent="0.2">
      <c r="A1076" s="6" t="s">
        <v>540</v>
      </c>
      <c r="B1076" s="6" t="s">
        <v>461</v>
      </c>
      <c r="C1076" s="7">
        <v>216650</v>
      </c>
      <c r="D1076" s="8">
        <v>8204.4</v>
      </c>
      <c r="E1076" s="9" t="s">
        <v>7</v>
      </c>
      <c r="F1076" s="36">
        <v>12</v>
      </c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</row>
    <row r="1077" spans="1:22" ht="12.75" customHeight="1" x14ac:dyDescent="0.2">
      <c r="A1077" s="6" t="s">
        <v>537</v>
      </c>
      <c r="B1077" s="6" t="s">
        <v>461</v>
      </c>
      <c r="C1077" s="7">
        <v>217557</v>
      </c>
      <c r="D1077" s="8">
        <v>7300.8</v>
      </c>
      <c r="E1077" s="9" t="s">
        <v>7</v>
      </c>
      <c r="F1077" s="36">
        <v>12</v>
      </c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</row>
    <row r="1078" spans="1:22" ht="12.75" customHeight="1" x14ac:dyDescent="0.2">
      <c r="A1078" s="6" t="s">
        <v>602</v>
      </c>
      <c r="B1078" s="6" t="s">
        <v>461</v>
      </c>
      <c r="C1078" s="7">
        <v>216676</v>
      </c>
      <c r="D1078" s="8">
        <v>5412</v>
      </c>
      <c r="E1078" s="9" t="s">
        <v>16</v>
      </c>
      <c r="F1078" s="36">
        <v>12</v>
      </c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</row>
    <row r="1079" spans="1:22" ht="12.75" customHeight="1" x14ac:dyDescent="0.2">
      <c r="A1079" s="6" t="s">
        <v>604</v>
      </c>
      <c r="B1079" s="6" t="s">
        <v>461</v>
      </c>
      <c r="C1079" s="7">
        <v>216679</v>
      </c>
      <c r="D1079" s="8">
        <v>26954.399999999998</v>
      </c>
      <c r="E1079" s="9" t="s">
        <v>16</v>
      </c>
      <c r="F1079" s="36">
        <v>12</v>
      </c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</row>
    <row r="1080" spans="1:22" ht="12.75" customHeight="1" x14ac:dyDescent="0.2">
      <c r="A1080" s="6" t="s">
        <v>605</v>
      </c>
      <c r="B1080" s="6" t="s">
        <v>461</v>
      </c>
      <c r="C1080" s="7">
        <v>216670</v>
      </c>
      <c r="D1080" s="8">
        <v>5780.4</v>
      </c>
      <c r="E1080" s="9" t="s">
        <v>7</v>
      </c>
      <c r="F1080" s="36">
        <v>12</v>
      </c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</row>
    <row r="1081" spans="1:22" ht="12.75" customHeight="1" x14ac:dyDescent="0.2">
      <c r="A1081" s="6" t="s">
        <v>352</v>
      </c>
      <c r="B1081" s="6" t="s">
        <v>353</v>
      </c>
      <c r="C1081" s="7">
        <v>194732</v>
      </c>
      <c r="D1081" s="8">
        <v>8632.7999999999993</v>
      </c>
      <c r="E1081" s="9" t="s">
        <v>7</v>
      </c>
      <c r="F1081" s="36">
        <v>15</v>
      </c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</row>
    <row r="1082" spans="1:22" ht="12.75" customHeight="1" x14ac:dyDescent="0.2">
      <c r="A1082" s="6" t="s">
        <v>365</v>
      </c>
      <c r="B1082" s="6" t="s">
        <v>353</v>
      </c>
      <c r="C1082" s="7">
        <v>194817</v>
      </c>
      <c r="D1082" s="8">
        <v>6520.8</v>
      </c>
      <c r="E1082" s="9" t="s">
        <v>7</v>
      </c>
      <c r="F1082" s="36">
        <v>15</v>
      </c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</row>
    <row r="1083" spans="1:22" ht="12.75" customHeight="1" x14ac:dyDescent="0.2">
      <c r="A1083" s="6" t="s">
        <v>389</v>
      </c>
      <c r="B1083" s="6" t="s">
        <v>353</v>
      </c>
      <c r="C1083" s="7">
        <v>199335</v>
      </c>
      <c r="D1083" s="8">
        <v>34508.400000000001</v>
      </c>
      <c r="E1083" s="9" t="s">
        <v>7</v>
      </c>
      <c r="F1083" s="36">
        <v>15</v>
      </c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</row>
    <row r="1084" spans="1:22" ht="12.75" customHeight="1" x14ac:dyDescent="0.2">
      <c r="A1084" s="6" t="s">
        <v>405</v>
      </c>
      <c r="B1084" s="6" t="s">
        <v>353</v>
      </c>
      <c r="C1084" s="7">
        <v>200532</v>
      </c>
      <c r="D1084" s="8">
        <v>33740.400000000001</v>
      </c>
      <c r="E1084" s="9" t="s">
        <v>7</v>
      </c>
      <c r="F1084" s="36">
        <v>15</v>
      </c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</row>
    <row r="1085" spans="1:22" ht="12.75" customHeight="1" x14ac:dyDescent="0.2">
      <c r="A1085" s="6" t="s">
        <v>407</v>
      </c>
      <c r="B1085" s="6" t="s">
        <v>353</v>
      </c>
      <c r="C1085" s="7">
        <v>200541</v>
      </c>
      <c r="D1085" s="8">
        <v>33693.599999999999</v>
      </c>
      <c r="E1085" s="9" t="s">
        <v>7</v>
      </c>
      <c r="F1085" s="36">
        <v>15</v>
      </c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</row>
    <row r="1086" spans="1:22" ht="12.75" customHeight="1" x14ac:dyDescent="0.2">
      <c r="A1086" s="6" t="s">
        <v>442</v>
      </c>
      <c r="B1086" s="6" t="s">
        <v>353</v>
      </c>
      <c r="C1086" s="7">
        <v>211897</v>
      </c>
      <c r="D1086" s="8">
        <v>7084.8</v>
      </c>
      <c r="E1086" s="9" t="s">
        <v>16</v>
      </c>
      <c r="F1086" s="36">
        <v>15</v>
      </c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</row>
    <row r="1087" spans="1:22" ht="12.75" customHeight="1" x14ac:dyDescent="0.2">
      <c r="A1087" s="6" t="s">
        <v>456</v>
      </c>
      <c r="B1087" s="6" t="s">
        <v>353</v>
      </c>
      <c r="C1087" s="7">
        <v>213660</v>
      </c>
      <c r="D1087" s="8">
        <v>6898.8</v>
      </c>
      <c r="E1087" s="9" t="s">
        <v>16</v>
      </c>
      <c r="F1087" s="36">
        <v>15</v>
      </c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</row>
    <row r="1088" spans="1:22" ht="12.75" customHeight="1" x14ac:dyDescent="0.2">
      <c r="A1088" s="6" t="s">
        <v>457</v>
      </c>
      <c r="B1088" s="6" t="s">
        <v>353</v>
      </c>
      <c r="C1088" s="7">
        <v>213668</v>
      </c>
      <c r="D1088" s="8">
        <v>9930</v>
      </c>
      <c r="E1088" s="9" t="s">
        <v>16</v>
      </c>
      <c r="F1088" s="36">
        <v>15</v>
      </c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</row>
    <row r="1089" spans="1:22" ht="12.75" customHeight="1" x14ac:dyDescent="0.2">
      <c r="A1089" s="6" t="s">
        <v>458</v>
      </c>
      <c r="B1089" s="6" t="s">
        <v>353</v>
      </c>
      <c r="C1089" s="7">
        <v>213669</v>
      </c>
      <c r="D1089" s="8">
        <v>7402.7999999999993</v>
      </c>
      <c r="E1089" s="9" t="s">
        <v>16</v>
      </c>
      <c r="F1089" s="36">
        <v>15</v>
      </c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</row>
    <row r="1090" spans="1:22" ht="12.75" customHeight="1" x14ac:dyDescent="0.2">
      <c r="A1090" s="6" t="s">
        <v>459</v>
      </c>
      <c r="B1090" s="6" t="s">
        <v>353</v>
      </c>
      <c r="C1090" s="7">
        <v>213670</v>
      </c>
      <c r="D1090" s="8">
        <v>8774.4</v>
      </c>
      <c r="E1090" s="9" t="s">
        <v>16</v>
      </c>
      <c r="F1090" s="36">
        <v>15</v>
      </c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</row>
    <row r="1091" spans="1:22" ht="12.75" customHeight="1" x14ac:dyDescent="0.2">
      <c r="A1091" s="6" t="s">
        <v>464</v>
      </c>
      <c r="B1091" s="6" t="s">
        <v>353</v>
      </c>
      <c r="C1091" s="7">
        <v>213676</v>
      </c>
      <c r="D1091" s="8">
        <v>7315.2</v>
      </c>
      <c r="E1091" s="9" t="s">
        <v>16</v>
      </c>
      <c r="F1091" s="36">
        <v>15</v>
      </c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</row>
    <row r="1092" spans="1:22" ht="12.75" customHeight="1" x14ac:dyDescent="0.2">
      <c r="A1092" s="6" t="s">
        <v>462</v>
      </c>
      <c r="B1092" s="6" t="s">
        <v>353</v>
      </c>
      <c r="C1092" s="7">
        <v>213677</v>
      </c>
      <c r="D1092" s="8">
        <v>6957.5999999999995</v>
      </c>
      <c r="E1092" s="9" t="s">
        <v>16</v>
      </c>
      <c r="F1092" s="36">
        <v>15</v>
      </c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</row>
    <row r="1093" spans="1:22" ht="12.75" customHeight="1" x14ac:dyDescent="0.2">
      <c r="A1093" s="6" t="s">
        <v>463</v>
      </c>
      <c r="B1093" s="6" t="s">
        <v>353</v>
      </c>
      <c r="C1093" s="7">
        <v>213678</v>
      </c>
      <c r="D1093" s="8">
        <v>9601.1999999999989</v>
      </c>
      <c r="E1093" s="9" t="s">
        <v>16</v>
      </c>
      <c r="F1093" s="36">
        <v>15</v>
      </c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</row>
    <row r="1094" spans="1:22" ht="12.75" customHeight="1" x14ac:dyDescent="0.2">
      <c r="A1094" s="6" t="s">
        <v>465</v>
      </c>
      <c r="B1094" s="6" t="s">
        <v>353</v>
      </c>
      <c r="C1094" s="7">
        <v>213679</v>
      </c>
      <c r="D1094" s="8">
        <v>8134.7999999999993</v>
      </c>
      <c r="E1094" s="9" t="s">
        <v>16</v>
      </c>
      <c r="F1094" s="36">
        <v>15</v>
      </c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</row>
    <row r="1095" spans="1:22" ht="12.75" customHeight="1" x14ac:dyDescent="0.2">
      <c r="A1095" s="6" t="s">
        <v>466</v>
      </c>
      <c r="B1095" s="6" t="s">
        <v>353</v>
      </c>
      <c r="C1095" s="7">
        <v>213680</v>
      </c>
      <c r="D1095" s="8">
        <v>7867.2</v>
      </c>
      <c r="E1095" s="9" t="s">
        <v>16</v>
      </c>
      <c r="F1095" s="36">
        <v>15</v>
      </c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</row>
    <row r="1096" spans="1:22" ht="12.75" customHeight="1" x14ac:dyDescent="0.2">
      <c r="A1096" s="6" t="s">
        <v>467</v>
      </c>
      <c r="B1096" s="6" t="s">
        <v>353</v>
      </c>
      <c r="C1096" s="7">
        <v>213681</v>
      </c>
      <c r="D1096" s="8">
        <v>10189.199999999999</v>
      </c>
      <c r="E1096" s="9" t="s">
        <v>16</v>
      </c>
      <c r="F1096" s="36">
        <v>15</v>
      </c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</row>
    <row r="1097" spans="1:22" ht="12.75" customHeight="1" x14ac:dyDescent="0.2">
      <c r="A1097" s="6" t="s">
        <v>468</v>
      </c>
      <c r="B1097" s="6" t="s">
        <v>353</v>
      </c>
      <c r="C1097" s="7">
        <v>213682</v>
      </c>
      <c r="D1097" s="8">
        <v>10048.799999999999</v>
      </c>
      <c r="E1097" s="9" t="s">
        <v>16</v>
      </c>
      <c r="F1097" s="36">
        <v>15</v>
      </c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</row>
    <row r="1098" spans="1:22" ht="12.75" customHeight="1" x14ac:dyDescent="0.2">
      <c r="A1098" s="6" t="s">
        <v>469</v>
      </c>
      <c r="B1098" s="6" t="s">
        <v>353</v>
      </c>
      <c r="C1098" s="7">
        <v>213683</v>
      </c>
      <c r="D1098" s="8">
        <v>9980.4</v>
      </c>
      <c r="E1098" s="9" t="s">
        <v>16</v>
      </c>
      <c r="F1098" s="36">
        <v>15</v>
      </c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</row>
    <row r="1099" spans="1:22" ht="12.75" customHeight="1" x14ac:dyDescent="0.2">
      <c r="A1099" s="6" t="s">
        <v>470</v>
      </c>
      <c r="B1099" s="6" t="s">
        <v>353</v>
      </c>
      <c r="C1099" s="7">
        <v>213686</v>
      </c>
      <c r="D1099" s="8">
        <v>11160</v>
      </c>
      <c r="E1099" s="9" t="s">
        <v>16</v>
      </c>
      <c r="F1099" s="36">
        <v>15</v>
      </c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</row>
    <row r="1100" spans="1:22" ht="12.75" customHeight="1" x14ac:dyDescent="0.2">
      <c r="A1100" s="6" t="s">
        <v>472</v>
      </c>
      <c r="B1100" s="6" t="s">
        <v>353</v>
      </c>
      <c r="C1100" s="7">
        <v>213688</v>
      </c>
      <c r="D1100" s="8">
        <v>8823.6</v>
      </c>
      <c r="E1100" s="9" t="s">
        <v>16</v>
      </c>
      <c r="F1100" s="36">
        <v>15</v>
      </c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</row>
    <row r="1101" spans="1:22" ht="12.75" customHeight="1" x14ac:dyDescent="0.2">
      <c r="A1101" s="6" t="s">
        <v>474</v>
      </c>
      <c r="B1101" s="6" t="s">
        <v>353</v>
      </c>
      <c r="C1101" s="7">
        <v>213694</v>
      </c>
      <c r="D1101" s="8">
        <v>8192.4</v>
      </c>
      <c r="E1101" s="9" t="s">
        <v>16</v>
      </c>
      <c r="F1101" s="36">
        <v>15</v>
      </c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</row>
    <row r="1102" spans="1:22" ht="12.75" customHeight="1" x14ac:dyDescent="0.2">
      <c r="A1102" s="6" t="s">
        <v>475</v>
      </c>
      <c r="B1102" s="6" t="s">
        <v>353</v>
      </c>
      <c r="C1102" s="7">
        <v>213697</v>
      </c>
      <c r="D1102" s="8">
        <v>9428.4</v>
      </c>
      <c r="E1102" s="9" t="s">
        <v>16</v>
      </c>
      <c r="F1102" s="36">
        <v>15</v>
      </c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</row>
    <row r="1103" spans="1:22" ht="12.75" customHeight="1" x14ac:dyDescent="0.2">
      <c r="A1103" s="6" t="s">
        <v>476</v>
      </c>
      <c r="B1103" s="6" t="s">
        <v>353</v>
      </c>
      <c r="C1103" s="7">
        <v>213698</v>
      </c>
      <c r="D1103" s="8">
        <v>10878</v>
      </c>
      <c r="E1103" s="9" t="s">
        <v>16</v>
      </c>
      <c r="F1103" s="36">
        <v>15</v>
      </c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</row>
    <row r="1104" spans="1:22" ht="12.75" customHeight="1" x14ac:dyDescent="0.2">
      <c r="A1104" s="6" t="s">
        <v>477</v>
      </c>
      <c r="B1104" s="6" t="s">
        <v>353</v>
      </c>
      <c r="C1104" s="7">
        <v>213699</v>
      </c>
      <c r="D1104" s="8">
        <v>8053.2</v>
      </c>
      <c r="E1104" s="9" t="s">
        <v>16</v>
      </c>
      <c r="F1104" s="36">
        <v>15</v>
      </c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</row>
    <row r="1105" spans="1:22" ht="12.75" customHeight="1" x14ac:dyDescent="0.2">
      <c r="A1105" s="6" t="s">
        <v>482</v>
      </c>
      <c r="B1105" s="6" t="s">
        <v>353</v>
      </c>
      <c r="C1105" s="7">
        <v>213723</v>
      </c>
      <c r="D1105" s="8">
        <v>12481.199999999999</v>
      </c>
      <c r="E1105" s="9" t="s">
        <v>16</v>
      </c>
      <c r="F1105" s="36">
        <v>15</v>
      </c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</row>
    <row r="1106" spans="1:22" ht="12.75" customHeight="1" x14ac:dyDescent="0.2">
      <c r="A1106" s="6" t="s">
        <v>483</v>
      </c>
      <c r="B1106" s="6" t="s">
        <v>353</v>
      </c>
      <c r="C1106" s="7">
        <v>213724</v>
      </c>
      <c r="D1106" s="8">
        <v>7731.5999999999995</v>
      </c>
      <c r="E1106" s="9" t="s">
        <v>16</v>
      </c>
      <c r="F1106" s="36">
        <v>15</v>
      </c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</row>
    <row r="1107" spans="1:22" ht="12.75" customHeight="1" x14ac:dyDescent="0.2">
      <c r="A1107" s="6" t="s">
        <v>484</v>
      </c>
      <c r="B1107" s="6" t="s">
        <v>353</v>
      </c>
      <c r="C1107" s="7">
        <v>213727</v>
      </c>
      <c r="D1107" s="8">
        <v>7995.5999999999995</v>
      </c>
      <c r="E1107" s="9" t="s">
        <v>16</v>
      </c>
      <c r="F1107" s="36">
        <v>15</v>
      </c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</row>
    <row r="1108" spans="1:22" ht="12.75" customHeight="1" x14ac:dyDescent="0.2">
      <c r="A1108" s="6" t="s">
        <v>485</v>
      </c>
      <c r="B1108" s="6" t="s">
        <v>353</v>
      </c>
      <c r="C1108" s="7">
        <v>213728</v>
      </c>
      <c r="D1108" s="8">
        <v>6981.5999999999995</v>
      </c>
      <c r="E1108" s="9" t="s">
        <v>16</v>
      </c>
      <c r="F1108" s="36">
        <v>15</v>
      </c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</row>
    <row r="1109" spans="1:22" ht="12.75" customHeight="1" x14ac:dyDescent="0.2">
      <c r="A1109" s="6" t="s">
        <v>486</v>
      </c>
      <c r="B1109" s="6" t="s">
        <v>353</v>
      </c>
      <c r="C1109" s="7">
        <v>213729</v>
      </c>
      <c r="D1109" s="8">
        <v>10560</v>
      </c>
      <c r="E1109" s="9" t="s">
        <v>16</v>
      </c>
      <c r="F1109" s="36">
        <v>15</v>
      </c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</row>
    <row r="1110" spans="1:22" ht="12.75" customHeight="1" x14ac:dyDescent="0.2">
      <c r="A1110" s="6" t="s">
        <v>487</v>
      </c>
      <c r="B1110" s="6" t="s">
        <v>353</v>
      </c>
      <c r="C1110" s="7">
        <v>213733</v>
      </c>
      <c r="D1110" s="8">
        <v>11335.199999999999</v>
      </c>
      <c r="E1110" s="9" t="s">
        <v>16</v>
      </c>
      <c r="F1110" s="36">
        <v>15</v>
      </c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</row>
    <row r="1111" spans="1:22" ht="12.75" customHeight="1" x14ac:dyDescent="0.2">
      <c r="A1111" s="6" t="s">
        <v>493</v>
      </c>
      <c r="B1111" s="6" t="s">
        <v>353</v>
      </c>
      <c r="C1111" s="7">
        <v>213772</v>
      </c>
      <c r="D1111" s="8">
        <v>6460.8</v>
      </c>
      <c r="E1111" s="9" t="s">
        <v>16</v>
      </c>
      <c r="F1111" s="36">
        <v>15</v>
      </c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</row>
    <row r="1112" spans="1:22" ht="12.75" customHeight="1" x14ac:dyDescent="0.2">
      <c r="A1112" s="6" t="s">
        <v>497</v>
      </c>
      <c r="B1112" s="6" t="s">
        <v>353</v>
      </c>
      <c r="C1112" s="7">
        <v>213790</v>
      </c>
      <c r="D1112" s="8">
        <v>9979.1999999999989</v>
      </c>
      <c r="E1112" s="9" t="s">
        <v>16</v>
      </c>
      <c r="F1112" s="36">
        <v>15</v>
      </c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</row>
    <row r="1113" spans="1:22" ht="12.75" customHeight="1" x14ac:dyDescent="0.2">
      <c r="A1113" s="6" t="s">
        <v>501</v>
      </c>
      <c r="B1113" s="6" t="s">
        <v>353</v>
      </c>
      <c r="C1113" s="7">
        <v>213815</v>
      </c>
      <c r="D1113" s="8">
        <v>7474.7999999999993</v>
      </c>
      <c r="E1113" s="9" t="s">
        <v>16</v>
      </c>
      <c r="F1113" s="36">
        <v>15</v>
      </c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</row>
    <row r="1114" spans="1:22" ht="12.75" customHeight="1" x14ac:dyDescent="0.2">
      <c r="A1114" s="6" t="s">
        <v>502</v>
      </c>
      <c r="B1114" s="6" t="s">
        <v>353</v>
      </c>
      <c r="C1114" s="7">
        <v>213819</v>
      </c>
      <c r="D1114" s="8">
        <v>10953.6</v>
      </c>
      <c r="E1114" s="9" t="s">
        <v>16</v>
      </c>
      <c r="F1114" s="36">
        <v>15</v>
      </c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</row>
    <row r="1115" spans="1:22" ht="12.75" customHeight="1" x14ac:dyDescent="0.2">
      <c r="A1115" s="6" t="s">
        <v>503</v>
      </c>
      <c r="B1115" s="6" t="s">
        <v>353</v>
      </c>
      <c r="C1115" s="7">
        <v>213820</v>
      </c>
      <c r="D1115" s="8">
        <v>8420.4</v>
      </c>
      <c r="E1115" s="9" t="s">
        <v>16</v>
      </c>
      <c r="F1115" s="36">
        <v>15</v>
      </c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</row>
    <row r="1116" spans="1:22" ht="12.75" customHeight="1" x14ac:dyDescent="0.2">
      <c r="A1116" s="6" t="s">
        <v>509</v>
      </c>
      <c r="B1116" s="6" t="s">
        <v>353</v>
      </c>
      <c r="C1116" s="7">
        <v>213833</v>
      </c>
      <c r="D1116" s="8">
        <v>11059.199999999999</v>
      </c>
      <c r="E1116" s="9" t="s">
        <v>16</v>
      </c>
      <c r="F1116" s="36">
        <v>15</v>
      </c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</row>
    <row r="1117" spans="1:22" ht="12.75" customHeight="1" x14ac:dyDescent="0.2">
      <c r="A1117" s="6" t="s">
        <v>494</v>
      </c>
      <c r="B1117" s="6" t="s">
        <v>353</v>
      </c>
      <c r="C1117" s="7">
        <v>213835</v>
      </c>
      <c r="D1117" s="8">
        <v>9687.6</v>
      </c>
      <c r="E1117" s="9" t="s">
        <v>16</v>
      </c>
      <c r="F1117" s="36">
        <v>15</v>
      </c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</row>
    <row r="1118" spans="1:22" ht="12.75" customHeight="1" x14ac:dyDescent="0.2">
      <c r="A1118" s="6" t="s">
        <v>511</v>
      </c>
      <c r="B1118" s="6" t="s">
        <v>353</v>
      </c>
      <c r="C1118" s="7">
        <v>213841</v>
      </c>
      <c r="D1118" s="8">
        <v>7950</v>
      </c>
      <c r="E1118" s="9" t="s">
        <v>16</v>
      </c>
      <c r="F1118" s="36">
        <v>15</v>
      </c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</row>
    <row r="1119" spans="1:22" ht="12.75" customHeight="1" x14ac:dyDescent="0.2">
      <c r="A1119" s="6" t="s">
        <v>518</v>
      </c>
      <c r="B1119" s="6" t="s">
        <v>353</v>
      </c>
      <c r="C1119" s="7">
        <v>213855</v>
      </c>
      <c r="D1119" s="8">
        <v>8212.7999999999993</v>
      </c>
      <c r="E1119" s="9" t="s">
        <v>7</v>
      </c>
      <c r="F1119" s="36">
        <v>15</v>
      </c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</row>
    <row r="1120" spans="1:22" ht="12.75" customHeight="1" x14ac:dyDescent="0.2">
      <c r="A1120" s="6" t="s">
        <v>531</v>
      </c>
      <c r="B1120" s="6" t="s">
        <v>353</v>
      </c>
      <c r="C1120" s="7">
        <v>213874</v>
      </c>
      <c r="D1120" s="8">
        <v>9182.4</v>
      </c>
      <c r="E1120" s="9" t="s">
        <v>7</v>
      </c>
      <c r="F1120" s="36">
        <v>15</v>
      </c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</row>
    <row r="1121" spans="1:22" ht="12.75" customHeight="1" x14ac:dyDescent="0.2">
      <c r="A1121" s="6" t="s">
        <v>533</v>
      </c>
      <c r="B1121" s="6" t="s">
        <v>353</v>
      </c>
      <c r="C1121" s="7">
        <v>213879</v>
      </c>
      <c r="D1121" s="8">
        <v>6568.8</v>
      </c>
      <c r="E1121" s="9" t="s">
        <v>7</v>
      </c>
      <c r="F1121" s="36">
        <v>15</v>
      </c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</row>
    <row r="1122" spans="1:22" ht="12.75" customHeight="1" x14ac:dyDescent="0.2">
      <c r="A1122" s="6" t="s">
        <v>534</v>
      </c>
      <c r="B1122" s="6" t="s">
        <v>353</v>
      </c>
      <c r="C1122" s="7">
        <v>213882</v>
      </c>
      <c r="D1122" s="8">
        <v>6220.8</v>
      </c>
      <c r="E1122" s="9" t="s">
        <v>7</v>
      </c>
      <c r="F1122" s="36">
        <v>15</v>
      </c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</row>
    <row r="1123" spans="1:22" ht="12.75" customHeight="1" x14ac:dyDescent="0.2">
      <c r="A1123" s="6" t="s">
        <v>536</v>
      </c>
      <c r="B1123" s="6" t="s">
        <v>353</v>
      </c>
      <c r="C1123" s="7">
        <v>213894</v>
      </c>
      <c r="D1123" s="8">
        <v>10630.8</v>
      </c>
      <c r="E1123" s="9" t="s">
        <v>7</v>
      </c>
      <c r="F1123" s="36">
        <v>15</v>
      </c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</row>
    <row r="1124" spans="1:22" ht="12.75" customHeight="1" x14ac:dyDescent="0.2">
      <c r="A1124" s="6" t="s">
        <v>540</v>
      </c>
      <c r="B1124" s="6" t="s">
        <v>353</v>
      </c>
      <c r="C1124" s="7">
        <v>213908</v>
      </c>
      <c r="D1124" s="8">
        <v>9950.4</v>
      </c>
      <c r="E1124" s="9" t="s">
        <v>7</v>
      </c>
      <c r="F1124" s="36">
        <v>15</v>
      </c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</row>
    <row r="1125" spans="1:22" ht="12.75" customHeight="1" x14ac:dyDescent="0.2">
      <c r="A1125" s="6" t="s">
        <v>537</v>
      </c>
      <c r="B1125" s="6" t="s">
        <v>353</v>
      </c>
      <c r="C1125" s="7">
        <v>213913</v>
      </c>
      <c r="D1125" s="8">
        <v>9236.4</v>
      </c>
      <c r="E1125" s="9" t="s">
        <v>7</v>
      </c>
      <c r="F1125" s="36">
        <v>15</v>
      </c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</row>
    <row r="1126" spans="1:22" ht="12.75" customHeight="1" x14ac:dyDescent="0.2">
      <c r="A1126" s="6" t="s">
        <v>541</v>
      </c>
      <c r="B1126" s="6" t="s">
        <v>353</v>
      </c>
      <c r="C1126" s="7">
        <v>213915</v>
      </c>
      <c r="D1126" s="8">
        <v>9405.6</v>
      </c>
      <c r="E1126" s="9" t="s">
        <v>7</v>
      </c>
      <c r="F1126" s="36">
        <v>15</v>
      </c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</row>
    <row r="1127" spans="1:22" ht="12.75" customHeight="1" x14ac:dyDescent="0.2">
      <c r="A1127" s="6" t="s">
        <v>542</v>
      </c>
      <c r="B1127" s="6" t="s">
        <v>353</v>
      </c>
      <c r="C1127" s="7">
        <v>213917</v>
      </c>
      <c r="D1127" s="8">
        <v>9680.4</v>
      </c>
      <c r="E1127" s="9" t="s">
        <v>7</v>
      </c>
      <c r="F1127" s="36">
        <v>15</v>
      </c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</row>
    <row r="1128" spans="1:22" ht="12.75" customHeight="1" x14ac:dyDescent="0.2">
      <c r="A1128" s="6" t="s">
        <v>539</v>
      </c>
      <c r="B1128" s="6" t="s">
        <v>353</v>
      </c>
      <c r="C1128" s="7">
        <v>213920</v>
      </c>
      <c r="D1128" s="8">
        <v>10590</v>
      </c>
      <c r="E1128" s="9" t="s">
        <v>7</v>
      </c>
      <c r="F1128" s="36">
        <v>15</v>
      </c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</row>
    <row r="1129" spans="1:22" ht="12.75" customHeight="1" x14ac:dyDescent="0.2">
      <c r="A1129" s="6" t="s">
        <v>543</v>
      </c>
      <c r="B1129" s="6" t="s">
        <v>353</v>
      </c>
      <c r="C1129" s="7">
        <v>213922</v>
      </c>
      <c r="D1129" s="8">
        <v>9715.1999999999989</v>
      </c>
      <c r="E1129" s="9" t="s">
        <v>7</v>
      </c>
      <c r="F1129" s="36">
        <v>15</v>
      </c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</row>
    <row r="1130" spans="1:22" ht="12.75" customHeight="1" x14ac:dyDescent="0.2">
      <c r="A1130" s="6" t="s">
        <v>544</v>
      </c>
      <c r="B1130" s="6" t="s">
        <v>353</v>
      </c>
      <c r="C1130" s="7">
        <v>213932</v>
      </c>
      <c r="D1130" s="8">
        <v>10227.6</v>
      </c>
      <c r="E1130" s="9" t="s">
        <v>7</v>
      </c>
      <c r="F1130" s="36">
        <v>15</v>
      </c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</row>
    <row r="1131" spans="1:22" ht="12.75" customHeight="1" x14ac:dyDescent="0.2">
      <c r="A1131" s="6" t="s">
        <v>545</v>
      </c>
      <c r="B1131" s="6" t="s">
        <v>353</v>
      </c>
      <c r="C1131" s="7">
        <v>213935</v>
      </c>
      <c r="D1131" s="8">
        <v>9313.1999999999989</v>
      </c>
      <c r="E1131" s="9" t="s">
        <v>7</v>
      </c>
      <c r="F1131" s="36">
        <v>15</v>
      </c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</row>
    <row r="1132" spans="1:22" ht="12.75" customHeight="1" x14ac:dyDescent="0.2">
      <c r="A1132" s="6" t="s">
        <v>519</v>
      </c>
      <c r="B1132" s="6" t="s">
        <v>353</v>
      </c>
      <c r="C1132" s="7">
        <v>213979</v>
      </c>
      <c r="D1132" s="8">
        <v>10614</v>
      </c>
      <c r="E1132" s="9" t="s">
        <v>16</v>
      </c>
      <c r="F1132" s="36">
        <v>15</v>
      </c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</row>
    <row r="1133" spans="1:22" ht="12.75" customHeight="1" x14ac:dyDescent="0.2">
      <c r="A1133" s="6" t="s">
        <v>572</v>
      </c>
      <c r="B1133" s="6" t="s">
        <v>353</v>
      </c>
      <c r="C1133" s="7">
        <v>213981</v>
      </c>
      <c r="D1133" s="8">
        <v>12380.4</v>
      </c>
      <c r="E1133" s="9" t="s">
        <v>16</v>
      </c>
      <c r="F1133" s="36">
        <v>15</v>
      </c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</row>
    <row r="1134" spans="1:22" ht="12.75" customHeight="1" x14ac:dyDescent="0.2">
      <c r="A1134" s="6" t="s">
        <v>575</v>
      </c>
      <c r="B1134" s="6" t="s">
        <v>353</v>
      </c>
      <c r="C1134" s="7">
        <v>213989</v>
      </c>
      <c r="D1134" s="8">
        <v>11360.4</v>
      </c>
      <c r="E1134" s="9" t="s">
        <v>16</v>
      </c>
      <c r="F1134" s="36">
        <v>15</v>
      </c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</row>
    <row r="1135" spans="1:22" ht="12.75" customHeight="1" x14ac:dyDescent="0.2">
      <c r="A1135" s="6" t="s">
        <v>577</v>
      </c>
      <c r="B1135" s="6" t="s">
        <v>353</v>
      </c>
      <c r="C1135" s="7">
        <v>213992</v>
      </c>
      <c r="D1135" s="8">
        <v>11826</v>
      </c>
      <c r="E1135" s="9" t="s">
        <v>7</v>
      </c>
      <c r="F1135" s="36">
        <v>15</v>
      </c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</row>
    <row r="1136" spans="1:22" ht="12.75" customHeight="1" x14ac:dyDescent="0.2">
      <c r="A1136" s="6" t="s">
        <v>571</v>
      </c>
      <c r="B1136" s="6" t="s">
        <v>353</v>
      </c>
      <c r="C1136" s="7">
        <v>213995</v>
      </c>
      <c r="D1136" s="8">
        <v>9811.1999999999989</v>
      </c>
      <c r="E1136" s="9" t="s">
        <v>7</v>
      </c>
      <c r="F1136" s="36">
        <v>15</v>
      </c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</row>
    <row r="1137" spans="1:22" ht="12.75" customHeight="1" x14ac:dyDescent="0.2">
      <c r="A1137" s="6" t="s">
        <v>586</v>
      </c>
      <c r="B1137" s="6" t="s">
        <v>353</v>
      </c>
      <c r="C1137" s="7">
        <v>214025</v>
      </c>
      <c r="D1137" s="8">
        <v>38776.799999999996</v>
      </c>
      <c r="E1137" s="9" t="s">
        <v>7</v>
      </c>
      <c r="F1137" s="36">
        <v>15</v>
      </c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</row>
    <row r="1138" spans="1:22" ht="12.75" customHeight="1" x14ac:dyDescent="0.2">
      <c r="A1138" s="6" t="s">
        <v>591</v>
      </c>
      <c r="B1138" s="6" t="s">
        <v>353</v>
      </c>
      <c r="C1138" s="7">
        <v>214039</v>
      </c>
      <c r="D1138" s="8">
        <v>34954.799999999996</v>
      </c>
      <c r="E1138" s="9" t="s">
        <v>7</v>
      </c>
      <c r="F1138" s="36">
        <v>15</v>
      </c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</row>
    <row r="1139" spans="1:22" ht="12.75" customHeight="1" x14ac:dyDescent="0.2">
      <c r="A1139" s="6" t="s">
        <v>598</v>
      </c>
      <c r="B1139" s="6" t="s">
        <v>353</v>
      </c>
      <c r="C1139" s="7">
        <v>214087</v>
      </c>
      <c r="D1139" s="8">
        <v>7461.5999999999995</v>
      </c>
      <c r="E1139" s="9" t="s">
        <v>16</v>
      </c>
      <c r="F1139" s="36">
        <v>15</v>
      </c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</row>
    <row r="1140" spans="1:22" ht="12.75" customHeight="1" x14ac:dyDescent="0.2">
      <c r="A1140" s="6" t="s">
        <v>599</v>
      </c>
      <c r="B1140" s="6" t="s">
        <v>353</v>
      </c>
      <c r="C1140" s="7">
        <v>214092</v>
      </c>
      <c r="D1140" s="8">
        <v>8175.5999999999995</v>
      </c>
      <c r="E1140" s="9" t="s">
        <v>16</v>
      </c>
      <c r="F1140" s="36">
        <v>15</v>
      </c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</row>
    <row r="1141" spans="1:22" ht="12.75" customHeight="1" x14ac:dyDescent="0.2">
      <c r="A1141" s="6" t="s">
        <v>601</v>
      </c>
      <c r="B1141" s="6" t="s">
        <v>353</v>
      </c>
      <c r="C1141" s="7">
        <v>214104</v>
      </c>
      <c r="D1141" s="8">
        <v>9772.7999999999993</v>
      </c>
      <c r="E1141" s="9" t="s">
        <v>16</v>
      </c>
      <c r="F1141" s="36">
        <v>15</v>
      </c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</row>
    <row r="1142" spans="1:22" ht="12.75" customHeight="1" x14ac:dyDescent="0.2">
      <c r="A1142" s="6" t="s">
        <v>603</v>
      </c>
      <c r="B1142" s="6" t="s">
        <v>353</v>
      </c>
      <c r="C1142" s="7">
        <v>214108</v>
      </c>
      <c r="D1142" s="8">
        <v>6484.8</v>
      </c>
      <c r="E1142" s="9" t="s">
        <v>16</v>
      </c>
      <c r="F1142" s="36">
        <v>15</v>
      </c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</row>
    <row r="1143" spans="1:22" ht="12.75" customHeight="1" x14ac:dyDescent="0.2">
      <c r="A1143" s="6" t="s">
        <v>602</v>
      </c>
      <c r="B1143" s="6" t="s">
        <v>353</v>
      </c>
      <c r="C1143" s="7">
        <v>214109</v>
      </c>
      <c r="D1143" s="8">
        <v>6214.8</v>
      </c>
      <c r="E1143" s="9" t="s">
        <v>16</v>
      </c>
      <c r="F1143" s="36">
        <v>15</v>
      </c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</row>
    <row r="1144" spans="1:22" ht="12.75" customHeight="1" x14ac:dyDescent="0.2">
      <c r="A1144" s="6" t="s">
        <v>604</v>
      </c>
      <c r="B1144" s="6" t="s">
        <v>353</v>
      </c>
      <c r="C1144" s="7">
        <v>214114</v>
      </c>
      <c r="D1144" s="8">
        <v>5710.8</v>
      </c>
      <c r="E1144" s="9" t="s">
        <v>16</v>
      </c>
      <c r="F1144" s="36">
        <v>15</v>
      </c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</row>
    <row r="1145" spans="1:22" ht="12.75" customHeight="1" x14ac:dyDescent="0.2">
      <c r="A1145" s="6" t="s">
        <v>606</v>
      </c>
      <c r="B1145" s="6" t="s">
        <v>353</v>
      </c>
      <c r="C1145" s="7">
        <v>214121</v>
      </c>
      <c r="D1145" s="8">
        <v>8252.4</v>
      </c>
      <c r="E1145" s="9" t="s">
        <v>7</v>
      </c>
      <c r="F1145" s="36">
        <v>15</v>
      </c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</row>
    <row r="1146" spans="1:22" ht="12.75" customHeight="1" x14ac:dyDescent="0.2">
      <c r="A1146" s="6" t="s">
        <v>605</v>
      </c>
      <c r="B1146" s="6" t="s">
        <v>353</v>
      </c>
      <c r="C1146" s="7">
        <v>214124</v>
      </c>
      <c r="D1146" s="8">
        <v>6816</v>
      </c>
      <c r="E1146" s="9" t="s">
        <v>7</v>
      </c>
      <c r="F1146" s="36">
        <v>15</v>
      </c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</row>
    <row r="1147" spans="1:22" ht="12.75" customHeight="1" x14ac:dyDescent="0.2">
      <c r="A1147" s="6" t="s">
        <v>618</v>
      </c>
      <c r="B1147" s="6" t="s">
        <v>353</v>
      </c>
      <c r="C1147" s="7">
        <v>214225</v>
      </c>
      <c r="D1147" s="8">
        <v>11586</v>
      </c>
      <c r="E1147" s="9" t="s">
        <v>16</v>
      </c>
      <c r="F1147" s="36">
        <v>15</v>
      </c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</row>
    <row r="1148" spans="1:22" ht="12.75" customHeight="1" x14ac:dyDescent="0.2">
      <c r="A1148" s="6" t="s">
        <v>620</v>
      </c>
      <c r="B1148" s="6" t="s">
        <v>353</v>
      </c>
      <c r="C1148" s="7">
        <v>214229</v>
      </c>
      <c r="D1148" s="8">
        <v>12704.4</v>
      </c>
      <c r="E1148" s="9" t="s">
        <v>7</v>
      </c>
      <c r="F1148" s="36">
        <v>15</v>
      </c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</row>
    <row r="1149" spans="1:22" ht="12.75" customHeight="1" x14ac:dyDescent="0.2">
      <c r="A1149" s="6" t="s">
        <v>621</v>
      </c>
      <c r="B1149" s="6" t="s">
        <v>353</v>
      </c>
      <c r="C1149" s="7">
        <v>214243</v>
      </c>
      <c r="D1149" s="8">
        <v>8725.1999999999989</v>
      </c>
      <c r="E1149" s="9" t="s">
        <v>16</v>
      </c>
      <c r="F1149" s="36">
        <v>15</v>
      </c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</row>
    <row r="1150" spans="1:22" ht="12.75" customHeight="1" x14ac:dyDescent="0.2">
      <c r="A1150" s="6" t="s">
        <v>623</v>
      </c>
      <c r="B1150" s="6" t="s">
        <v>353</v>
      </c>
      <c r="C1150" s="7">
        <v>214247</v>
      </c>
      <c r="D1150" s="8">
        <v>9612</v>
      </c>
      <c r="E1150" s="9" t="s">
        <v>16</v>
      </c>
      <c r="F1150" s="36">
        <v>15</v>
      </c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</row>
    <row r="1151" spans="1:22" ht="12.75" customHeight="1" x14ac:dyDescent="0.2">
      <c r="A1151" s="6" t="s">
        <v>624</v>
      </c>
      <c r="B1151" s="6" t="s">
        <v>353</v>
      </c>
      <c r="C1151" s="7">
        <v>214263</v>
      </c>
      <c r="D1151" s="8">
        <v>10605.6</v>
      </c>
      <c r="E1151" s="9" t="s">
        <v>16</v>
      </c>
      <c r="F1151" s="36">
        <v>15</v>
      </c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</row>
    <row r="1152" spans="1:22" ht="12.75" customHeight="1" x14ac:dyDescent="0.2">
      <c r="A1152" s="6" t="s">
        <v>625</v>
      </c>
      <c r="B1152" s="6" t="s">
        <v>353</v>
      </c>
      <c r="C1152" s="7">
        <v>214264</v>
      </c>
      <c r="D1152" s="8">
        <v>9394.7999999999993</v>
      </c>
      <c r="E1152" s="9" t="s">
        <v>16</v>
      </c>
      <c r="F1152" s="36">
        <v>15</v>
      </c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</row>
    <row r="1153" spans="1:22" ht="12.75" customHeight="1" x14ac:dyDescent="0.2">
      <c r="A1153" s="6" t="s">
        <v>500</v>
      </c>
      <c r="B1153" s="6" t="s">
        <v>353</v>
      </c>
      <c r="C1153" s="7">
        <v>214297</v>
      </c>
      <c r="D1153" s="8">
        <v>10078.799999999999</v>
      </c>
      <c r="E1153" s="9" t="s">
        <v>16</v>
      </c>
      <c r="F1153" s="36">
        <v>15</v>
      </c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</row>
    <row r="1154" spans="1:22" ht="12.75" customHeight="1" x14ac:dyDescent="0.2">
      <c r="A1154" s="6" t="s">
        <v>626</v>
      </c>
      <c r="B1154" s="6" t="s">
        <v>353</v>
      </c>
      <c r="C1154" s="7">
        <v>214334</v>
      </c>
      <c r="D1154" s="8">
        <v>7184.4</v>
      </c>
      <c r="E1154" s="9" t="s">
        <v>16</v>
      </c>
      <c r="F1154" s="36">
        <v>15</v>
      </c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</row>
    <row r="1155" spans="1:22" ht="12.75" customHeight="1" x14ac:dyDescent="0.2">
      <c r="A1155" s="6" t="s">
        <v>630</v>
      </c>
      <c r="B1155" s="6" t="s">
        <v>353</v>
      </c>
      <c r="C1155" s="7">
        <v>215835</v>
      </c>
      <c r="D1155" s="8">
        <v>7311.5999999999995</v>
      </c>
      <c r="E1155" s="9" t="s">
        <v>7</v>
      </c>
      <c r="F1155" s="36">
        <v>15</v>
      </c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</row>
    <row r="1156" spans="1:22" ht="12.75" customHeight="1" x14ac:dyDescent="0.2">
      <c r="A1156" s="6" t="s">
        <v>637</v>
      </c>
      <c r="B1156" s="6" t="s">
        <v>353</v>
      </c>
      <c r="C1156" s="7">
        <v>216187</v>
      </c>
      <c r="D1156" s="8">
        <v>10479.6</v>
      </c>
      <c r="E1156" s="9" t="s">
        <v>16</v>
      </c>
      <c r="F1156" s="36">
        <v>15</v>
      </c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</row>
    <row r="1157" spans="1:22" ht="12.75" customHeight="1" x14ac:dyDescent="0.2">
      <c r="A1157" s="6" t="s">
        <v>619</v>
      </c>
      <c r="B1157" s="6" t="s">
        <v>353</v>
      </c>
      <c r="C1157" s="7">
        <v>216189</v>
      </c>
      <c r="D1157" s="8">
        <v>13294.8</v>
      </c>
      <c r="E1157" s="9" t="s">
        <v>16</v>
      </c>
      <c r="F1157" s="36">
        <v>15</v>
      </c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</row>
    <row r="1158" spans="1:22" ht="12.75" customHeight="1" x14ac:dyDescent="0.2">
      <c r="A1158" s="6" t="s">
        <v>638</v>
      </c>
      <c r="B1158" s="6" t="s">
        <v>353</v>
      </c>
      <c r="C1158" s="7">
        <v>216242</v>
      </c>
      <c r="D1158" s="8">
        <v>6800.4</v>
      </c>
      <c r="E1158" s="9" t="s">
        <v>16</v>
      </c>
      <c r="F1158" s="36">
        <v>15</v>
      </c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</row>
    <row r="1159" spans="1:22" ht="12.75" customHeight="1" x14ac:dyDescent="0.2">
      <c r="A1159" s="6" t="s">
        <v>614</v>
      </c>
      <c r="B1159" s="6" t="s">
        <v>353</v>
      </c>
      <c r="C1159" s="7">
        <v>216251</v>
      </c>
      <c r="D1159" s="8">
        <v>9926.4</v>
      </c>
      <c r="E1159" s="9" t="s">
        <v>16</v>
      </c>
      <c r="F1159" s="36">
        <v>15</v>
      </c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</row>
    <row r="1160" spans="1:22" ht="12.75" customHeight="1" x14ac:dyDescent="0.2">
      <c r="A1160" s="6" t="s">
        <v>642</v>
      </c>
      <c r="B1160" s="6" t="s">
        <v>353</v>
      </c>
      <c r="C1160" s="7">
        <v>223530</v>
      </c>
      <c r="D1160" s="8">
        <v>11145.6</v>
      </c>
      <c r="E1160" s="9" t="s">
        <v>7</v>
      </c>
      <c r="F1160" s="36">
        <v>15</v>
      </c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</row>
    <row r="1161" spans="1:22" ht="12.75" customHeight="1" x14ac:dyDescent="0.2">
      <c r="A1161" s="6" t="s">
        <v>642</v>
      </c>
      <c r="B1161" s="6" t="s">
        <v>353</v>
      </c>
      <c r="C1161" s="7">
        <v>223627</v>
      </c>
      <c r="D1161" s="8">
        <v>11389.199999999999</v>
      </c>
      <c r="E1161" s="9" t="s">
        <v>7</v>
      </c>
      <c r="F1161" s="36">
        <v>15</v>
      </c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</row>
    <row r="1162" spans="1:22" ht="12.75" customHeight="1" x14ac:dyDescent="0.2">
      <c r="A1162" s="6" t="s">
        <v>449</v>
      </c>
      <c r="B1162" s="6" t="s">
        <v>353</v>
      </c>
      <c r="C1162" s="7">
        <v>223651</v>
      </c>
      <c r="D1162" s="8">
        <v>9830.4</v>
      </c>
      <c r="E1162" s="9" t="s">
        <v>16</v>
      </c>
      <c r="F1162" s="36">
        <v>15</v>
      </c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</row>
    <row r="1163" spans="1:22" ht="12.75" customHeight="1" x14ac:dyDescent="0.2">
      <c r="A1163" s="6" t="s">
        <v>464</v>
      </c>
      <c r="B1163" s="6" t="s">
        <v>353</v>
      </c>
      <c r="C1163" s="7">
        <v>216607</v>
      </c>
      <c r="D1163" s="8">
        <v>7315.2</v>
      </c>
      <c r="E1163" s="9" t="s">
        <v>16</v>
      </c>
      <c r="F1163" s="36">
        <v>15</v>
      </c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</row>
    <row r="1164" spans="1:22" ht="12.75" customHeight="1" x14ac:dyDescent="0.2">
      <c r="A1164" s="6" t="s">
        <v>462</v>
      </c>
      <c r="B1164" s="6" t="s">
        <v>353</v>
      </c>
      <c r="C1164" s="7">
        <v>216606</v>
      </c>
      <c r="D1164" s="8">
        <v>6957.5999999999995</v>
      </c>
      <c r="E1164" s="9" t="s">
        <v>16</v>
      </c>
      <c r="F1164" s="36">
        <v>15</v>
      </c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</row>
    <row r="1165" spans="1:22" ht="12.75" customHeight="1" x14ac:dyDescent="0.2">
      <c r="A1165" s="6" t="s">
        <v>463</v>
      </c>
      <c r="B1165" s="6" t="s">
        <v>353</v>
      </c>
      <c r="C1165" s="7">
        <v>216605</v>
      </c>
      <c r="D1165" s="8">
        <v>9601.1999999999989</v>
      </c>
      <c r="E1165" s="9" t="s">
        <v>16</v>
      </c>
      <c r="F1165" s="36">
        <v>15</v>
      </c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</row>
    <row r="1166" spans="1:22" ht="12.75" customHeight="1" x14ac:dyDescent="0.2">
      <c r="A1166" s="6" t="s">
        <v>469</v>
      </c>
      <c r="B1166" s="6" t="s">
        <v>353</v>
      </c>
      <c r="C1166" s="7">
        <v>216634</v>
      </c>
      <c r="D1166" s="8">
        <v>9980.4</v>
      </c>
      <c r="E1166" s="9" t="s">
        <v>16</v>
      </c>
      <c r="F1166" s="36">
        <v>15</v>
      </c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</row>
    <row r="1167" spans="1:22" ht="12.75" customHeight="1" x14ac:dyDescent="0.2">
      <c r="A1167" s="6" t="s">
        <v>475</v>
      </c>
      <c r="B1167" s="6" t="s">
        <v>353</v>
      </c>
      <c r="C1167" s="7">
        <v>216609</v>
      </c>
      <c r="D1167" s="8">
        <v>9428.4</v>
      </c>
      <c r="E1167" s="9" t="s">
        <v>16</v>
      </c>
      <c r="F1167" s="36">
        <v>15</v>
      </c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</row>
    <row r="1168" spans="1:22" ht="12.75" customHeight="1" x14ac:dyDescent="0.2">
      <c r="A1168" s="6" t="s">
        <v>494</v>
      </c>
      <c r="B1168" s="6" t="s">
        <v>353</v>
      </c>
      <c r="C1168" s="7">
        <v>216626</v>
      </c>
      <c r="D1168" s="8">
        <v>9687.6</v>
      </c>
      <c r="E1168" s="9" t="s">
        <v>16</v>
      </c>
      <c r="F1168" s="36">
        <v>15</v>
      </c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</row>
    <row r="1169" spans="1:22" ht="12.75" customHeight="1" x14ac:dyDescent="0.2">
      <c r="A1169" s="6" t="s">
        <v>533</v>
      </c>
      <c r="B1169" s="6" t="s">
        <v>353</v>
      </c>
      <c r="C1169" s="7">
        <v>216821</v>
      </c>
      <c r="D1169" s="8">
        <v>6568.8</v>
      </c>
      <c r="E1169" s="9" t="s">
        <v>7</v>
      </c>
      <c r="F1169" s="36">
        <v>15</v>
      </c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</row>
    <row r="1170" spans="1:22" ht="12.75" customHeight="1" x14ac:dyDescent="0.2">
      <c r="A1170" s="6" t="s">
        <v>536</v>
      </c>
      <c r="B1170" s="6" t="s">
        <v>353</v>
      </c>
      <c r="C1170" s="7">
        <v>217558</v>
      </c>
      <c r="D1170" s="8">
        <v>10630.8</v>
      </c>
      <c r="E1170" s="9" t="s">
        <v>7</v>
      </c>
      <c r="F1170" s="36">
        <v>15</v>
      </c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</row>
    <row r="1171" spans="1:22" ht="12.75" customHeight="1" x14ac:dyDescent="0.2">
      <c r="A1171" s="6" t="s">
        <v>540</v>
      </c>
      <c r="B1171" s="6" t="s">
        <v>353</v>
      </c>
      <c r="C1171" s="7">
        <v>216651</v>
      </c>
      <c r="D1171" s="8">
        <v>9950.4</v>
      </c>
      <c r="E1171" s="9" t="s">
        <v>7</v>
      </c>
      <c r="F1171" s="36">
        <v>15</v>
      </c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</row>
    <row r="1172" spans="1:22" ht="12.75" customHeight="1" x14ac:dyDescent="0.2">
      <c r="A1172" s="6" t="s">
        <v>537</v>
      </c>
      <c r="B1172" s="6" t="s">
        <v>353</v>
      </c>
      <c r="C1172" s="7">
        <v>217556</v>
      </c>
      <c r="D1172" s="8">
        <v>9236.4</v>
      </c>
      <c r="E1172" s="9" t="s">
        <v>7</v>
      </c>
      <c r="F1172" s="36">
        <v>15</v>
      </c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</row>
    <row r="1173" spans="1:22" ht="12.75" customHeight="1" x14ac:dyDescent="0.2">
      <c r="A1173" s="6" t="s">
        <v>542</v>
      </c>
      <c r="B1173" s="6" t="s">
        <v>353</v>
      </c>
      <c r="C1173" s="7">
        <v>216646</v>
      </c>
      <c r="D1173" s="8">
        <v>9680.4</v>
      </c>
      <c r="E1173" s="9" t="s">
        <v>7</v>
      </c>
      <c r="F1173" s="36">
        <v>15</v>
      </c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</row>
    <row r="1174" spans="1:22" ht="12.75" customHeight="1" x14ac:dyDescent="0.2">
      <c r="A1174" s="6" t="s">
        <v>545</v>
      </c>
      <c r="B1174" s="6" t="s">
        <v>353</v>
      </c>
      <c r="C1174" s="7">
        <v>216689</v>
      </c>
      <c r="D1174" s="8">
        <v>9313.1999999999989</v>
      </c>
      <c r="E1174" s="9" t="s">
        <v>7</v>
      </c>
      <c r="F1174" s="36">
        <v>15</v>
      </c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</row>
    <row r="1175" spans="1:22" ht="12.75" customHeight="1" x14ac:dyDescent="0.2">
      <c r="A1175" s="6" t="s">
        <v>603</v>
      </c>
      <c r="B1175" s="6" t="s">
        <v>353</v>
      </c>
      <c r="C1175" s="7">
        <v>216681</v>
      </c>
      <c r="D1175" s="8">
        <v>6484.8</v>
      </c>
      <c r="E1175" s="9" t="s">
        <v>16</v>
      </c>
      <c r="F1175" s="36">
        <v>15</v>
      </c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</row>
    <row r="1176" spans="1:22" ht="12.75" customHeight="1" x14ac:dyDescent="0.2">
      <c r="A1176" s="6" t="s">
        <v>602</v>
      </c>
      <c r="B1176" s="6" t="s">
        <v>353</v>
      </c>
      <c r="C1176" s="7">
        <v>216675</v>
      </c>
      <c r="D1176" s="8">
        <v>6214.8</v>
      </c>
      <c r="E1176" s="9" t="s">
        <v>16</v>
      </c>
      <c r="F1176" s="36">
        <v>15</v>
      </c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</row>
    <row r="1177" spans="1:22" ht="12.75" customHeight="1" x14ac:dyDescent="0.2">
      <c r="A1177" s="6" t="s">
        <v>604</v>
      </c>
      <c r="B1177" s="6" t="s">
        <v>353</v>
      </c>
      <c r="C1177" s="7">
        <v>216678</v>
      </c>
      <c r="D1177" s="8">
        <v>5710.8</v>
      </c>
      <c r="E1177" s="9" t="s">
        <v>16</v>
      </c>
      <c r="F1177" s="36">
        <v>15</v>
      </c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</row>
    <row r="1178" spans="1:22" ht="12.75" customHeight="1" x14ac:dyDescent="0.2">
      <c r="A1178" s="6" t="s">
        <v>606</v>
      </c>
      <c r="B1178" s="6" t="s">
        <v>353</v>
      </c>
      <c r="C1178" s="7">
        <v>216672</v>
      </c>
      <c r="D1178" s="8">
        <v>8252.4</v>
      </c>
      <c r="E1178" s="9" t="s">
        <v>7</v>
      </c>
      <c r="F1178" s="36">
        <v>15</v>
      </c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</row>
    <row r="1179" spans="1:22" ht="12.75" customHeight="1" x14ac:dyDescent="0.2">
      <c r="A1179" s="6" t="s">
        <v>605</v>
      </c>
      <c r="B1179" s="6" t="s">
        <v>353</v>
      </c>
      <c r="C1179" s="7">
        <v>216667</v>
      </c>
      <c r="D1179" s="8">
        <v>6816</v>
      </c>
      <c r="E1179" s="9" t="s">
        <v>7</v>
      </c>
      <c r="F1179" s="36">
        <v>15</v>
      </c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</row>
    <row r="1180" spans="1:22" ht="12.75" customHeight="1" x14ac:dyDescent="0.2">
      <c r="A1180" s="6" t="s">
        <v>464</v>
      </c>
      <c r="B1180" s="6" t="s">
        <v>353</v>
      </c>
      <c r="C1180" s="7">
        <v>148644</v>
      </c>
      <c r="D1180" s="8">
        <v>7315.2</v>
      </c>
      <c r="E1180" s="9" t="s">
        <v>16</v>
      </c>
      <c r="F1180" s="36">
        <v>15</v>
      </c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</row>
    <row r="1181" spans="1:22" ht="12.75" customHeight="1" x14ac:dyDescent="0.2">
      <c r="A1181" s="6" t="s">
        <v>462</v>
      </c>
      <c r="B1181" s="6" t="s">
        <v>353</v>
      </c>
      <c r="C1181" s="7">
        <v>148645</v>
      </c>
      <c r="D1181" s="8">
        <v>6957.5999999999995</v>
      </c>
      <c r="E1181" s="9" t="s">
        <v>16</v>
      </c>
      <c r="F1181" s="36">
        <v>15</v>
      </c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</row>
    <row r="1182" spans="1:22" ht="12.75" customHeight="1" x14ac:dyDescent="0.2">
      <c r="A1182" s="6" t="s">
        <v>463</v>
      </c>
      <c r="B1182" s="6" t="s">
        <v>353</v>
      </c>
      <c r="C1182" s="7">
        <v>148650</v>
      </c>
      <c r="D1182" s="8">
        <v>9601.1999999999989</v>
      </c>
      <c r="E1182" s="9" t="s">
        <v>16</v>
      </c>
      <c r="F1182" s="36">
        <v>15</v>
      </c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</row>
    <row r="1183" spans="1:22" ht="12.75" customHeight="1" x14ac:dyDescent="0.2">
      <c r="A1183" s="6" t="s">
        <v>460</v>
      </c>
      <c r="B1183" s="6" t="s">
        <v>685</v>
      </c>
      <c r="C1183" s="7">
        <v>148594</v>
      </c>
      <c r="D1183" s="8">
        <v>7131.5999999999995</v>
      </c>
      <c r="E1183" s="9" t="s">
        <v>16</v>
      </c>
      <c r="F1183" s="36">
        <v>16</v>
      </c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</row>
    <row r="1184" spans="1:22" ht="12.75" customHeight="1" x14ac:dyDescent="0.2">
      <c r="A1184" s="6" t="s">
        <v>127</v>
      </c>
      <c r="B1184" s="6" t="s">
        <v>176</v>
      </c>
      <c r="C1184" s="7">
        <v>140213</v>
      </c>
      <c r="D1184" s="8">
        <v>28423.200000000001</v>
      </c>
      <c r="E1184" s="9" t="s">
        <v>16</v>
      </c>
      <c r="F1184" s="36">
        <v>20</v>
      </c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</row>
    <row r="1185" spans="1:22" ht="12.75" customHeight="1" x14ac:dyDescent="0.2">
      <c r="A1185" s="6" t="s">
        <v>130</v>
      </c>
      <c r="B1185" s="6" t="s">
        <v>176</v>
      </c>
      <c r="C1185" s="7">
        <v>140221</v>
      </c>
      <c r="D1185" s="8">
        <v>27981.599999999999</v>
      </c>
      <c r="E1185" s="9" t="s">
        <v>16</v>
      </c>
      <c r="F1185" s="36">
        <v>20</v>
      </c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</row>
    <row r="1186" spans="1:22" ht="12.75" customHeight="1" x14ac:dyDescent="0.2">
      <c r="A1186" s="6" t="s">
        <v>129</v>
      </c>
      <c r="B1186" s="6" t="s">
        <v>176</v>
      </c>
      <c r="C1186" s="7">
        <v>146227</v>
      </c>
      <c r="D1186" s="8">
        <v>30242.399999999998</v>
      </c>
      <c r="E1186" s="9" t="s">
        <v>16</v>
      </c>
      <c r="F1186" s="36">
        <v>20</v>
      </c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</row>
    <row r="1187" spans="1:22" ht="12.75" customHeight="1" x14ac:dyDescent="0.2">
      <c r="A1187" s="6" t="s">
        <v>190</v>
      </c>
      <c r="B1187" s="6" t="s">
        <v>176</v>
      </c>
      <c r="C1187" s="7">
        <v>148598</v>
      </c>
      <c r="D1187" s="8">
        <v>10066.799999999999</v>
      </c>
      <c r="E1187" s="9" t="s">
        <v>16</v>
      </c>
      <c r="F1187" s="36">
        <v>20</v>
      </c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</row>
    <row r="1188" spans="1:22" ht="12.75" customHeight="1" x14ac:dyDescent="0.2">
      <c r="A1188" s="6" t="s">
        <v>21</v>
      </c>
      <c r="B1188" s="6" t="s">
        <v>22</v>
      </c>
      <c r="C1188" s="7">
        <v>110384</v>
      </c>
      <c r="D1188" s="8">
        <v>16339.199999999999</v>
      </c>
      <c r="E1188" s="9" t="s">
        <v>16</v>
      </c>
      <c r="F1188" s="36">
        <v>20</v>
      </c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</row>
    <row r="1189" spans="1:22" ht="12.75" customHeight="1" x14ac:dyDescent="0.2">
      <c r="A1189" s="6" t="s">
        <v>24</v>
      </c>
      <c r="B1189" s="6" t="s">
        <v>22</v>
      </c>
      <c r="C1189" s="7">
        <v>130013</v>
      </c>
      <c r="D1189" s="8">
        <v>17612.399999999998</v>
      </c>
      <c r="E1189" s="9" t="s">
        <v>16</v>
      </c>
      <c r="F1189" s="36">
        <v>20</v>
      </c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</row>
    <row r="1190" spans="1:22" ht="12.75" customHeight="1" x14ac:dyDescent="0.2">
      <c r="A1190" s="6" t="s">
        <v>25</v>
      </c>
      <c r="B1190" s="6" t="s">
        <v>22</v>
      </c>
      <c r="C1190" s="7">
        <v>132406</v>
      </c>
      <c r="D1190" s="8">
        <v>24038.399999999998</v>
      </c>
      <c r="E1190" s="9" t="s">
        <v>16</v>
      </c>
      <c r="F1190" s="36">
        <v>20</v>
      </c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</row>
    <row r="1191" spans="1:22" ht="12.75" customHeight="1" x14ac:dyDescent="0.2">
      <c r="A1191" s="6" t="s">
        <v>17</v>
      </c>
      <c r="B1191" s="6" t="s">
        <v>22</v>
      </c>
      <c r="C1191" s="7">
        <v>148631</v>
      </c>
      <c r="D1191" s="8">
        <v>19717.2</v>
      </c>
      <c r="E1191" s="9" t="s">
        <v>16</v>
      </c>
      <c r="F1191" s="36">
        <v>20</v>
      </c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</row>
    <row r="1192" spans="1:22" ht="12.75" customHeight="1" x14ac:dyDescent="0.2">
      <c r="A1192" s="6" t="s">
        <v>21</v>
      </c>
      <c r="B1192" s="6" t="s">
        <v>22</v>
      </c>
      <c r="C1192" s="7">
        <v>196521</v>
      </c>
      <c r="D1192" s="8">
        <v>16339.199999999999</v>
      </c>
      <c r="E1192" s="9" t="s">
        <v>16</v>
      </c>
      <c r="F1192" s="36">
        <v>20</v>
      </c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</row>
    <row r="1193" spans="1:22" ht="12.75" customHeight="1" x14ac:dyDescent="0.2">
      <c r="A1193" s="6" t="s">
        <v>303</v>
      </c>
      <c r="B1193" s="6" t="s">
        <v>304</v>
      </c>
      <c r="C1193" s="7">
        <v>183658</v>
      </c>
      <c r="D1193" s="8">
        <v>4498.8</v>
      </c>
      <c r="E1193" s="9" t="s">
        <v>16</v>
      </c>
      <c r="F1193" s="36">
        <f>4*0.435</f>
        <v>1.74</v>
      </c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</row>
    <row r="1194" spans="1:22" ht="12.75" customHeight="1" x14ac:dyDescent="0.2">
      <c r="A1194" s="6" t="s">
        <v>17</v>
      </c>
      <c r="B1194" s="6" t="s">
        <v>19</v>
      </c>
      <c r="C1194" s="7">
        <v>110371</v>
      </c>
      <c r="D1194" s="8">
        <v>44360.4</v>
      </c>
      <c r="E1194" s="9" t="s">
        <v>16</v>
      </c>
      <c r="F1194" s="36">
        <v>50</v>
      </c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</row>
    <row r="1195" spans="1:22" ht="12.75" customHeight="1" x14ac:dyDescent="0.2">
      <c r="A1195" s="6" t="s">
        <v>21</v>
      </c>
      <c r="B1195" s="6" t="s">
        <v>19</v>
      </c>
      <c r="C1195" s="7">
        <v>110385</v>
      </c>
      <c r="D1195" s="8">
        <v>34833.599999999999</v>
      </c>
      <c r="E1195" s="9" t="s">
        <v>16</v>
      </c>
      <c r="F1195" s="36">
        <v>50</v>
      </c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</row>
    <row r="1196" spans="1:22" ht="12.75" customHeight="1" x14ac:dyDescent="0.2">
      <c r="A1196" s="6" t="s">
        <v>23</v>
      </c>
      <c r="B1196" s="6" t="s">
        <v>19</v>
      </c>
      <c r="C1196" s="7">
        <v>110389</v>
      </c>
      <c r="D1196" s="8">
        <v>38185.199999999997</v>
      </c>
      <c r="E1196" s="9" t="s">
        <v>16</v>
      </c>
      <c r="F1196" s="36">
        <v>50</v>
      </c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</row>
    <row r="1197" spans="1:22" ht="12.75" customHeight="1" x14ac:dyDescent="0.2">
      <c r="A1197" s="6" t="s">
        <v>24</v>
      </c>
      <c r="B1197" s="6" t="s">
        <v>19</v>
      </c>
      <c r="C1197" s="7">
        <v>110396</v>
      </c>
      <c r="D1197" s="8">
        <v>36901.199999999997</v>
      </c>
      <c r="E1197" s="9" t="s">
        <v>16</v>
      </c>
      <c r="F1197" s="36">
        <v>50</v>
      </c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</row>
    <row r="1198" spans="1:22" ht="12.75" customHeight="1" x14ac:dyDescent="0.2">
      <c r="A1198" s="6" t="s">
        <v>25</v>
      </c>
      <c r="B1198" s="6" t="s">
        <v>19</v>
      </c>
      <c r="C1198" s="7">
        <v>110404</v>
      </c>
      <c r="D1198" s="8">
        <v>49604.4</v>
      </c>
      <c r="E1198" s="9" t="s">
        <v>16</v>
      </c>
      <c r="F1198" s="36">
        <v>50</v>
      </c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</row>
    <row r="1199" spans="1:22" ht="12.75" customHeight="1" x14ac:dyDescent="0.2">
      <c r="A1199" s="6" t="s">
        <v>78</v>
      </c>
      <c r="B1199" s="6" t="s">
        <v>19</v>
      </c>
      <c r="C1199" s="7">
        <v>112261</v>
      </c>
      <c r="D1199" s="8">
        <v>30764.399999999998</v>
      </c>
      <c r="E1199" s="9" t="s">
        <v>16</v>
      </c>
      <c r="F1199" s="36">
        <v>50</v>
      </c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</row>
    <row r="1200" spans="1:22" ht="12.75" customHeight="1" x14ac:dyDescent="0.2">
      <c r="A1200" s="6" t="s">
        <v>161</v>
      </c>
      <c r="B1200" s="6" t="s">
        <v>19</v>
      </c>
      <c r="C1200" s="7">
        <v>140003</v>
      </c>
      <c r="D1200" s="8">
        <v>33612</v>
      </c>
      <c r="E1200" s="9" t="s">
        <v>7</v>
      </c>
      <c r="F1200" s="36">
        <v>50</v>
      </c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</row>
    <row r="1201" spans="1:22" ht="12.75" customHeight="1" x14ac:dyDescent="0.2">
      <c r="A1201" s="6" t="s">
        <v>162</v>
      </c>
      <c r="B1201" s="6" t="s">
        <v>19</v>
      </c>
      <c r="C1201" s="7">
        <v>140014</v>
      </c>
      <c r="D1201" s="8">
        <v>31990.799999999999</v>
      </c>
      <c r="E1201" s="9" t="s">
        <v>7</v>
      </c>
      <c r="F1201" s="36">
        <v>50</v>
      </c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</row>
    <row r="1202" spans="1:22" ht="12.75" customHeight="1" x14ac:dyDescent="0.2">
      <c r="A1202" s="6" t="s">
        <v>20</v>
      </c>
      <c r="B1202" s="6" t="s">
        <v>19</v>
      </c>
      <c r="C1202" s="7">
        <v>140053</v>
      </c>
      <c r="D1202" s="8">
        <v>33567.599999999999</v>
      </c>
      <c r="E1202" s="9" t="s">
        <v>16</v>
      </c>
      <c r="F1202" s="36">
        <v>50</v>
      </c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</row>
    <row r="1203" spans="1:22" ht="12.75" customHeight="1" x14ac:dyDescent="0.2">
      <c r="A1203" s="6" t="s">
        <v>165</v>
      </c>
      <c r="B1203" s="6" t="s">
        <v>19</v>
      </c>
      <c r="C1203" s="7">
        <v>140061</v>
      </c>
      <c r="D1203" s="8">
        <v>32253.599999999999</v>
      </c>
      <c r="E1203" s="9" t="s">
        <v>16</v>
      </c>
      <c r="F1203" s="36">
        <v>50</v>
      </c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</row>
    <row r="1204" spans="1:22" ht="12.75" customHeight="1" x14ac:dyDescent="0.2">
      <c r="A1204" s="6" t="s">
        <v>168</v>
      </c>
      <c r="B1204" s="6" t="s">
        <v>19</v>
      </c>
      <c r="C1204" s="7">
        <v>140083</v>
      </c>
      <c r="D1204" s="8">
        <v>41929.199999999997</v>
      </c>
      <c r="E1204" s="9" t="s">
        <v>16</v>
      </c>
      <c r="F1204" s="36">
        <v>50</v>
      </c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</row>
    <row r="1205" spans="1:22" ht="12.75" customHeight="1" x14ac:dyDescent="0.2">
      <c r="A1205" s="6" t="s">
        <v>166</v>
      </c>
      <c r="B1205" s="6" t="s">
        <v>19</v>
      </c>
      <c r="C1205" s="7">
        <v>140087</v>
      </c>
      <c r="D1205" s="8">
        <v>46137.599999999999</v>
      </c>
      <c r="E1205" s="9" t="s">
        <v>16</v>
      </c>
      <c r="F1205" s="36">
        <v>50</v>
      </c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</row>
    <row r="1206" spans="1:22" ht="12.75" customHeight="1" x14ac:dyDescent="0.2">
      <c r="A1206" s="6" t="s">
        <v>171</v>
      </c>
      <c r="B1206" s="6" t="s">
        <v>19</v>
      </c>
      <c r="C1206" s="7">
        <v>140189</v>
      </c>
      <c r="D1206" s="8">
        <v>38191.199999999997</v>
      </c>
      <c r="E1206" s="9" t="s">
        <v>16</v>
      </c>
      <c r="F1206" s="36">
        <v>50</v>
      </c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</row>
    <row r="1207" spans="1:22" ht="12.75" customHeight="1" x14ac:dyDescent="0.2">
      <c r="A1207" s="6" t="s">
        <v>172</v>
      </c>
      <c r="B1207" s="6" t="s">
        <v>19</v>
      </c>
      <c r="C1207" s="7">
        <v>140201</v>
      </c>
      <c r="D1207" s="8">
        <v>45901.2</v>
      </c>
      <c r="E1207" s="9" t="s">
        <v>16</v>
      </c>
      <c r="F1207" s="36">
        <v>50</v>
      </c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</row>
    <row r="1208" spans="1:22" ht="12.75" customHeight="1" x14ac:dyDescent="0.2">
      <c r="A1208" s="6" t="s">
        <v>174</v>
      </c>
      <c r="B1208" s="6" t="s">
        <v>19</v>
      </c>
      <c r="C1208" s="7">
        <v>140205</v>
      </c>
      <c r="D1208" s="8">
        <v>71444.399999999994</v>
      </c>
      <c r="E1208" s="9" t="s">
        <v>16</v>
      </c>
      <c r="F1208" s="36">
        <v>50</v>
      </c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</row>
    <row r="1209" spans="1:22" ht="12.75" customHeight="1" x14ac:dyDescent="0.2">
      <c r="A1209" s="6" t="s">
        <v>182</v>
      </c>
      <c r="B1209" s="6" t="s">
        <v>19</v>
      </c>
      <c r="C1209" s="7">
        <v>147893</v>
      </c>
      <c r="D1209" s="8">
        <v>38108.400000000001</v>
      </c>
      <c r="E1209" s="9" t="s">
        <v>16</v>
      </c>
      <c r="F1209" s="36">
        <v>50</v>
      </c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</row>
    <row r="1210" spans="1:22" ht="12.75" customHeight="1" x14ac:dyDescent="0.2">
      <c r="A1210" s="6" t="s">
        <v>183</v>
      </c>
      <c r="B1210" s="6" t="s">
        <v>19</v>
      </c>
      <c r="C1210" s="7">
        <v>147899</v>
      </c>
      <c r="D1210" s="8">
        <v>48372</v>
      </c>
      <c r="E1210" s="9" t="s">
        <v>16</v>
      </c>
      <c r="F1210" s="36">
        <v>50</v>
      </c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</row>
    <row r="1211" spans="1:22" ht="12.75" customHeight="1" x14ac:dyDescent="0.2">
      <c r="A1211" s="6" t="s">
        <v>184</v>
      </c>
      <c r="B1211" s="6" t="s">
        <v>19</v>
      </c>
      <c r="C1211" s="7">
        <v>147903</v>
      </c>
      <c r="D1211" s="8">
        <v>42158.400000000001</v>
      </c>
      <c r="E1211" s="9" t="s">
        <v>16</v>
      </c>
      <c r="F1211" s="36">
        <v>50</v>
      </c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</row>
    <row r="1212" spans="1:22" ht="12.75" customHeight="1" x14ac:dyDescent="0.2">
      <c r="A1212" s="6" t="s">
        <v>186</v>
      </c>
      <c r="B1212" s="6" t="s">
        <v>19</v>
      </c>
      <c r="C1212" s="7">
        <v>147952</v>
      </c>
      <c r="D1212" s="8">
        <v>30972</v>
      </c>
      <c r="E1212" s="9" t="s">
        <v>16</v>
      </c>
      <c r="F1212" s="36">
        <v>50</v>
      </c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</row>
    <row r="1213" spans="1:22" ht="12.75" customHeight="1" x14ac:dyDescent="0.2">
      <c r="A1213" s="6" t="s">
        <v>196</v>
      </c>
      <c r="B1213" s="6" t="s">
        <v>19</v>
      </c>
      <c r="C1213" s="7">
        <v>148310</v>
      </c>
      <c r="D1213" s="8">
        <v>51813.599999999999</v>
      </c>
      <c r="E1213" s="9" t="s">
        <v>16</v>
      </c>
      <c r="F1213" s="36">
        <v>50</v>
      </c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</row>
    <row r="1214" spans="1:22" ht="12.75" customHeight="1" x14ac:dyDescent="0.2">
      <c r="A1214" s="6" t="s">
        <v>206</v>
      </c>
      <c r="B1214" s="6" t="s">
        <v>19</v>
      </c>
      <c r="C1214" s="7">
        <v>152101</v>
      </c>
      <c r="D1214" s="8">
        <v>42430.799999999996</v>
      </c>
      <c r="E1214" s="9" t="s">
        <v>16</v>
      </c>
      <c r="F1214" s="36">
        <v>50</v>
      </c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</row>
    <row r="1215" spans="1:22" ht="12.75" customHeight="1" x14ac:dyDescent="0.2">
      <c r="A1215" s="6" t="s">
        <v>211</v>
      </c>
      <c r="B1215" s="6" t="s">
        <v>19</v>
      </c>
      <c r="C1215" s="7">
        <v>155148</v>
      </c>
      <c r="D1215" s="8">
        <v>38108.400000000001</v>
      </c>
      <c r="E1215" s="9" t="s">
        <v>16</v>
      </c>
      <c r="F1215" s="36">
        <v>50</v>
      </c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</row>
    <row r="1216" spans="1:22" ht="12.75" customHeight="1" x14ac:dyDescent="0.2">
      <c r="A1216" s="6" t="s">
        <v>240</v>
      </c>
      <c r="B1216" s="6" t="s">
        <v>19</v>
      </c>
      <c r="C1216" s="7">
        <v>161328</v>
      </c>
      <c r="D1216" s="8">
        <v>79903.199999999997</v>
      </c>
      <c r="E1216" s="9" t="s">
        <v>16</v>
      </c>
      <c r="F1216" s="36">
        <v>50</v>
      </c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</row>
    <row r="1217" spans="1:22" ht="12.75" customHeight="1" x14ac:dyDescent="0.2">
      <c r="A1217" s="6" t="s">
        <v>238</v>
      </c>
      <c r="B1217" s="6" t="s">
        <v>19</v>
      </c>
      <c r="C1217" s="7">
        <v>161405</v>
      </c>
      <c r="D1217" s="8">
        <v>80862</v>
      </c>
      <c r="E1217" s="9" t="s">
        <v>16</v>
      </c>
      <c r="F1217" s="36">
        <v>50</v>
      </c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</row>
    <row r="1218" spans="1:22" ht="12.75" customHeight="1" x14ac:dyDescent="0.2">
      <c r="A1218" s="6" t="s">
        <v>281</v>
      </c>
      <c r="B1218" s="6" t="s">
        <v>19</v>
      </c>
      <c r="C1218" s="7">
        <v>179302</v>
      </c>
      <c r="D1218" s="8">
        <v>36816</v>
      </c>
      <c r="E1218" s="9" t="s">
        <v>16</v>
      </c>
      <c r="F1218" s="36">
        <v>50</v>
      </c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</row>
    <row r="1219" spans="1:22" ht="12.75" customHeight="1" x14ac:dyDescent="0.2">
      <c r="A1219" s="6" t="s">
        <v>289</v>
      </c>
      <c r="B1219" s="6" t="s">
        <v>19</v>
      </c>
      <c r="C1219" s="7">
        <v>182241</v>
      </c>
      <c r="D1219" s="8">
        <v>38103.599999999999</v>
      </c>
      <c r="E1219" s="9" t="s">
        <v>16</v>
      </c>
      <c r="F1219" s="36">
        <v>50</v>
      </c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</row>
    <row r="1220" spans="1:22" ht="12.75" customHeight="1" x14ac:dyDescent="0.2">
      <c r="A1220" s="6" t="s">
        <v>258</v>
      </c>
      <c r="B1220" s="6" t="s">
        <v>19</v>
      </c>
      <c r="C1220" s="7">
        <v>183620</v>
      </c>
      <c r="D1220" s="8">
        <v>40105.199999999997</v>
      </c>
      <c r="E1220" s="9" t="s">
        <v>16</v>
      </c>
      <c r="F1220" s="36">
        <v>50</v>
      </c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</row>
    <row r="1221" spans="1:22" ht="12.75" customHeight="1" x14ac:dyDescent="0.2">
      <c r="A1221" s="6" t="s">
        <v>316</v>
      </c>
      <c r="B1221" s="6" t="s">
        <v>19</v>
      </c>
      <c r="C1221" s="7">
        <v>188253</v>
      </c>
      <c r="D1221" s="8">
        <v>77432.399999999994</v>
      </c>
      <c r="E1221" s="9" t="s">
        <v>16</v>
      </c>
      <c r="F1221" s="36">
        <v>50</v>
      </c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</row>
    <row r="1222" spans="1:22" ht="12.75" customHeight="1" x14ac:dyDescent="0.2">
      <c r="A1222" s="6" t="s">
        <v>321</v>
      </c>
      <c r="B1222" s="6" t="s">
        <v>19</v>
      </c>
      <c r="C1222" s="7">
        <v>188519</v>
      </c>
      <c r="D1222" s="8">
        <v>74371.199999999997</v>
      </c>
      <c r="E1222" s="9" t="s">
        <v>16</v>
      </c>
      <c r="F1222" s="36">
        <v>50</v>
      </c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</row>
    <row r="1223" spans="1:22" ht="12.75" customHeight="1" x14ac:dyDescent="0.2">
      <c r="A1223" s="6" t="s">
        <v>322</v>
      </c>
      <c r="B1223" s="6" t="s">
        <v>19</v>
      </c>
      <c r="C1223" s="7">
        <v>188581</v>
      </c>
      <c r="D1223" s="8">
        <v>66813.599999999991</v>
      </c>
      <c r="E1223" s="9" t="s">
        <v>16</v>
      </c>
      <c r="F1223" s="36">
        <v>50</v>
      </c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</row>
    <row r="1224" spans="1:22" ht="12.75" customHeight="1" x14ac:dyDescent="0.2">
      <c r="A1224" s="6" t="s">
        <v>376</v>
      </c>
      <c r="B1224" s="6" t="s">
        <v>19</v>
      </c>
      <c r="C1224" s="7">
        <v>197277</v>
      </c>
      <c r="D1224" s="8">
        <v>41437.199999999997</v>
      </c>
      <c r="E1224" s="9" t="s">
        <v>16</v>
      </c>
      <c r="F1224" s="36">
        <v>50</v>
      </c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</row>
    <row r="1225" spans="1:22" ht="12.75" customHeight="1" x14ac:dyDescent="0.2">
      <c r="A1225" s="6" t="s">
        <v>391</v>
      </c>
      <c r="B1225" s="6" t="s">
        <v>19</v>
      </c>
      <c r="C1225" s="7">
        <v>199420</v>
      </c>
      <c r="D1225" s="8">
        <v>54132</v>
      </c>
      <c r="E1225" s="9" t="s">
        <v>16</v>
      </c>
      <c r="F1225" s="36">
        <v>50</v>
      </c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</row>
    <row r="1226" spans="1:22" ht="12.75" customHeight="1" x14ac:dyDescent="0.2">
      <c r="A1226" s="6" t="s">
        <v>17</v>
      </c>
      <c r="B1226" s="6" t="s">
        <v>19</v>
      </c>
      <c r="C1226" s="7">
        <v>188855</v>
      </c>
      <c r="D1226" s="8">
        <v>44360.4</v>
      </c>
      <c r="E1226" s="9" t="s">
        <v>16</v>
      </c>
      <c r="F1226" s="36">
        <v>50</v>
      </c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</row>
    <row r="1227" spans="1:22" ht="12.75" customHeight="1" x14ac:dyDescent="0.2">
      <c r="A1227" s="6" t="s">
        <v>21</v>
      </c>
      <c r="B1227" s="6" t="s">
        <v>19</v>
      </c>
      <c r="C1227" s="7">
        <v>196522</v>
      </c>
      <c r="D1227" s="8">
        <v>34833.599999999999</v>
      </c>
      <c r="E1227" s="9" t="s">
        <v>16</v>
      </c>
      <c r="F1227" s="36">
        <v>50</v>
      </c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</row>
    <row r="1228" spans="1:22" ht="12.75" customHeight="1" x14ac:dyDescent="0.2">
      <c r="A1228" s="6" t="s">
        <v>23</v>
      </c>
      <c r="B1228" s="6" t="s">
        <v>19</v>
      </c>
      <c r="C1228" s="7">
        <v>196524</v>
      </c>
      <c r="D1228" s="8">
        <v>38185.199999999997</v>
      </c>
      <c r="E1228" s="9" t="s">
        <v>16</v>
      </c>
      <c r="F1228" s="36">
        <v>50</v>
      </c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</row>
    <row r="1229" spans="1:22" ht="12.75" customHeight="1" x14ac:dyDescent="0.2">
      <c r="A1229" s="6" t="s">
        <v>24</v>
      </c>
      <c r="B1229" s="6" t="s">
        <v>19</v>
      </c>
      <c r="C1229" s="7">
        <v>168556</v>
      </c>
      <c r="D1229" s="8">
        <v>36901.199999999997</v>
      </c>
      <c r="E1229" s="9" t="s">
        <v>16</v>
      </c>
      <c r="F1229" s="36">
        <v>50</v>
      </c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</row>
    <row r="1230" spans="1:22" ht="12.75" customHeight="1" x14ac:dyDescent="0.2">
      <c r="A1230" s="6" t="s">
        <v>20</v>
      </c>
      <c r="B1230" s="6" t="s">
        <v>19</v>
      </c>
      <c r="C1230" s="7">
        <v>196459</v>
      </c>
      <c r="D1230" s="8">
        <v>33567.599999999999</v>
      </c>
      <c r="E1230" s="9" t="s">
        <v>16</v>
      </c>
      <c r="F1230" s="36">
        <v>50</v>
      </c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</row>
    <row r="1231" spans="1:22" ht="12.75" customHeight="1" x14ac:dyDescent="0.2">
      <c r="A1231" s="6" t="s">
        <v>165</v>
      </c>
      <c r="B1231" s="6" t="s">
        <v>19</v>
      </c>
      <c r="C1231" s="7">
        <v>195063</v>
      </c>
      <c r="D1231" s="8">
        <v>32253.599999999999</v>
      </c>
      <c r="E1231" s="9" t="s">
        <v>16</v>
      </c>
      <c r="F1231" s="36">
        <v>50</v>
      </c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</row>
    <row r="1232" spans="1:22" ht="12.75" customHeight="1" x14ac:dyDescent="0.2">
      <c r="A1232" s="6" t="s">
        <v>182</v>
      </c>
      <c r="B1232" s="6" t="s">
        <v>19</v>
      </c>
      <c r="C1232" s="7">
        <v>209685</v>
      </c>
      <c r="D1232" s="8">
        <v>38108.400000000001</v>
      </c>
      <c r="E1232" s="9" t="s">
        <v>16</v>
      </c>
      <c r="F1232" s="36">
        <v>50</v>
      </c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</row>
    <row r="1233" spans="1:22" ht="12.75" customHeight="1" x14ac:dyDescent="0.2">
      <c r="A1233" s="6" t="s">
        <v>305</v>
      </c>
      <c r="B1233" s="6" t="s">
        <v>307</v>
      </c>
      <c r="C1233" s="7">
        <v>186781</v>
      </c>
      <c r="D1233" s="8">
        <v>55000.799999999996</v>
      </c>
      <c r="E1233" s="9" t="s">
        <v>16</v>
      </c>
      <c r="F1233" s="36">
        <v>50</v>
      </c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</row>
    <row r="1234" spans="1:22" ht="12.75" customHeight="1" x14ac:dyDescent="0.2">
      <c r="A1234" s="6" t="s">
        <v>310</v>
      </c>
      <c r="B1234" s="6" t="s">
        <v>307</v>
      </c>
      <c r="C1234" s="7">
        <v>187966</v>
      </c>
      <c r="D1234" s="8">
        <v>51826.799999999996</v>
      </c>
      <c r="E1234" s="9" t="s">
        <v>16</v>
      </c>
      <c r="F1234" s="36">
        <v>50</v>
      </c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</row>
    <row r="1235" spans="1:22" ht="12.75" customHeight="1" x14ac:dyDescent="0.2">
      <c r="A1235" s="6" t="s">
        <v>314</v>
      </c>
      <c r="B1235" s="6" t="s">
        <v>307</v>
      </c>
      <c r="C1235" s="7">
        <v>188227</v>
      </c>
      <c r="D1235" s="8">
        <v>49743.6</v>
      </c>
      <c r="E1235" s="9" t="s">
        <v>16</v>
      </c>
      <c r="F1235" s="36">
        <v>50</v>
      </c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</row>
    <row r="1236" spans="1:22" ht="12.75" customHeight="1" x14ac:dyDescent="0.2">
      <c r="A1236" s="6" t="s">
        <v>315</v>
      </c>
      <c r="B1236" s="6" t="s">
        <v>307</v>
      </c>
      <c r="C1236" s="7">
        <v>188250</v>
      </c>
      <c r="D1236" s="8">
        <v>49033.2</v>
      </c>
      <c r="E1236" s="9" t="s">
        <v>16</v>
      </c>
      <c r="F1236" s="36">
        <v>50</v>
      </c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</row>
    <row r="1237" spans="1:22" ht="12.75" customHeight="1" x14ac:dyDescent="0.2">
      <c r="A1237" s="6" t="s">
        <v>277</v>
      </c>
      <c r="B1237" s="6" t="s">
        <v>307</v>
      </c>
      <c r="C1237" s="7">
        <v>188808</v>
      </c>
      <c r="D1237" s="8">
        <v>57634.799999999996</v>
      </c>
      <c r="E1237" s="9" t="s">
        <v>16</v>
      </c>
      <c r="F1237" s="36">
        <v>50</v>
      </c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</row>
    <row r="1238" spans="1:22" ht="12.75" customHeight="1" x14ac:dyDescent="0.2">
      <c r="A1238" s="6" t="s">
        <v>329</v>
      </c>
      <c r="B1238" s="6" t="s">
        <v>307</v>
      </c>
      <c r="C1238" s="7">
        <v>190491</v>
      </c>
      <c r="D1238" s="8">
        <v>80848.800000000003</v>
      </c>
      <c r="E1238" s="9" t="s">
        <v>16</v>
      </c>
      <c r="F1238" s="36">
        <v>50</v>
      </c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</row>
    <row r="1239" spans="1:22" ht="12.75" customHeight="1" x14ac:dyDescent="0.2">
      <c r="A1239" s="6" t="s">
        <v>330</v>
      </c>
      <c r="B1239" s="6" t="s">
        <v>307</v>
      </c>
      <c r="C1239" s="7">
        <v>190495</v>
      </c>
      <c r="D1239" s="8">
        <v>78740.399999999994</v>
      </c>
      <c r="E1239" s="9" t="s">
        <v>16</v>
      </c>
      <c r="F1239" s="36">
        <v>50</v>
      </c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</row>
    <row r="1240" spans="1:22" ht="12.75" customHeight="1" x14ac:dyDescent="0.2">
      <c r="A1240" s="6" t="s">
        <v>421</v>
      </c>
      <c r="B1240" s="6" t="s">
        <v>307</v>
      </c>
      <c r="C1240" s="7">
        <v>203231</v>
      </c>
      <c r="D1240" s="8">
        <v>76135.199999999997</v>
      </c>
      <c r="E1240" s="9" t="s">
        <v>16</v>
      </c>
      <c r="F1240" s="36">
        <v>50</v>
      </c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</row>
    <row r="1241" spans="1:22" ht="12.75" customHeight="1" x14ac:dyDescent="0.2">
      <c r="A1241" s="6" t="s">
        <v>5</v>
      </c>
      <c r="B1241" s="6" t="s">
        <v>6</v>
      </c>
      <c r="C1241" s="7">
        <v>101068</v>
      </c>
      <c r="D1241" s="8">
        <v>27457.200000000001</v>
      </c>
      <c r="E1241" s="9" t="s">
        <v>7</v>
      </c>
      <c r="F1241" s="38">
        <v>60</v>
      </c>
      <c r="G1241" s="37"/>
      <c r="H1241" s="14">
        <f t="shared" ref="H1241:H1245" si="11">H$3+G1241</f>
        <v>0.55000000000000004</v>
      </c>
      <c r="I1241" s="37">
        <f ca="1">IFERROR(__xludf.DUMMYFUNCTION("ROUND(D1241*GOOGLEFINANCE(""RUBKZT"")*H1241)"),117845)</f>
        <v>117845</v>
      </c>
      <c r="J1241" s="38">
        <f ca="1">IFERROR(__xludf.DUMMYFUNCTION("ROUND(I1241*GOOGLEFINANCE(""KZTEUR""))"),247)</f>
        <v>247</v>
      </c>
      <c r="K1241" s="38">
        <f t="shared" ref="K1241:K1245" ca="1" si="12">ROUND(J1241/F1241*1000,0)</f>
        <v>4117</v>
      </c>
      <c r="L1241" s="38">
        <f t="shared" ref="L1241:L1245" ca="1" si="13">K1241*L$3</f>
        <v>782.23</v>
      </c>
      <c r="M1241" s="38">
        <f t="shared" ref="M1241:N1241" si="14">M$3</f>
        <v>500</v>
      </c>
      <c r="N1241" s="38">
        <f t="shared" si="14"/>
        <v>500</v>
      </c>
      <c r="O1241" s="38">
        <f ca="1">IFERROR(__xludf.DUMMYFUNCTION("ROUND(GOOGLEFINANCE(""Currency:EURKZT"")*K1241)"),1966154)</f>
        <v>1966154</v>
      </c>
      <c r="P1241" s="38">
        <f ca="1">IFERROR(__xludf.DUMMYFUNCTION("ROUND(GOOGLEFINANCE(""Currency:EURKZT"")*M1241)"),238785)</f>
        <v>238785</v>
      </c>
      <c r="Q1241" s="38">
        <f ca="1">IFERROR(__xludf.DUMMYFUNCTION("ROUND(GOOGLEFINANCE(""Currency:EURKZT"")*N1241)"),238785)</f>
        <v>238785</v>
      </c>
      <c r="R1241" s="38">
        <f t="shared" ref="R1241:R1245" ca="1" si="15">ROUND(O1241*R$3,0)</f>
        <v>235938</v>
      </c>
      <c r="S1241" s="38">
        <f t="shared" ref="S1241:S1245" ca="1" si="16">SUM(O1241:R1241)</f>
        <v>2679662</v>
      </c>
      <c r="T1241" s="38">
        <f ca="1">IFERROR(__xludf.DUMMYFUNCTION("ROUND(GOOGLEFINANCE(""Currency:EURKZT"")*L1241+S1241)"),3053231)</f>
        <v>3053231</v>
      </c>
      <c r="U1241" s="38">
        <f ca="1">IFERROR(__xludf.DUMMYFUNCTION("D1241*GOOGLEFINANCE(""RUBKZT"")*1000/F1241"),3571048.12753224)</f>
        <v>3571048.12753224</v>
      </c>
      <c r="V1241" s="39">
        <f t="shared" ref="V1241:V1245" ca="1" si="17">(U1241-T1241)/T1241</f>
        <v>0.169596446365257</v>
      </c>
    </row>
    <row r="1242" spans="1:22" ht="12.75" customHeight="1" x14ac:dyDescent="0.2">
      <c r="A1242" s="6" t="s">
        <v>8</v>
      </c>
      <c r="B1242" s="6" t="s">
        <v>6</v>
      </c>
      <c r="C1242" s="7">
        <v>101999</v>
      </c>
      <c r="D1242" s="8">
        <v>32174.399999999998</v>
      </c>
      <c r="E1242" s="9" t="s">
        <v>7</v>
      </c>
      <c r="F1242" s="38">
        <v>60</v>
      </c>
      <c r="G1242" s="37"/>
      <c r="H1242" s="14">
        <f t="shared" si="11"/>
        <v>0.55000000000000004</v>
      </c>
      <c r="I1242" s="37">
        <f ca="1">IFERROR(__xludf.DUMMYFUNCTION("ROUND(D1242*GOOGLEFINANCE(""RUBKZT"")*H1242)"),138091)</f>
        <v>138091</v>
      </c>
      <c r="J1242" s="38">
        <f ca="1">IFERROR(__xludf.DUMMYFUNCTION("ROUND(I1242*GOOGLEFINANCE(""KZTEUR""))"),289)</f>
        <v>289</v>
      </c>
      <c r="K1242" s="38">
        <f t="shared" ca="1" si="12"/>
        <v>4817</v>
      </c>
      <c r="L1242" s="38">
        <f t="shared" ca="1" si="13"/>
        <v>915.23</v>
      </c>
      <c r="M1242" s="38">
        <f t="shared" ref="M1242:N1242" si="18">M$3</f>
        <v>500</v>
      </c>
      <c r="N1242" s="38">
        <f t="shared" si="18"/>
        <v>500</v>
      </c>
      <c r="O1242" s="38">
        <f ca="1">IFERROR(__xludf.DUMMYFUNCTION("ROUND(GOOGLEFINANCE(""Currency:EURKZT"")*K1242)"),2300453)</f>
        <v>2300453</v>
      </c>
      <c r="P1242" s="38">
        <f ca="1">IFERROR(__xludf.DUMMYFUNCTION("ROUND(GOOGLEFINANCE(""Currency:EURKZT"")*M1242)"),238785)</f>
        <v>238785</v>
      </c>
      <c r="Q1242" s="38">
        <f ca="1">IFERROR(__xludf.DUMMYFUNCTION("ROUND(GOOGLEFINANCE(""Currency:EURKZT"")*N1242)"),238785)</f>
        <v>238785</v>
      </c>
      <c r="R1242" s="38">
        <f t="shared" ca="1" si="15"/>
        <v>276054</v>
      </c>
      <c r="S1242" s="38">
        <f t="shared" ca="1" si="16"/>
        <v>3054077</v>
      </c>
      <c r="T1242" s="38">
        <f ca="1">IFERROR(__xludf.DUMMYFUNCTION("ROUND(GOOGLEFINANCE(""Currency:EURKZT"")*L1242+S1242)"),3491163)</f>
        <v>3491163</v>
      </c>
      <c r="U1242" s="38">
        <f ca="1">IFERROR(__xludf.DUMMYFUNCTION("D1242*GOOGLEFINANCE(""RUBKZT"")*1000/F1242"),4184561.09415648)</f>
        <v>4184561.0941564799</v>
      </c>
      <c r="V1242" s="39">
        <f t="shared" ca="1" si="17"/>
        <v>0.19861521623495665</v>
      </c>
    </row>
    <row r="1243" spans="1:22" ht="12.75" customHeight="1" x14ac:dyDescent="0.2">
      <c r="A1243" s="6" t="s">
        <v>9</v>
      </c>
      <c r="B1243" s="6" t="s">
        <v>6</v>
      </c>
      <c r="C1243" s="7">
        <v>102437</v>
      </c>
      <c r="D1243" s="8">
        <v>34200</v>
      </c>
      <c r="E1243" s="9" t="s">
        <v>7</v>
      </c>
      <c r="F1243" s="38">
        <v>60</v>
      </c>
      <c r="G1243" s="37"/>
      <c r="H1243" s="14">
        <f t="shared" si="11"/>
        <v>0.55000000000000004</v>
      </c>
      <c r="I1243" s="37">
        <f ca="1">IFERROR(__xludf.DUMMYFUNCTION("ROUND(D1243*GOOGLEFINANCE(""RUBKZT"")*H1243)"),146784)</f>
        <v>146784</v>
      </c>
      <c r="J1243" s="38">
        <f ca="1">IFERROR(__xludf.DUMMYFUNCTION("ROUND(I1243*GOOGLEFINANCE(""KZTEUR""))"),307)</f>
        <v>307</v>
      </c>
      <c r="K1243" s="38">
        <f t="shared" ca="1" si="12"/>
        <v>5117</v>
      </c>
      <c r="L1243" s="38">
        <f t="shared" ca="1" si="13"/>
        <v>972.23</v>
      </c>
      <c r="M1243" s="38">
        <f t="shared" ref="M1243:N1243" si="19">M$3</f>
        <v>500</v>
      </c>
      <c r="N1243" s="38">
        <f t="shared" si="19"/>
        <v>500</v>
      </c>
      <c r="O1243" s="38">
        <f ca="1">IFERROR(__xludf.DUMMYFUNCTION("ROUND(GOOGLEFINANCE(""Currency:EURKZT"")*K1243)"),2443724)</f>
        <v>2443724</v>
      </c>
      <c r="P1243" s="38">
        <f ca="1">IFERROR(__xludf.DUMMYFUNCTION("ROUND(GOOGLEFINANCE(""Currency:EURKZT"")*M1243)"),238785)</f>
        <v>238785</v>
      </c>
      <c r="Q1243" s="38">
        <f ca="1">IFERROR(__xludf.DUMMYFUNCTION("ROUND(GOOGLEFINANCE(""Currency:EURKZT"")*N1243)"),238785)</f>
        <v>238785</v>
      </c>
      <c r="R1243" s="38">
        <f t="shared" ca="1" si="15"/>
        <v>293247</v>
      </c>
      <c r="S1243" s="38">
        <f t="shared" ca="1" si="16"/>
        <v>3214541</v>
      </c>
      <c r="T1243" s="38">
        <f ca="1">IFERROR(__xludf.DUMMYFUNCTION("ROUND(GOOGLEFINANCE(""Currency:EURKZT"")*L1243+S1243)"),3678849)</f>
        <v>3678849</v>
      </c>
      <c r="U1243" s="38">
        <f ca="1">IFERROR(__xludf.DUMMYFUNCTION("D1243*GOOGLEFINANCE(""RUBKZT"")*1000/F1243"),4448008.02564)</f>
        <v>4448008.0256399997</v>
      </c>
      <c r="V1243" s="39">
        <f t="shared" ca="1" si="17"/>
        <v>0.20907599785693831</v>
      </c>
    </row>
    <row r="1244" spans="1:22" ht="12.75" customHeight="1" x14ac:dyDescent="0.2">
      <c r="A1244" s="6" t="s">
        <v>12</v>
      </c>
      <c r="B1244" s="6" t="s">
        <v>6</v>
      </c>
      <c r="C1244" s="7">
        <v>102922</v>
      </c>
      <c r="D1244" s="8">
        <v>29642.399999999998</v>
      </c>
      <c r="E1244" s="9" t="s">
        <v>7</v>
      </c>
      <c r="F1244" s="38">
        <v>60</v>
      </c>
      <c r="G1244" s="37"/>
      <c r="H1244" s="14">
        <f t="shared" si="11"/>
        <v>0.55000000000000004</v>
      </c>
      <c r="I1244" s="37">
        <f ca="1">IFERROR(__xludf.DUMMYFUNCTION("ROUND(D1244*GOOGLEFINANCE(""RUBKZT"")*H1244)"),127223)</f>
        <v>127223</v>
      </c>
      <c r="J1244" s="38">
        <f ca="1">IFERROR(__xludf.DUMMYFUNCTION("ROUND(I1244*GOOGLEFINANCE(""KZTEUR""))"),266)</f>
        <v>266</v>
      </c>
      <c r="K1244" s="38">
        <f t="shared" ca="1" si="12"/>
        <v>4433</v>
      </c>
      <c r="L1244" s="38">
        <f t="shared" ca="1" si="13"/>
        <v>842.27</v>
      </c>
      <c r="M1244" s="38">
        <f t="shared" ref="M1244:N1244" si="20">M$3</f>
        <v>500</v>
      </c>
      <c r="N1244" s="38">
        <f t="shared" si="20"/>
        <v>500</v>
      </c>
      <c r="O1244" s="38">
        <f ca="1">IFERROR(__xludf.DUMMYFUNCTION("ROUND(GOOGLEFINANCE(""Currency:EURKZT"")*K1244)"),2117066)</f>
        <v>2117066</v>
      </c>
      <c r="P1244" s="38">
        <f ca="1">IFERROR(__xludf.DUMMYFUNCTION("ROUND(GOOGLEFINANCE(""Currency:EURKZT"")*M1244)"),238785)</f>
        <v>238785</v>
      </c>
      <c r="Q1244" s="38">
        <f ca="1">IFERROR(__xludf.DUMMYFUNCTION("ROUND(GOOGLEFINANCE(""Currency:EURKZT"")*N1244)"),238785)</f>
        <v>238785</v>
      </c>
      <c r="R1244" s="38">
        <f t="shared" ca="1" si="15"/>
        <v>254048</v>
      </c>
      <c r="S1244" s="38">
        <f t="shared" ca="1" si="16"/>
        <v>2848684</v>
      </c>
      <c r="T1244" s="38">
        <f ca="1">IFERROR(__xludf.DUMMYFUNCTION("ROUND(GOOGLEFINANCE(""Currency:EURKZT"")*L1244+S1244)"),3250927)</f>
        <v>3250927</v>
      </c>
      <c r="U1244" s="38">
        <f ca="1">IFERROR(__xludf.DUMMYFUNCTION("D1244*GOOGLEFINANCE(""RUBKZT"")*1000/F1244"),3855252.42980208)</f>
        <v>3855252.4298020802</v>
      </c>
      <c r="V1244" s="39">
        <f t="shared" ca="1" si="17"/>
        <v>0.1858932636143722</v>
      </c>
    </row>
    <row r="1245" spans="1:22" ht="12.75" customHeight="1" x14ac:dyDescent="0.2">
      <c r="A1245" s="6" t="s">
        <v>13</v>
      </c>
      <c r="B1245" s="6" t="s">
        <v>6</v>
      </c>
      <c r="C1245" s="7">
        <v>103000</v>
      </c>
      <c r="D1245" s="8">
        <v>55686</v>
      </c>
      <c r="E1245" s="9" t="s">
        <v>7</v>
      </c>
      <c r="F1245" s="38">
        <v>60</v>
      </c>
      <c r="G1245" s="37"/>
      <c r="H1245" s="14">
        <f t="shared" si="11"/>
        <v>0.55000000000000004</v>
      </c>
      <c r="I1245" s="37">
        <f ca="1">IFERROR(__xludf.DUMMYFUNCTION("ROUND(D1245*GOOGLEFINANCE(""RUBKZT"")*H1245)"),239001)</f>
        <v>239001</v>
      </c>
      <c r="J1245" s="38">
        <f ca="1">IFERROR(__xludf.DUMMYFUNCTION("ROUND(I1245*GOOGLEFINANCE(""KZTEUR""))"),501)</f>
        <v>501</v>
      </c>
      <c r="K1245" s="38">
        <f t="shared" ca="1" si="12"/>
        <v>8350</v>
      </c>
      <c r="L1245" s="38">
        <f t="shared" ca="1" si="13"/>
        <v>1586.5</v>
      </c>
      <c r="M1245" s="38">
        <f t="shared" ref="M1245:N1245" si="21">M$3</f>
        <v>500</v>
      </c>
      <c r="N1245" s="38">
        <f t="shared" si="21"/>
        <v>500</v>
      </c>
      <c r="O1245" s="38">
        <f ca="1">IFERROR(__xludf.DUMMYFUNCTION("ROUND(GOOGLEFINANCE(""Currency:EURKZT"")*K1245)"),3987706)</f>
        <v>3987706</v>
      </c>
      <c r="P1245" s="38">
        <f ca="1">IFERROR(__xludf.DUMMYFUNCTION("ROUND(GOOGLEFINANCE(""Currency:EURKZT"")*M1245)"),238785)</f>
        <v>238785</v>
      </c>
      <c r="Q1245" s="38">
        <f ca="1">IFERROR(__xludf.DUMMYFUNCTION("ROUND(GOOGLEFINANCE(""Currency:EURKZT"")*N1245)"),238785)</f>
        <v>238785</v>
      </c>
      <c r="R1245" s="38">
        <f t="shared" ca="1" si="15"/>
        <v>478525</v>
      </c>
      <c r="S1245" s="38">
        <f t="shared" ca="1" si="16"/>
        <v>4943801</v>
      </c>
      <c r="T1245" s="38">
        <f ca="1">IFERROR(__xludf.DUMMYFUNCTION("ROUND(GOOGLEFINANCE(""Currency:EURKZT"")*L1245+S1245)"),5701465)</f>
        <v>5701465</v>
      </c>
      <c r="U1245" s="38">
        <f ca="1">IFERROR(__xludf.DUMMYFUNCTION("D1245*GOOGLEFINANCE(""RUBKZT"")*1000/F1245"),7242449.5589412)</f>
        <v>7242449.5589412004</v>
      </c>
      <c r="V1245" s="39">
        <f t="shared" ca="1" si="17"/>
        <v>0.27027870186718683</v>
      </c>
    </row>
    <row r="1246" spans="1:22" ht="12.75" customHeight="1" x14ac:dyDescent="0.2">
      <c r="A1246" s="6" t="s">
        <v>35</v>
      </c>
      <c r="B1246" s="6" t="s">
        <v>6</v>
      </c>
      <c r="C1246" s="7">
        <v>110476</v>
      </c>
      <c r="D1246" s="8">
        <v>28593.599999999999</v>
      </c>
      <c r="E1246" s="9" t="s">
        <v>16</v>
      </c>
      <c r="F1246" s="38">
        <v>60</v>
      </c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</row>
    <row r="1247" spans="1:22" ht="12.75" customHeight="1" x14ac:dyDescent="0.2">
      <c r="A1247" s="6" t="s">
        <v>36</v>
      </c>
      <c r="B1247" s="6" t="s">
        <v>6</v>
      </c>
      <c r="C1247" s="7">
        <v>110479</v>
      </c>
      <c r="D1247" s="8">
        <v>26818.799999999999</v>
      </c>
      <c r="E1247" s="9" t="s">
        <v>16</v>
      </c>
      <c r="F1247" s="38">
        <v>60</v>
      </c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</row>
    <row r="1248" spans="1:22" ht="12.75" customHeight="1" x14ac:dyDescent="0.2">
      <c r="A1248" s="6" t="s">
        <v>37</v>
      </c>
      <c r="B1248" s="6" t="s">
        <v>6</v>
      </c>
      <c r="C1248" s="7">
        <v>110482</v>
      </c>
      <c r="D1248" s="8">
        <v>26842.799999999999</v>
      </c>
      <c r="E1248" s="9" t="s">
        <v>16</v>
      </c>
      <c r="F1248" s="38">
        <v>60</v>
      </c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</row>
    <row r="1249" spans="1:22" ht="12.75" customHeight="1" x14ac:dyDescent="0.2">
      <c r="A1249" s="6" t="s">
        <v>60</v>
      </c>
      <c r="B1249" s="6" t="s">
        <v>6</v>
      </c>
      <c r="C1249" s="7">
        <v>110572</v>
      </c>
      <c r="D1249" s="8">
        <v>23414.399999999998</v>
      </c>
      <c r="E1249" s="9" t="s">
        <v>16</v>
      </c>
      <c r="F1249" s="38">
        <v>60</v>
      </c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</row>
    <row r="1250" spans="1:22" ht="12.75" customHeight="1" x14ac:dyDescent="0.2">
      <c r="A1250" s="6" t="s">
        <v>61</v>
      </c>
      <c r="B1250" s="6" t="s">
        <v>6</v>
      </c>
      <c r="C1250" s="7">
        <v>110575</v>
      </c>
      <c r="D1250" s="8">
        <v>23684.399999999998</v>
      </c>
      <c r="E1250" s="9" t="s">
        <v>16</v>
      </c>
      <c r="F1250" s="38">
        <v>60</v>
      </c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</row>
    <row r="1251" spans="1:22" ht="12.75" customHeight="1" x14ac:dyDescent="0.2">
      <c r="A1251" s="6" t="s">
        <v>62</v>
      </c>
      <c r="B1251" s="6" t="s">
        <v>6</v>
      </c>
      <c r="C1251" s="7">
        <v>110578</v>
      </c>
      <c r="D1251" s="8">
        <v>24524.399999999998</v>
      </c>
      <c r="E1251" s="9" t="s">
        <v>16</v>
      </c>
      <c r="F1251" s="38">
        <v>60</v>
      </c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</row>
    <row r="1252" spans="1:22" ht="12.75" customHeight="1" x14ac:dyDescent="0.2">
      <c r="A1252" s="6" t="s">
        <v>65</v>
      </c>
      <c r="B1252" s="6" t="s">
        <v>6</v>
      </c>
      <c r="C1252" s="7">
        <v>110634</v>
      </c>
      <c r="D1252" s="8">
        <v>27969.599999999999</v>
      </c>
      <c r="E1252" s="9" t="s">
        <v>16</v>
      </c>
      <c r="F1252" s="38">
        <v>60</v>
      </c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</row>
    <row r="1253" spans="1:22" ht="12.75" customHeight="1" x14ac:dyDescent="0.2">
      <c r="A1253" s="6" t="s">
        <v>67</v>
      </c>
      <c r="B1253" s="6" t="s">
        <v>6</v>
      </c>
      <c r="C1253" s="7">
        <v>110660</v>
      </c>
      <c r="D1253" s="8">
        <v>29152.799999999999</v>
      </c>
      <c r="E1253" s="9" t="s">
        <v>16</v>
      </c>
      <c r="F1253" s="38">
        <v>60</v>
      </c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</row>
    <row r="1254" spans="1:22" ht="12.75" customHeight="1" x14ac:dyDescent="0.2">
      <c r="A1254" s="6" t="s">
        <v>68</v>
      </c>
      <c r="B1254" s="6" t="s">
        <v>6</v>
      </c>
      <c r="C1254" s="7">
        <v>110691</v>
      </c>
      <c r="D1254" s="8">
        <v>26954.399999999998</v>
      </c>
      <c r="E1254" s="9" t="s">
        <v>16</v>
      </c>
      <c r="F1254" s="38">
        <v>60</v>
      </c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</row>
    <row r="1255" spans="1:22" ht="12.75" customHeight="1" x14ac:dyDescent="0.2">
      <c r="A1255" s="6" t="s">
        <v>137</v>
      </c>
      <c r="B1255" s="6" t="s">
        <v>6</v>
      </c>
      <c r="C1255" s="7">
        <v>113453</v>
      </c>
      <c r="D1255" s="8">
        <v>21150</v>
      </c>
      <c r="E1255" s="9" t="s">
        <v>16</v>
      </c>
      <c r="F1255" s="38">
        <v>60</v>
      </c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</row>
    <row r="1256" spans="1:22" ht="12.75" customHeight="1" x14ac:dyDescent="0.2">
      <c r="A1256" s="6" t="s">
        <v>34</v>
      </c>
      <c r="B1256" s="6" t="s">
        <v>6</v>
      </c>
      <c r="C1256" s="7">
        <v>114531</v>
      </c>
      <c r="D1256" s="8">
        <v>27057.599999999999</v>
      </c>
      <c r="E1256" s="9" t="s">
        <v>16</v>
      </c>
      <c r="F1256" s="38">
        <v>60</v>
      </c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</row>
    <row r="1257" spans="1:22" ht="12.75" customHeight="1" x14ac:dyDescent="0.2">
      <c r="A1257" s="6" t="s">
        <v>152</v>
      </c>
      <c r="B1257" s="6" t="s">
        <v>6</v>
      </c>
      <c r="C1257" s="7">
        <v>127911</v>
      </c>
      <c r="D1257" s="8">
        <v>41365.199999999997</v>
      </c>
      <c r="E1257" s="9" t="s">
        <v>16</v>
      </c>
      <c r="F1257" s="38">
        <v>60</v>
      </c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</row>
    <row r="1258" spans="1:22" ht="12.75" customHeight="1" x14ac:dyDescent="0.2">
      <c r="A1258" s="6" t="s">
        <v>153</v>
      </c>
      <c r="B1258" s="6" t="s">
        <v>6</v>
      </c>
      <c r="C1258" s="7">
        <v>129076</v>
      </c>
      <c r="D1258" s="8">
        <v>25263.599999999999</v>
      </c>
      <c r="E1258" s="9" t="s">
        <v>16</v>
      </c>
      <c r="F1258" s="38">
        <v>60</v>
      </c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</row>
    <row r="1259" spans="1:22" ht="12.75" customHeight="1" x14ac:dyDescent="0.2">
      <c r="A1259" s="6" t="s">
        <v>73</v>
      </c>
      <c r="B1259" s="6" t="s">
        <v>6</v>
      </c>
      <c r="C1259" s="7">
        <v>132352</v>
      </c>
      <c r="D1259" s="8">
        <v>29232</v>
      </c>
      <c r="E1259" s="9" t="s">
        <v>16</v>
      </c>
      <c r="F1259" s="38">
        <v>60</v>
      </c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</row>
    <row r="1260" spans="1:22" ht="12.75" customHeight="1" x14ac:dyDescent="0.2">
      <c r="A1260" s="6" t="s">
        <v>70</v>
      </c>
      <c r="B1260" s="6" t="s">
        <v>6</v>
      </c>
      <c r="C1260" s="7">
        <v>132353</v>
      </c>
      <c r="D1260" s="8">
        <v>32210.399999999998</v>
      </c>
      <c r="E1260" s="9" t="s">
        <v>16</v>
      </c>
      <c r="F1260" s="38">
        <v>60</v>
      </c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</row>
    <row r="1261" spans="1:22" ht="12.75" customHeight="1" x14ac:dyDescent="0.2">
      <c r="A1261" s="6" t="s">
        <v>180</v>
      </c>
      <c r="B1261" s="6" t="s">
        <v>6</v>
      </c>
      <c r="C1261" s="7">
        <v>147624</v>
      </c>
      <c r="D1261" s="8">
        <v>26870.399999999998</v>
      </c>
      <c r="E1261" s="9" t="s">
        <v>7</v>
      </c>
      <c r="F1261" s="38">
        <v>60</v>
      </c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</row>
    <row r="1262" spans="1:22" ht="12.75" customHeight="1" x14ac:dyDescent="0.2">
      <c r="A1262" s="6" t="s">
        <v>181</v>
      </c>
      <c r="B1262" s="6" t="s">
        <v>6</v>
      </c>
      <c r="C1262" s="7">
        <v>147625</v>
      </c>
      <c r="D1262" s="8">
        <v>27393.599999999999</v>
      </c>
      <c r="E1262" s="9" t="s">
        <v>16</v>
      </c>
      <c r="F1262" s="38">
        <v>60</v>
      </c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</row>
    <row r="1263" spans="1:22" ht="12.75" customHeight="1" x14ac:dyDescent="0.2">
      <c r="A1263" s="6" t="s">
        <v>205</v>
      </c>
      <c r="B1263" s="6" t="s">
        <v>6</v>
      </c>
      <c r="C1263" s="7">
        <v>151521</v>
      </c>
      <c r="D1263" s="8">
        <v>42751.199999999997</v>
      </c>
      <c r="E1263" s="9" t="s">
        <v>16</v>
      </c>
      <c r="F1263" s="38">
        <v>60</v>
      </c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</row>
    <row r="1264" spans="1:22" ht="12.75" customHeight="1" x14ac:dyDescent="0.2">
      <c r="A1264" s="6" t="s">
        <v>207</v>
      </c>
      <c r="B1264" s="6" t="s">
        <v>6</v>
      </c>
      <c r="C1264" s="7">
        <v>154211</v>
      </c>
      <c r="D1264" s="8">
        <v>38410.799999999996</v>
      </c>
      <c r="E1264" s="9" t="s">
        <v>16</v>
      </c>
      <c r="F1264" s="38">
        <v>60</v>
      </c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</row>
    <row r="1265" spans="1:22" ht="12.75" customHeight="1" x14ac:dyDescent="0.2">
      <c r="A1265" s="6" t="s">
        <v>208</v>
      </c>
      <c r="B1265" s="6" t="s">
        <v>6</v>
      </c>
      <c r="C1265" s="7">
        <v>154243</v>
      </c>
      <c r="D1265" s="8">
        <v>32101.199999999997</v>
      </c>
      <c r="E1265" s="9" t="s">
        <v>16</v>
      </c>
      <c r="F1265" s="38">
        <v>60</v>
      </c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</row>
    <row r="1266" spans="1:22" ht="12.75" customHeight="1" x14ac:dyDescent="0.2">
      <c r="A1266" s="6" t="s">
        <v>210</v>
      </c>
      <c r="B1266" s="6" t="s">
        <v>6</v>
      </c>
      <c r="C1266" s="7">
        <v>154942</v>
      </c>
      <c r="D1266" s="8">
        <v>52774.799999999996</v>
      </c>
      <c r="E1266" s="9" t="s">
        <v>16</v>
      </c>
      <c r="F1266" s="38">
        <v>60</v>
      </c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</row>
    <row r="1267" spans="1:22" ht="12.75" customHeight="1" x14ac:dyDescent="0.2">
      <c r="A1267" s="6" t="s">
        <v>204</v>
      </c>
      <c r="B1267" s="6" t="s">
        <v>6</v>
      </c>
      <c r="C1267" s="7">
        <v>155368</v>
      </c>
      <c r="D1267" s="8">
        <v>40692</v>
      </c>
      <c r="E1267" s="9" t="s">
        <v>16</v>
      </c>
      <c r="F1267" s="38">
        <v>60</v>
      </c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</row>
    <row r="1268" spans="1:22" ht="12.75" customHeight="1" x14ac:dyDescent="0.2">
      <c r="A1268" s="6" t="s">
        <v>216</v>
      </c>
      <c r="B1268" s="6" t="s">
        <v>6</v>
      </c>
      <c r="C1268" s="7">
        <v>156691</v>
      </c>
      <c r="D1268" s="8">
        <v>21966</v>
      </c>
      <c r="E1268" s="9" t="s">
        <v>16</v>
      </c>
      <c r="F1268" s="38">
        <v>60</v>
      </c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</row>
    <row r="1269" spans="1:22" ht="12.75" customHeight="1" x14ac:dyDescent="0.2">
      <c r="A1269" s="6" t="s">
        <v>217</v>
      </c>
      <c r="B1269" s="6" t="s">
        <v>6</v>
      </c>
      <c r="C1269" s="7">
        <v>156715</v>
      </c>
      <c r="D1269" s="8">
        <v>35736</v>
      </c>
      <c r="E1269" s="9" t="s">
        <v>16</v>
      </c>
      <c r="F1269" s="38">
        <v>60</v>
      </c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</row>
    <row r="1270" spans="1:22" ht="12.75" customHeight="1" x14ac:dyDescent="0.2">
      <c r="A1270" s="6" t="s">
        <v>199</v>
      </c>
      <c r="B1270" s="6" t="s">
        <v>6</v>
      </c>
      <c r="C1270" s="7">
        <v>156851</v>
      </c>
      <c r="D1270" s="8">
        <v>30793.199999999997</v>
      </c>
      <c r="E1270" s="9" t="s">
        <v>16</v>
      </c>
      <c r="F1270" s="38">
        <v>60</v>
      </c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</row>
    <row r="1271" spans="1:22" ht="12.75" customHeight="1" x14ac:dyDescent="0.2">
      <c r="A1271" s="6" t="s">
        <v>193</v>
      </c>
      <c r="B1271" s="6" t="s">
        <v>6</v>
      </c>
      <c r="C1271" s="7">
        <v>157520</v>
      </c>
      <c r="D1271" s="8">
        <v>28822.799999999999</v>
      </c>
      <c r="E1271" s="9" t="s">
        <v>16</v>
      </c>
      <c r="F1271" s="38">
        <v>60</v>
      </c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</row>
    <row r="1272" spans="1:22" ht="12.75" customHeight="1" x14ac:dyDescent="0.2">
      <c r="A1272" s="6" t="s">
        <v>188</v>
      </c>
      <c r="B1272" s="6" t="s">
        <v>6</v>
      </c>
      <c r="C1272" s="7">
        <v>159114</v>
      </c>
      <c r="D1272" s="8">
        <v>24830.399999999998</v>
      </c>
      <c r="E1272" s="9" t="s">
        <v>16</v>
      </c>
      <c r="F1272" s="38">
        <v>60</v>
      </c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</row>
    <row r="1273" spans="1:22" ht="12.75" customHeight="1" x14ac:dyDescent="0.2">
      <c r="A1273" s="6" t="s">
        <v>254</v>
      </c>
      <c r="B1273" s="6" t="s">
        <v>6</v>
      </c>
      <c r="C1273" s="7">
        <v>164792</v>
      </c>
      <c r="D1273" s="8">
        <v>39012</v>
      </c>
      <c r="E1273" s="9" t="s">
        <v>16</v>
      </c>
      <c r="F1273" s="38">
        <v>60</v>
      </c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</row>
    <row r="1274" spans="1:22" ht="12.75" customHeight="1" x14ac:dyDescent="0.2">
      <c r="A1274" s="6" t="s">
        <v>255</v>
      </c>
      <c r="B1274" s="6" t="s">
        <v>6</v>
      </c>
      <c r="C1274" s="7">
        <v>164841</v>
      </c>
      <c r="D1274" s="8">
        <v>45409.2</v>
      </c>
      <c r="E1274" s="9" t="s">
        <v>16</v>
      </c>
      <c r="F1274" s="38">
        <v>60</v>
      </c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</row>
    <row r="1275" spans="1:22" ht="12.75" customHeight="1" x14ac:dyDescent="0.2">
      <c r="A1275" s="6" t="s">
        <v>259</v>
      </c>
      <c r="B1275" s="6" t="s">
        <v>6</v>
      </c>
      <c r="C1275" s="7">
        <v>167311</v>
      </c>
      <c r="D1275" s="8">
        <v>26856</v>
      </c>
      <c r="E1275" s="9" t="s">
        <v>16</v>
      </c>
      <c r="F1275" s="38">
        <v>60</v>
      </c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</row>
    <row r="1276" spans="1:22" ht="12.75" customHeight="1" x14ac:dyDescent="0.2">
      <c r="A1276" s="6" t="s">
        <v>261</v>
      </c>
      <c r="B1276" s="6" t="s">
        <v>6</v>
      </c>
      <c r="C1276" s="7">
        <v>168307</v>
      </c>
      <c r="D1276" s="8">
        <v>56774.400000000001</v>
      </c>
      <c r="E1276" s="9" t="s">
        <v>16</v>
      </c>
      <c r="F1276" s="38">
        <v>60</v>
      </c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</row>
    <row r="1277" spans="1:22" ht="12.75" customHeight="1" x14ac:dyDescent="0.2">
      <c r="A1277" s="6" t="s">
        <v>285</v>
      </c>
      <c r="B1277" s="6" t="s">
        <v>6</v>
      </c>
      <c r="C1277" s="7">
        <v>180859</v>
      </c>
      <c r="D1277" s="8">
        <v>40844.400000000001</v>
      </c>
      <c r="E1277" s="9" t="s">
        <v>16</v>
      </c>
      <c r="F1277" s="38">
        <v>60</v>
      </c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</row>
    <row r="1278" spans="1:22" ht="12.75" customHeight="1" x14ac:dyDescent="0.2">
      <c r="A1278" s="6" t="s">
        <v>290</v>
      </c>
      <c r="B1278" s="6" t="s">
        <v>6</v>
      </c>
      <c r="C1278" s="7">
        <v>182163</v>
      </c>
      <c r="D1278" s="8">
        <v>43303.199999999997</v>
      </c>
      <c r="E1278" s="9" t="s">
        <v>16</v>
      </c>
      <c r="F1278" s="38">
        <v>60</v>
      </c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</row>
    <row r="1279" spans="1:22" ht="12.75" customHeight="1" x14ac:dyDescent="0.2">
      <c r="A1279" s="6" t="s">
        <v>203</v>
      </c>
      <c r="B1279" s="6" t="s">
        <v>6</v>
      </c>
      <c r="C1279" s="7">
        <v>182883</v>
      </c>
      <c r="D1279" s="8">
        <v>36594</v>
      </c>
      <c r="E1279" s="9" t="s">
        <v>16</v>
      </c>
      <c r="F1279" s="38">
        <v>60</v>
      </c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</row>
    <row r="1280" spans="1:22" ht="12.75" customHeight="1" x14ac:dyDescent="0.2">
      <c r="A1280" s="6" t="s">
        <v>291</v>
      </c>
      <c r="B1280" s="6" t="s">
        <v>6</v>
      </c>
      <c r="C1280" s="7">
        <v>183087</v>
      </c>
      <c r="D1280" s="8">
        <v>28790.399999999998</v>
      </c>
      <c r="E1280" s="9" t="s">
        <v>7</v>
      </c>
      <c r="F1280" s="38">
        <v>60</v>
      </c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</row>
    <row r="1281" spans="1:22" ht="12.75" customHeight="1" x14ac:dyDescent="0.2">
      <c r="A1281" s="6" t="s">
        <v>293</v>
      </c>
      <c r="B1281" s="6" t="s">
        <v>6</v>
      </c>
      <c r="C1281" s="7">
        <v>183133</v>
      </c>
      <c r="D1281" s="8">
        <v>44048.4</v>
      </c>
      <c r="E1281" s="9" t="s">
        <v>7</v>
      </c>
      <c r="F1281" s="38">
        <v>60</v>
      </c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</row>
    <row r="1282" spans="1:22" ht="12.75" customHeight="1" x14ac:dyDescent="0.2">
      <c r="A1282" s="6" t="s">
        <v>250</v>
      </c>
      <c r="B1282" s="6" t="s">
        <v>6</v>
      </c>
      <c r="C1282" s="7">
        <v>183173</v>
      </c>
      <c r="D1282" s="8">
        <v>49610.400000000001</v>
      </c>
      <c r="E1282" s="9" t="s">
        <v>16</v>
      </c>
      <c r="F1282" s="38">
        <v>60</v>
      </c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</row>
    <row r="1283" spans="1:22" ht="12.75" customHeight="1" x14ac:dyDescent="0.2">
      <c r="A1283" s="6" t="s">
        <v>295</v>
      </c>
      <c r="B1283" s="6" t="s">
        <v>6</v>
      </c>
      <c r="C1283" s="7">
        <v>183266</v>
      </c>
      <c r="D1283" s="8">
        <v>31633.199999999997</v>
      </c>
      <c r="E1283" s="9" t="s">
        <v>7</v>
      </c>
      <c r="F1283" s="38">
        <v>60</v>
      </c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</row>
    <row r="1284" spans="1:22" ht="12.75" customHeight="1" x14ac:dyDescent="0.2">
      <c r="A1284" s="6" t="s">
        <v>297</v>
      </c>
      <c r="B1284" s="6" t="s">
        <v>6</v>
      </c>
      <c r="C1284" s="7">
        <v>183294</v>
      </c>
      <c r="D1284" s="8">
        <v>30226.799999999999</v>
      </c>
      <c r="E1284" s="9" t="s">
        <v>7</v>
      </c>
      <c r="F1284" s="38">
        <v>60</v>
      </c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</row>
    <row r="1285" spans="1:22" ht="12.75" customHeight="1" x14ac:dyDescent="0.2">
      <c r="A1285" s="6" t="s">
        <v>298</v>
      </c>
      <c r="B1285" s="6" t="s">
        <v>6</v>
      </c>
      <c r="C1285" s="7">
        <v>183301</v>
      </c>
      <c r="D1285" s="8">
        <v>31022.399999999998</v>
      </c>
      <c r="E1285" s="9" t="s">
        <v>7</v>
      </c>
      <c r="F1285" s="38">
        <v>60</v>
      </c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</row>
    <row r="1286" spans="1:22" ht="12.75" customHeight="1" x14ac:dyDescent="0.2">
      <c r="A1286" s="6" t="s">
        <v>299</v>
      </c>
      <c r="B1286" s="6" t="s">
        <v>6</v>
      </c>
      <c r="C1286" s="7">
        <v>183305</v>
      </c>
      <c r="D1286" s="8">
        <v>31718.399999999998</v>
      </c>
      <c r="E1286" s="9" t="s">
        <v>7</v>
      </c>
      <c r="F1286" s="38">
        <v>60</v>
      </c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</row>
    <row r="1287" spans="1:22" ht="12.75" customHeight="1" x14ac:dyDescent="0.2">
      <c r="A1287" s="6" t="s">
        <v>300</v>
      </c>
      <c r="B1287" s="6" t="s">
        <v>6</v>
      </c>
      <c r="C1287" s="7">
        <v>183313</v>
      </c>
      <c r="D1287" s="8">
        <v>27105.599999999999</v>
      </c>
      <c r="E1287" s="9" t="s">
        <v>7</v>
      </c>
      <c r="F1287" s="38">
        <v>60</v>
      </c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</row>
    <row r="1288" spans="1:22" ht="12.75" customHeight="1" x14ac:dyDescent="0.2">
      <c r="A1288" s="6" t="s">
        <v>301</v>
      </c>
      <c r="B1288" s="6" t="s">
        <v>6</v>
      </c>
      <c r="C1288" s="7">
        <v>183332</v>
      </c>
      <c r="D1288" s="8">
        <v>30602.399999999998</v>
      </c>
      <c r="E1288" s="9" t="s">
        <v>7</v>
      </c>
      <c r="F1288" s="38">
        <v>60</v>
      </c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</row>
    <row r="1289" spans="1:22" ht="12.75" customHeight="1" x14ac:dyDescent="0.2">
      <c r="A1289" s="6" t="s">
        <v>302</v>
      </c>
      <c r="B1289" s="6" t="s">
        <v>6</v>
      </c>
      <c r="C1289" s="7">
        <v>183631</v>
      </c>
      <c r="D1289" s="8">
        <v>29112</v>
      </c>
      <c r="E1289" s="9" t="s">
        <v>16</v>
      </c>
      <c r="F1289" s="38">
        <v>60</v>
      </c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</row>
    <row r="1290" spans="1:22" ht="12.75" customHeight="1" x14ac:dyDescent="0.2">
      <c r="A1290" s="6" t="s">
        <v>323</v>
      </c>
      <c r="B1290" s="6" t="s">
        <v>6</v>
      </c>
      <c r="C1290" s="7">
        <v>189238</v>
      </c>
      <c r="D1290" s="8">
        <v>30020.399999999998</v>
      </c>
      <c r="E1290" s="9" t="s">
        <v>16</v>
      </c>
      <c r="F1290" s="38">
        <v>60</v>
      </c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</row>
    <row r="1291" spans="1:22" ht="12.75" customHeight="1" x14ac:dyDescent="0.2">
      <c r="A1291" s="6" t="s">
        <v>355</v>
      </c>
      <c r="B1291" s="6" t="s">
        <v>6</v>
      </c>
      <c r="C1291" s="7">
        <v>194776</v>
      </c>
      <c r="D1291" s="8">
        <v>34599.599999999999</v>
      </c>
      <c r="E1291" s="9" t="s">
        <v>7</v>
      </c>
      <c r="F1291" s="38">
        <v>60</v>
      </c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</row>
    <row r="1292" spans="1:22" ht="12.75" customHeight="1" x14ac:dyDescent="0.2">
      <c r="A1292" s="6" t="s">
        <v>356</v>
      </c>
      <c r="B1292" s="6" t="s">
        <v>6</v>
      </c>
      <c r="C1292" s="7">
        <v>194780</v>
      </c>
      <c r="D1292" s="8">
        <v>34366.799999999996</v>
      </c>
      <c r="E1292" s="9" t="s">
        <v>7</v>
      </c>
      <c r="F1292" s="38">
        <v>60</v>
      </c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</row>
    <row r="1293" spans="1:22" ht="12.75" customHeight="1" x14ac:dyDescent="0.2">
      <c r="A1293" s="6" t="s">
        <v>357</v>
      </c>
      <c r="B1293" s="6" t="s">
        <v>6</v>
      </c>
      <c r="C1293" s="7">
        <v>194783</v>
      </c>
      <c r="D1293" s="8">
        <v>39337.199999999997</v>
      </c>
      <c r="E1293" s="9" t="s">
        <v>7</v>
      </c>
      <c r="F1293" s="38">
        <v>60</v>
      </c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</row>
    <row r="1294" spans="1:22" ht="12.75" customHeight="1" x14ac:dyDescent="0.2">
      <c r="A1294" s="6" t="s">
        <v>358</v>
      </c>
      <c r="B1294" s="6" t="s">
        <v>6</v>
      </c>
      <c r="C1294" s="7">
        <v>194785</v>
      </c>
      <c r="D1294" s="8">
        <v>32991.599999999999</v>
      </c>
      <c r="E1294" s="9" t="s">
        <v>7</v>
      </c>
      <c r="F1294" s="38">
        <v>60</v>
      </c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</row>
    <row r="1295" spans="1:22" ht="12.75" customHeight="1" x14ac:dyDescent="0.2">
      <c r="A1295" s="6" t="s">
        <v>360</v>
      </c>
      <c r="B1295" s="6" t="s">
        <v>6</v>
      </c>
      <c r="C1295" s="7">
        <v>194798</v>
      </c>
      <c r="D1295" s="8">
        <v>35691.599999999999</v>
      </c>
      <c r="E1295" s="9" t="s">
        <v>7</v>
      </c>
      <c r="F1295" s="38">
        <v>60</v>
      </c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</row>
    <row r="1296" spans="1:22" ht="12.75" customHeight="1" x14ac:dyDescent="0.2">
      <c r="A1296" s="6" t="s">
        <v>363</v>
      </c>
      <c r="B1296" s="6" t="s">
        <v>6</v>
      </c>
      <c r="C1296" s="7">
        <v>194806</v>
      </c>
      <c r="D1296" s="8">
        <v>37984.799999999996</v>
      </c>
      <c r="E1296" s="9" t="s">
        <v>7</v>
      </c>
      <c r="F1296" s="38">
        <v>60</v>
      </c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</row>
    <row r="1297" spans="1:22" ht="12.75" customHeight="1" x14ac:dyDescent="0.2">
      <c r="A1297" s="6" t="s">
        <v>364</v>
      </c>
      <c r="B1297" s="6" t="s">
        <v>6</v>
      </c>
      <c r="C1297" s="7">
        <v>194810</v>
      </c>
      <c r="D1297" s="8">
        <v>35724</v>
      </c>
      <c r="E1297" s="9" t="s">
        <v>7</v>
      </c>
      <c r="F1297" s="38">
        <v>60</v>
      </c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</row>
    <row r="1298" spans="1:22" ht="12.75" customHeight="1" x14ac:dyDescent="0.2">
      <c r="A1298" s="6" t="s">
        <v>370</v>
      </c>
      <c r="B1298" s="6" t="s">
        <v>6</v>
      </c>
      <c r="C1298" s="7">
        <v>195437</v>
      </c>
      <c r="D1298" s="8">
        <v>62980.799999999996</v>
      </c>
      <c r="E1298" s="9" t="s">
        <v>16</v>
      </c>
      <c r="F1298" s="38">
        <v>60</v>
      </c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</row>
    <row r="1299" spans="1:22" ht="12.75" customHeight="1" x14ac:dyDescent="0.2">
      <c r="A1299" s="6" t="s">
        <v>288</v>
      </c>
      <c r="B1299" s="6" t="s">
        <v>6</v>
      </c>
      <c r="C1299" s="7">
        <v>196162</v>
      </c>
      <c r="D1299" s="8">
        <v>29341.200000000001</v>
      </c>
      <c r="E1299" s="9" t="s">
        <v>16</v>
      </c>
      <c r="F1299" s="38">
        <v>60</v>
      </c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</row>
    <row r="1300" spans="1:22" ht="12.75" customHeight="1" x14ac:dyDescent="0.2">
      <c r="A1300" s="6" t="s">
        <v>385</v>
      </c>
      <c r="B1300" s="6" t="s">
        <v>6</v>
      </c>
      <c r="C1300" s="7">
        <v>198713</v>
      </c>
      <c r="D1300" s="8">
        <v>38696.400000000001</v>
      </c>
      <c r="E1300" s="9" t="s">
        <v>16</v>
      </c>
      <c r="F1300" s="38">
        <v>60</v>
      </c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</row>
    <row r="1301" spans="1:22" ht="12.75" customHeight="1" x14ac:dyDescent="0.2">
      <c r="A1301" s="6" t="s">
        <v>386</v>
      </c>
      <c r="B1301" s="6" t="s">
        <v>6</v>
      </c>
      <c r="C1301" s="7">
        <v>198858</v>
      </c>
      <c r="D1301" s="8">
        <v>37124.400000000001</v>
      </c>
      <c r="E1301" s="9" t="s">
        <v>16</v>
      </c>
      <c r="F1301" s="38">
        <v>60</v>
      </c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</row>
    <row r="1302" spans="1:22" ht="12.75" customHeight="1" x14ac:dyDescent="0.2">
      <c r="A1302" s="6" t="s">
        <v>294</v>
      </c>
      <c r="B1302" s="6" t="s">
        <v>6</v>
      </c>
      <c r="C1302" s="7">
        <v>198899</v>
      </c>
      <c r="D1302" s="8">
        <v>40932</v>
      </c>
      <c r="E1302" s="9" t="s">
        <v>16</v>
      </c>
      <c r="F1302" s="38">
        <v>60</v>
      </c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</row>
    <row r="1303" spans="1:22" ht="12.75" customHeight="1" x14ac:dyDescent="0.2">
      <c r="A1303" s="6" t="s">
        <v>260</v>
      </c>
      <c r="B1303" s="6" t="s">
        <v>6</v>
      </c>
      <c r="C1303" s="7">
        <v>199792</v>
      </c>
      <c r="D1303" s="8">
        <v>35338.799999999996</v>
      </c>
      <c r="E1303" s="9" t="s">
        <v>7</v>
      </c>
      <c r="F1303" s="38">
        <v>60</v>
      </c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</row>
    <row r="1304" spans="1:22" ht="12.75" customHeight="1" x14ac:dyDescent="0.2">
      <c r="A1304" s="6" t="s">
        <v>413</v>
      </c>
      <c r="B1304" s="6" t="s">
        <v>6</v>
      </c>
      <c r="C1304" s="7">
        <v>201516</v>
      </c>
      <c r="D1304" s="8">
        <v>23042.399999999998</v>
      </c>
      <c r="E1304" s="9" t="s">
        <v>16</v>
      </c>
      <c r="F1304" s="38">
        <v>60</v>
      </c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</row>
    <row r="1305" spans="1:22" ht="12.75" customHeight="1" x14ac:dyDescent="0.2">
      <c r="A1305" s="6" t="s">
        <v>414</v>
      </c>
      <c r="B1305" s="6" t="s">
        <v>6</v>
      </c>
      <c r="C1305" s="7">
        <v>201520</v>
      </c>
      <c r="D1305" s="8">
        <v>27435.599999999999</v>
      </c>
      <c r="E1305" s="9" t="s">
        <v>16</v>
      </c>
      <c r="F1305" s="38">
        <v>60</v>
      </c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</row>
    <row r="1306" spans="1:22" ht="12.75" customHeight="1" x14ac:dyDescent="0.2">
      <c r="A1306" s="6" t="s">
        <v>415</v>
      </c>
      <c r="B1306" s="6" t="s">
        <v>6</v>
      </c>
      <c r="C1306" s="7">
        <v>201530</v>
      </c>
      <c r="D1306" s="8">
        <v>6957.5999999999995</v>
      </c>
      <c r="E1306" s="9" t="s">
        <v>16</v>
      </c>
      <c r="F1306" s="38">
        <v>60</v>
      </c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</row>
    <row r="1307" spans="1:22" ht="12.75" customHeight="1" x14ac:dyDescent="0.2">
      <c r="A1307" s="6" t="s">
        <v>416</v>
      </c>
      <c r="B1307" s="6" t="s">
        <v>6</v>
      </c>
      <c r="C1307" s="7">
        <v>201541</v>
      </c>
      <c r="D1307" s="8">
        <v>22660.799999999999</v>
      </c>
      <c r="E1307" s="9" t="s">
        <v>7</v>
      </c>
      <c r="F1307" s="38">
        <v>60</v>
      </c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</row>
    <row r="1308" spans="1:22" ht="12.75" customHeight="1" x14ac:dyDescent="0.2">
      <c r="A1308" s="6" t="s">
        <v>417</v>
      </c>
      <c r="B1308" s="6" t="s">
        <v>6</v>
      </c>
      <c r="C1308" s="7">
        <v>201544</v>
      </c>
      <c r="D1308" s="8">
        <v>33540</v>
      </c>
      <c r="E1308" s="9" t="s">
        <v>7</v>
      </c>
      <c r="F1308" s="38">
        <v>60</v>
      </c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</row>
    <row r="1309" spans="1:22" ht="12.75" customHeight="1" x14ac:dyDescent="0.2">
      <c r="A1309" s="6" t="s">
        <v>428</v>
      </c>
      <c r="B1309" s="6" t="s">
        <v>6</v>
      </c>
      <c r="C1309" s="7">
        <v>205742</v>
      </c>
      <c r="D1309" s="8">
        <v>42990</v>
      </c>
      <c r="E1309" s="9" t="s">
        <v>7</v>
      </c>
      <c r="F1309" s="38">
        <v>60</v>
      </c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</row>
    <row r="1310" spans="1:22" ht="12.75" customHeight="1" x14ac:dyDescent="0.2">
      <c r="A1310" s="6" t="s">
        <v>429</v>
      </c>
      <c r="B1310" s="6" t="s">
        <v>6</v>
      </c>
      <c r="C1310" s="7">
        <v>205744</v>
      </c>
      <c r="D1310" s="8">
        <v>29731.199999999997</v>
      </c>
      <c r="E1310" s="9" t="s">
        <v>7</v>
      </c>
      <c r="F1310" s="38">
        <v>60</v>
      </c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</row>
    <row r="1311" spans="1:22" ht="12.75" customHeight="1" x14ac:dyDescent="0.2">
      <c r="A1311" s="6" t="s">
        <v>430</v>
      </c>
      <c r="B1311" s="6" t="s">
        <v>6</v>
      </c>
      <c r="C1311" s="7">
        <v>205745</v>
      </c>
      <c r="D1311" s="8">
        <v>29731.199999999997</v>
      </c>
      <c r="E1311" s="9" t="s">
        <v>7</v>
      </c>
      <c r="F1311" s="38">
        <v>60</v>
      </c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</row>
    <row r="1312" spans="1:22" ht="12.75" customHeight="1" x14ac:dyDescent="0.2">
      <c r="A1312" s="6" t="s">
        <v>431</v>
      </c>
      <c r="B1312" s="6" t="s">
        <v>6</v>
      </c>
      <c r="C1312" s="7">
        <v>205817</v>
      </c>
      <c r="D1312" s="8">
        <v>42453.599999999999</v>
      </c>
      <c r="E1312" s="9" t="s">
        <v>16</v>
      </c>
      <c r="F1312" s="38">
        <v>60</v>
      </c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</row>
    <row r="1313" spans="1:22" ht="12.75" customHeight="1" x14ac:dyDescent="0.2">
      <c r="A1313" s="6" t="s">
        <v>426</v>
      </c>
      <c r="B1313" s="6" t="s">
        <v>6</v>
      </c>
      <c r="C1313" s="7">
        <v>207854</v>
      </c>
      <c r="D1313" s="8">
        <v>29246.399999999998</v>
      </c>
      <c r="E1313" s="9" t="s">
        <v>16</v>
      </c>
      <c r="F1313" s="38">
        <v>60</v>
      </c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</row>
    <row r="1314" spans="1:22" ht="12.75" customHeight="1" x14ac:dyDescent="0.2">
      <c r="A1314" s="6" t="s">
        <v>448</v>
      </c>
      <c r="B1314" s="6" t="s">
        <v>6</v>
      </c>
      <c r="C1314" s="7">
        <v>213102</v>
      </c>
      <c r="D1314" s="8">
        <v>38125.199999999997</v>
      </c>
      <c r="E1314" s="9" t="s">
        <v>16</v>
      </c>
      <c r="F1314" s="38">
        <v>60</v>
      </c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</row>
    <row r="1315" spans="1:22" ht="12.75" customHeight="1" x14ac:dyDescent="0.2">
      <c r="A1315" s="6" t="s">
        <v>455</v>
      </c>
      <c r="B1315" s="6" t="s">
        <v>6</v>
      </c>
      <c r="C1315" s="7">
        <v>213657</v>
      </c>
      <c r="D1315" s="8">
        <v>26334</v>
      </c>
      <c r="E1315" s="9" t="s">
        <v>16</v>
      </c>
      <c r="F1315" s="38">
        <v>60</v>
      </c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</row>
    <row r="1316" spans="1:22" ht="12.75" customHeight="1" x14ac:dyDescent="0.2">
      <c r="A1316" s="6" t="s">
        <v>473</v>
      </c>
      <c r="B1316" s="6" t="s">
        <v>6</v>
      </c>
      <c r="C1316" s="7">
        <v>213705</v>
      </c>
      <c r="D1316" s="8">
        <v>21050.399999999998</v>
      </c>
      <c r="E1316" s="9" t="s">
        <v>16</v>
      </c>
      <c r="F1316" s="38">
        <v>60</v>
      </c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</row>
    <row r="1317" spans="1:22" ht="12.75" customHeight="1" x14ac:dyDescent="0.2">
      <c r="A1317" s="6" t="s">
        <v>494</v>
      </c>
      <c r="B1317" s="6" t="s">
        <v>6</v>
      </c>
      <c r="C1317" s="7">
        <v>213840</v>
      </c>
      <c r="D1317" s="8">
        <v>33038.400000000001</v>
      </c>
      <c r="E1317" s="9" t="s">
        <v>16</v>
      </c>
      <c r="F1317" s="38">
        <v>60</v>
      </c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</row>
    <row r="1318" spans="1:22" ht="12.75" customHeight="1" x14ac:dyDescent="0.2">
      <c r="A1318" s="6" t="s">
        <v>583</v>
      </c>
      <c r="B1318" s="6" t="s">
        <v>6</v>
      </c>
      <c r="C1318" s="7">
        <v>214013</v>
      </c>
      <c r="D1318" s="8">
        <v>33537.599999999999</v>
      </c>
      <c r="E1318" s="9" t="s">
        <v>16</v>
      </c>
      <c r="F1318" s="38">
        <v>60</v>
      </c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</row>
    <row r="1319" spans="1:22" ht="12.75" customHeight="1" x14ac:dyDescent="0.2">
      <c r="A1319" s="6" t="s">
        <v>592</v>
      </c>
      <c r="B1319" s="6" t="s">
        <v>6</v>
      </c>
      <c r="C1319" s="7">
        <v>214072</v>
      </c>
      <c r="D1319" s="8">
        <v>35492.400000000001</v>
      </c>
      <c r="E1319" s="9" t="s">
        <v>16</v>
      </c>
      <c r="F1319" s="38">
        <v>60</v>
      </c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</row>
    <row r="1320" spans="1:22" ht="12.75" customHeight="1" x14ac:dyDescent="0.2">
      <c r="A1320" s="6" t="s">
        <v>593</v>
      </c>
      <c r="B1320" s="6" t="s">
        <v>6</v>
      </c>
      <c r="C1320" s="7">
        <v>214074</v>
      </c>
      <c r="D1320" s="8">
        <v>99469.2</v>
      </c>
      <c r="E1320" s="9" t="s">
        <v>16</v>
      </c>
      <c r="F1320" s="38">
        <v>60</v>
      </c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</row>
    <row r="1321" spans="1:22" ht="12.75" customHeight="1" x14ac:dyDescent="0.2">
      <c r="A1321" s="6" t="s">
        <v>598</v>
      </c>
      <c r="B1321" s="6" t="s">
        <v>6</v>
      </c>
      <c r="C1321" s="7">
        <v>214089</v>
      </c>
      <c r="D1321" s="8">
        <v>27313.200000000001</v>
      </c>
      <c r="E1321" s="9" t="s">
        <v>16</v>
      </c>
      <c r="F1321" s="38">
        <v>60</v>
      </c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</row>
    <row r="1322" spans="1:22" ht="12.75" customHeight="1" x14ac:dyDescent="0.2">
      <c r="A1322" s="6" t="s">
        <v>596</v>
      </c>
      <c r="B1322" s="6" t="s">
        <v>6</v>
      </c>
      <c r="C1322" s="7">
        <v>214100</v>
      </c>
      <c r="D1322" s="8">
        <v>33355.199999999997</v>
      </c>
      <c r="E1322" s="9" t="s">
        <v>16</v>
      </c>
      <c r="F1322" s="38">
        <v>60</v>
      </c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</row>
    <row r="1323" spans="1:22" ht="12.75" customHeight="1" x14ac:dyDescent="0.2">
      <c r="A1323" s="6" t="s">
        <v>607</v>
      </c>
      <c r="B1323" s="6" t="s">
        <v>6</v>
      </c>
      <c r="C1323" s="7">
        <v>214133</v>
      </c>
      <c r="D1323" s="8">
        <v>53272.799999999996</v>
      </c>
      <c r="E1323" s="9" t="s">
        <v>16</v>
      </c>
      <c r="F1323" s="38">
        <v>60</v>
      </c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</row>
    <row r="1324" spans="1:22" ht="12.75" customHeight="1" x14ac:dyDescent="0.2">
      <c r="A1324" s="6" t="s">
        <v>610</v>
      </c>
      <c r="B1324" s="6" t="s">
        <v>6</v>
      </c>
      <c r="C1324" s="7">
        <v>214147</v>
      </c>
      <c r="D1324" s="8">
        <v>56108.4</v>
      </c>
      <c r="E1324" s="9" t="s">
        <v>16</v>
      </c>
      <c r="F1324" s="38">
        <v>60</v>
      </c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</row>
    <row r="1325" spans="1:22" ht="12.75" customHeight="1" x14ac:dyDescent="0.2">
      <c r="A1325" s="6" t="s">
        <v>616</v>
      </c>
      <c r="B1325" s="6" t="s">
        <v>6</v>
      </c>
      <c r="C1325" s="7">
        <v>214181</v>
      </c>
      <c r="D1325" s="8">
        <v>29058</v>
      </c>
      <c r="E1325" s="9" t="s">
        <v>16</v>
      </c>
      <c r="F1325" s="38">
        <v>60</v>
      </c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</row>
    <row r="1326" spans="1:22" ht="12.75" customHeight="1" x14ac:dyDescent="0.2">
      <c r="A1326" s="6" t="s">
        <v>519</v>
      </c>
      <c r="B1326" s="6" t="s">
        <v>6</v>
      </c>
      <c r="C1326" s="7">
        <v>214189</v>
      </c>
      <c r="D1326" s="8">
        <v>41091.599999999999</v>
      </c>
      <c r="E1326" s="9" t="s">
        <v>16</v>
      </c>
      <c r="F1326" s="38">
        <v>60</v>
      </c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</row>
    <row r="1327" spans="1:22" ht="12.75" customHeight="1" x14ac:dyDescent="0.2">
      <c r="A1327" s="6" t="s">
        <v>622</v>
      </c>
      <c r="B1327" s="6" t="s">
        <v>6</v>
      </c>
      <c r="C1327" s="7">
        <v>214246</v>
      </c>
      <c r="D1327" s="8">
        <v>31382.399999999998</v>
      </c>
      <c r="E1327" s="9" t="s">
        <v>16</v>
      </c>
      <c r="F1327" s="38">
        <v>60</v>
      </c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</row>
    <row r="1328" spans="1:22" ht="12.75" customHeight="1" x14ac:dyDescent="0.2">
      <c r="A1328" s="6" t="s">
        <v>630</v>
      </c>
      <c r="B1328" s="6" t="s">
        <v>6</v>
      </c>
      <c r="C1328" s="7">
        <v>215819</v>
      </c>
      <c r="D1328" s="8">
        <v>25982.399999999998</v>
      </c>
      <c r="E1328" s="9" t="s">
        <v>7</v>
      </c>
      <c r="F1328" s="38">
        <v>60</v>
      </c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</row>
    <row r="1329" spans="1:22" ht="12.75" customHeight="1" x14ac:dyDescent="0.2">
      <c r="A1329" s="6" t="s">
        <v>632</v>
      </c>
      <c r="B1329" s="6" t="s">
        <v>6</v>
      </c>
      <c r="C1329" s="7">
        <v>215826</v>
      </c>
      <c r="D1329" s="8">
        <v>21678</v>
      </c>
      <c r="E1329" s="9" t="s">
        <v>16</v>
      </c>
      <c r="F1329" s="38">
        <v>60</v>
      </c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</row>
    <row r="1330" spans="1:22" ht="12.75" customHeight="1" x14ac:dyDescent="0.2">
      <c r="A1330" s="6" t="s">
        <v>639</v>
      </c>
      <c r="B1330" s="6" t="s">
        <v>6</v>
      </c>
      <c r="C1330" s="7">
        <v>217711</v>
      </c>
      <c r="D1330" s="8">
        <v>99996</v>
      </c>
      <c r="E1330" s="9" t="s">
        <v>16</v>
      </c>
      <c r="F1330" s="38">
        <v>60</v>
      </c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</row>
    <row r="1331" spans="1:22" ht="12.75" customHeight="1" x14ac:dyDescent="0.2">
      <c r="A1331" s="6" t="s">
        <v>640</v>
      </c>
      <c r="B1331" s="6" t="s">
        <v>6</v>
      </c>
      <c r="C1331" s="7">
        <v>218536</v>
      </c>
      <c r="D1331" s="8">
        <v>41725.199999999997</v>
      </c>
      <c r="E1331" s="9" t="s">
        <v>16</v>
      </c>
      <c r="F1331" s="38">
        <v>60</v>
      </c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</row>
    <row r="1332" spans="1:22" ht="12.75" customHeight="1" x14ac:dyDescent="0.2">
      <c r="A1332" s="6" t="s">
        <v>642</v>
      </c>
      <c r="B1332" s="6" t="s">
        <v>6</v>
      </c>
      <c r="C1332" s="7">
        <v>223502</v>
      </c>
      <c r="D1332" s="8">
        <v>45518.400000000001</v>
      </c>
      <c r="E1332" s="9" t="s">
        <v>7</v>
      </c>
      <c r="F1332" s="38">
        <v>60</v>
      </c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</row>
    <row r="1333" spans="1:22" ht="12.75" customHeight="1" x14ac:dyDescent="0.2">
      <c r="A1333" s="6" t="s">
        <v>68</v>
      </c>
      <c r="B1333" s="6" t="s">
        <v>6</v>
      </c>
      <c r="C1333" s="7">
        <v>197078</v>
      </c>
      <c r="D1333" s="8">
        <v>26954.399999999998</v>
      </c>
      <c r="E1333" s="9" t="s">
        <v>16</v>
      </c>
      <c r="F1333" s="38">
        <v>60</v>
      </c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</row>
    <row r="1334" spans="1:22" ht="12.75" customHeight="1" x14ac:dyDescent="0.2">
      <c r="A1334" s="6" t="s">
        <v>70</v>
      </c>
      <c r="B1334" s="6" t="s">
        <v>6</v>
      </c>
      <c r="C1334" s="7">
        <v>197102</v>
      </c>
      <c r="D1334" s="8">
        <v>32210.399999999998</v>
      </c>
      <c r="E1334" s="9" t="s">
        <v>16</v>
      </c>
      <c r="F1334" s="38">
        <v>60</v>
      </c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</row>
    <row r="1335" spans="1:22" ht="12.75" customHeight="1" x14ac:dyDescent="0.2">
      <c r="A1335" s="6" t="s">
        <v>217</v>
      </c>
      <c r="B1335" s="6" t="s">
        <v>6</v>
      </c>
      <c r="C1335" s="7">
        <v>197103</v>
      </c>
      <c r="D1335" s="8">
        <v>35736</v>
      </c>
      <c r="E1335" s="9" t="s">
        <v>16</v>
      </c>
      <c r="F1335" s="38">
        <v>60</v>
      </c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</row>
    <row r="1336" spans="1:22" ht="12.75" customHeight="1" x14ac:dyDescent="0.2">
      <c r="A1336" s="6" t="s">
        <v>203</v>
      </c>
      <c r="B1336" s="6" t="s">
        <v>6</v>
      </c>
      <c r="C1336" s="7">
        <v>195326</v>
      </c>
      <c r="D1336" s="8">
        <v>36594</v>
      </c>
      <c r="E1336" s="9" t="s">
        <v>16</v>
      </c>
      <c r="F1336" s="38">
        <v>60</v>
      </c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</row>
    <row r="1337" spans="1:22" ht="12.75" customHeight="1" x14ac:dyDescent="0.2">
      <c r="A1337" s="6" t="s">
        <v>355</v>
      </c>
      <c r="B1337" s="6" t="s">
        <v>6</v>
      </c>
      <c r="C1337" s="7">
        <v>197100</v>
      </c>
      <c r="D1337" s="8">
        <v>34599.599999999999</v>
      </c>
      <c r="E1337" s="9" t="s">
        <v>7</v>
      </c>
      <c r="F1337" s="38">
        <v>60</v>
      </c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</row>
    <row r="1338" spans="1:22" ht="12.75" customHeight="1" x14ac:dyDescent="0.2">
      <c r="A1338" s="6" t="s">
        <v>356</v>
      </c>
      <c r="B1338" s="6" t="s">
        <v>6</v>
      </c>
      <c r="C1338" s="7">
        <v>197106</v>
      </c>
      <c r="D1338" s="8">
        <v>34366.799999999996</v>
      </c>
      <c r="E1338" s="9" t="s">
        <v>7</v>
      </c>
      <c r="F1338" s="38">
        <v>60</v>
      </c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</row>
    <row r="1339" spans="1:22" ht="12.75" customHeight="1" x14ac:dyDescent="0.2">
      <c r="A1339" s="6" t="s">
        <v>358</v>
      </c>
      <c r="B1339" s="6" t="s">
        <v>6</v>
      </c>
      <c r="C1339" s="7">
        <v>197105</v>
      </c>
      <c r="D1339" s="8">
        <v>32991.599999999999</v>
      </c>
      <c r="E1339" s="9" t="s">
        <v>7</v>
      </c>
      <c r="F1339" s="38">
        <v>60</v>
      </c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</row>
    <row r="1340" spans="1:22" ht="12.75" customHeight="1" x14ac:dyDescent="0.2">
      <c r="A1340" s="6" t="s">
        <v>364</v>
      </c>
      <c r="B1340" s="6" t="s">
        <v>6</v>
      </c>
      <c r="C1340" s="7">
        <v>211434</v>
      </c>
      <c r="D1340" s="8">
        <v>35724</v>
      </c>
      <c r="E1340" s="9" t="s">
        <v>7</v>
      </c>
      <c r="F1340" s="38">
        <v>60</v>
      </c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</row>
    <row r="1341" spans="1:22" ht="12.75" customHeight="1" x14ac:dyDescent="0.2">
      <c r="A1341" s="6" t="s">
        <v>413</v>
      </c>
      <c r="B1341" s="6" t="s">
        <v>6</v>
      </c>
      <c r="C1341" s="7">
        <v>203552</v>
      </c>
      <c r="D1341" s="8">
        <v>23042.399999999998</v>
      </c>
      <c r="E1341" s="9" t="s">
        <v>16</v>
      </c>
      <c r="F1341" s="38">
        <v>60</v>
      </c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</row>
    <row r="1342" spans="1:22" ht="12.75" customHeight="1" x14ac:dyDescent="0.2">
      <c r="A1342" s="6" t="s">
        <v>414</v>
      </c>
      <c r="B1342" s="6" t="s">
        <v>6</v>
      </c>
      <c r="C1342" s="7">
        <v>203558</v>
      </c>
      <c r="D1342" s="8">
        <v>27435.599999999999</v>
      </c>
      <c r="E1342" s="9" t="s">
        <v>16</v>
      </c>
      <c r="F1342" s="38">
        <v>60</v>
      </c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</row>
    <row r="1343" spans="1:22" ht="12.75" customHeight="1" x14ac:dyDescent="0.2">
      <c r="A1343" s="6" t="s">
        <v>415</v>
      </c>
      <c r="B1343" s="6" t="s">
        <v>6</v>
      </c>
      <c r="C1343" s="7">
        <v>203555</v>
      </c>
      <c r="D1343" s="8">
        <v>6957.5999999999995</v>
      </c>
      <c r="E1343" s="9" t="s">
        <v>16</v>
      </c>
      <c r="F1343" s="38">
        <v>60</v>
      </c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</row>
    <row r="1344" spans="1:22" ht="12.75" customHeight="1" x14ac:dyDescent="0.2">
      <c r="A1344" s="6" t="s">
        <v>416</v>
      </c>
      <c r="B1344" s="6" t="s">
        <v>6</v>
      </c>
      <c r="C1344" s="7">
        <v>203544</v>
      </c>
      <c r="D1344" s="8">
        <v>22660.799999999999</v>
      </c>
      <c r="E1344" s="9" t="s">
        <v>7</v>
      </c>
      <c r="F1344" s="38">
        <v>60</v>
      </c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</row>
    <row r="1345" spans="1:22" ht="12.75" customHeight="1" x14ac:dyDescent="0.2">
      <c r="A1345" s="6" t="s">
        <v>417</v>
      </c>
      <c r="B1345" s="6" t="s">
        <v>6</v>
      </c>
      <c r="C1345" s="7">
        <v>203547</v>
      </c>
      <c r="D1345" s="8">
        <v>33540</v>
      </c>
      <c r="E1345" s="9" t="s">
        <v>7</v>
      </c>
      <c r="F1345" s="38">
        <v>60</v>
      </c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</row>
    <row r="1346" spans="1:22" ht="12.75" customHeight="1" x14ac:dyDescent="0.2">
      <c r="A1346" s="6" t="s">
        <v>478</v>
      </c>
      <c r="B1346" s="6" t="s">
        <v>479</v>
      </c>
      <c r="C1346" s="7">
        <v>213713</v>
      </c>
      <c r="D1346" s="8">
        <v>7954.7999999999993</v>
      </c>
      <c r="E1346" s="9" t="s">
        <v>16</v>
      </c>
      <c r="F1346" s="36">
        <v>12</v>
      </c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</row>
    <row r="1347" spans="1:22" ht="12.75" customHeight="1" x14ac:dyDescent="0.2">
      <c r="A1347" s="6" t="s">
        <v>480</v>
      </c>
      <c r="B1347" s="6" t="s">
        <v>479</v>
      </c>
      <c r="C1347" s="7">
        <v>213715</v>
      </c>
      <c r="D1347" s="8">
        <v>6846</v>
      </c>
      <c r="E1347" s="9" t="s">
        <v>16</v>
      </c>
      <c r="F1347" s="36">
        <v>12</v>
      </c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</row>
    <row r="1348" spans="1:22" ht="12.75" customHeight="1" x14ac:dyDescent="0.2">
      <c r="A1348" s="6" t="s">
        <v>454</v>
      </c>
      <c r="B1348" s="6" t="s">
        <v>479</v>
      </c>
      <c r="C1348" s="7">
        <v>213716</v>
      </c>
      <c r="D1348" s="8">
        <v>7966.7999999999993</v>
      </c>
      <c r="E1348" s="9" t="s">
        <v>16</v>
      </c>
      <c r="F1348" s="36">
        <v>12</v>
      </c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</row>
    <row r="1349" spans="1:22" ht="12.75" customHeight="1" x14ac:dyDescent="0.2">
      <c r="A1349" s="6" t="s">
        <v>540</v>
      </c>
      <c r="B1349" s="6" t="s">
        <v>479</v>
      </c>
      <c r="C1349" s="7">
        <v>213910</v>
      </c>
      <c r="D1349" s="8">
        <v>7809.5999999999995</v>
      </c>
      <c r="E1349" s="9" t="s">
        <v>7</v>
      </c>
      <c r="F1349" s="36">
        <v>12</v>
      </c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</row>
    <row r="1350" spans="1:22" ht="12.75" customHeight="1" x14ac:dyDescent="0.2">
      <c r="A1350" s="6" t="s">
        <v>596</v>
      </c>
      <c r="B1350" s="6" t="s">
        <v>479</v>
      </c>
      <c r="C1350" s="7">
        <v>214083</v>
      </c>
      <c r="D1350" s="8">
        <v>7512</v>
      </c>
      <c r="E1350" s="9" t="s">
        <v>16</v>
      </c>
      <c r="F1350" s="36">
        <v>12</v>
      </c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</row>
    <row r="1351" spans="1:22" ht="12.75" customHeight="1" x14ac:dyDescent="0.2">
      <c r="A1351" s="6" t="s">
        <v>613</v>
      </c>
      <c r="B1351" s="6" t="s">
        <v>479</v>
      </c>
      <c r="C1351" s="7">
        <v>214152</v>
      </c>
      <c r="D1351" s="8">
        <v>7808.4</v>
      </c>
      <c r="E1351" s="9" t="s">
        <v>16</v>
      </c>
      <c r="F1351" s="36">
        <v>12</v>
      </c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</row>
    <row r="1352" spans="1:22" ht="12.75" customHeight="1" x14ac:dyDescent="0.2">
      <c r="A1352" s="6" t="s">
        <v>622</v>
      </c>
      <c r="B1352" s="6" t="s">
        <v>479</v>
      </c>
      <c r="C1352" s="7">
        <v>214245</v>
      </c>
      <c r="D1352" s="8">
        <v>8469.6</v>
      </c>
      <c r="E1352" s="9" t="s">
        <v>16</v>
      </c>
      <c r="F1352" s="36">
        <v>12</v>
      </c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</row>
    <row r="1353" spans="1:22" ht="12.75" customHeight="1" x14ac:dyDescent="0.2">
      <c r="A1353" s="6" t="s">
        <v>311</v>
      </c>
      <c r="B1353" s="6" t="s">
        <v>312</v>
      </c>
      <c r="C1353" s="7">
        <v>188108</v>
      </c>
      <c r="D1353" s="8">
        <v>9318</v>
      </c>
      <c r="E1353" s="9" t="s">
        <v>16</v>
      </c>
      <c r="F1353" s="36">
        <f t="shared" ref="F1353:F1355" si="22">6*0.24</f>
        <v>1.44</v>
      </c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</row>
    <row r="1354" spans="1:22" ht="12.75" customHeight="1" x14ac:dyDescent="0.2">
      <c r="A1354" s="6" t="s">
        <v>313</v>
      </c>
      <c r="B1354" s="6" t="s">
        <v>312</v>
      </c>
      <c r="C1354" s="7">
        <v>188162</v>
      </c>
      <c r="D1354" s="8">
        <v>10434</v>
      </c>
      <c r="E1354" s="9" t="s">
        <v>16</v>
      </c>
      <c r="F1354" s="36">
        <f t="shared" si="22"/>
        <v>1.44</v>
      </c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</row>
    <row r="1355" spans="1:22" ht="12.75" customHeight="1" x14ac:dyDescent="0.2">
      <c r="A1355" s="6" t="s">
        <v>350</v>
      </c>
      <c r="B1355" s="6" t="s">
        <v>312</v>
      </c>
      <c r="C1355" s="7">
        <v>193745</v>
      </c>
      <c r="D1355" s="8">
        <v>10428</v>
      </c>
      <c r="E1355" s="9" t="s">
        <v>16</v>
      </c>
      <c r="F1355" s="36">
        <f t="shared" si="22"/>
        <v>1.44</v>
      </c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</row>
  </sheetData>
  <autoFilter ref="A4:V1355" xr:uid="{00000000-0009-0000-0000-000005000000}">
    <sortState xmlns:xlrd2="http://schemas.microsoft.com/office/spreadsheetml/2017/richdata2" ref="A4:V1355">
      <sortCondition ref="B4:B1355"/>
    </sortState>
  </autoFilter>
  <pageMargins left="0.70866141732283472" right="0.70866141732283472" top="0.74803149606299213" bottom="0.74803149606299213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V465"/>
  <sheetViews>
    <sheetView workbookViewId="0"/>
  </sheetViews>
  <sheetFormatPr baseColWidth="10" defaultColWidth="14.5" defaultRowHeight="15" customHeight="1" x14ac:dyDescent="0.2"/>
  <cols>
    <col min="1" max="1" width="31" customWidth="1"/>
    <col min="2" max="2" width="20.33203125" customWidth="1"/>
    <col min="3" max="3" width="9.6640625" customWidth="1"/>
    <col min="4" max="22" width="16.1640625" customWidth="1"/>
  </cols>
  <sheetData>
    <row r="1" spans="1:22" ht="37.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2" t="s">
        <v>689</v>
      </c>
      <c r="G1" s="11" t="s">
        <v>690</v>
      </c>
      <c r="H1" s="11" t="s">
        <v>691</v>
      </c>
      <c r="I1" s="11" t="s">
        <v>692</v>
      </c>
      <c r="J1" s="12" t="s">
        <v>693</v>
      </c>
      <c r="K1" s="12" t="s">
        <v>694</v>
      </c>
      <c r="L1" s="12" t="s">
        <v>695</v>
      </c>
      <c r="M1" s="12" t="s">
        <v>696</v>
      </c>
      <c r="N1" s="12" t="s">
        <v>697</v>
      </c>
      <c r="O1" s="12" t="s">
        <v>694</v>
      </c>
      <c r="P1" s="12" t="s">
        <v>696</v>
      </c>
      <c r="Q1" s="12" t="s">
        <v>697</v>
      </c>
      <c r="R1" s="12" t="s">
        <v>698</v>
      </c>
      <c r="S1" s="12" t="s">
        <v>699</v>
      </c>
      <c r="T1" s="12" t="s">
        <v>700</v>
      </c>
      <c r="U1" s="12" t="s">
        <v>701</v>
      </c>
      <c r="V1" s="12" t="s">
        <v>702</v>
      </c>
    </row>
    <row r="2" spans="1:22" ht="12.75" customHeight="1" x14ac:dyDescent="0.2">
      <c r="A2" s="6"/>
      <c r="B2" s="6"/>
      <c r="C2" s="7"/>
      <c r="D2" s="8"/>
      <c r="E2" s="9"/>
      <c r="F2" s="12" t="s">
        <v>703</v>
      </c>
      <c r="G2" s="11" t="s">
        <v>704</v>
      </c>
      <c r="H2" s="11" t="s">
        <v>704</v>
      </c>
      <c r="I2" s="11" t="s">
        <v>705</v>
      </c>
      <c r="J2" s="12" t="s">
        <v>706</v>
      </c>
      <c r="K2" s="12" t="s">
        <v>706</v>
      </c>
      <c r="L2" s="12" t="s">
        <v>706</v>
      </c>
      <c r="M2" s="12" t="s">
        <v>706</v>
      </c>
      <c r="N2" s="12" t="s">
        <v>706</v>
      </c>
      <c r="O2" s="12" t="s">
        <v>705</v>
      </c>
      <c r="P2" s="12" t="s">
        <v>705</v>
      </c>
      <c r="Q2" s="12" t="s">
        <v>705</v>
      </c>
      <c r="R2" s="12" t="s">
        <v>705</v>
      </c>
      <c r="S2" s="12" t="s">
        <v>705</v>
      </c>
      <c r="T2" s="12" t="s">
        <v>705</v>
      </c>
      <c r="U2" s="12" t="s">
        <v>705</v>
      </c>
      <c r="V2" s="12" t="s">
        <v>705</v>
      </c>
    </row>
    <row r="3" spans="1:22" ht="12.75" customHeight="1" x14ac:dyDescent="0.2">
      <c r="A3" s="6"/>
      <c r="B3" s="6"/>
      <c r="C3" s="7"/>
      <c r="D3" s="8"/>
      <c r="E3" s="9"/>
      <c r="F3" s="33"/>
      <c r="G3" s="14"/>
      <c r="H3" s="14">
        <v>0.55000000000000004</v>
      </c>
      <c r="I3" s="14"/>
      <c r="J3" s="15"/>
      <c r="K3" s="16"/>
      <c r="L3" s="17">
        <v>0.19</v>
      </c>
      <c r="M3" s="18">
        <v>500</v>
      </c>
      <c r="N3" s="18">
        <v>500</v>
      </c>
      <c r="O3" s="16"/>
      <c r="P3" s="16"/>
      <c r="Q3" s="16"/>
      <c r="R3" s="17">
        <v>0.12</v>
      </c>
      <c r="S3" s="16"/>
      <c r="T3" s="16"/>
      <c r="U3" s="16"/>
      <c r="V3" s="16"/>
    </row>
    <row r="4" spans="1:22" ht="13.5" customHeight="1" x14ac:dyDescent="0.2">
      <c r="A4" s="19"/>
      <c r="B4" s="19"/>
      <c r="C4" s="34"/>
      <c r="D4" s="20"/>
      <c r="E4" s="21"/>
      <c r="F4" s="35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2.75" customHeight="1" x14ac:dyDescent="0.2">
      <c r="A5" s="6" t="s">
        <v>14</v>
      </c>
      <c r="B5" s="6" t="s">
        <v>15</v>
      </c>
      <c r="C5" s="7">
        <v>110286</v>
      </c>
      <c r="D5" s="8">
        <v>101336.4</v>
      </c>
      <c r="E5" s="9" t="s">
        <v>16</v>
      </c>
      <c r="F5" s="36">
        <v>208</v>
      </c>
      <c r="G5" s="25"/>
      <c r="H5" s="14">
        <f t="shared" ref="H5:H259" si="0">H$3+G5</f>
        <v>0.55000000000000004</v>
      </c>
      <c r="I5" s="25">
        <f ca="1">IFERROR(__xludf.DUMMYFUNCTION("ROUND(D5*GOOGLEFINANCE(""RUBKZT"")*H5)"),434930)</f>
        <v>434930</v>
      </c>
      <c r="J5" s="26">
        <f ca="1">IFERROR(__xludf.DUMMYFUNCTION("ROUND(I5*GOOGLEFINANCE(""KZTEUR""))"),911)</f>
        <v>911</v>
      </c>
      <c r="K5" s="26">
        <f t="shared" ref="K5:K259" ca="1" si="1">ROUND(J5/F5*1000,0)</f>
        <v>4380</v>
      </c>
      <c r="L5" s="26">
        <f t="shared" ref="L5:L259" ca="1" si="2">K5*L$3</f>
        <v>832.2</v>
      </c>
      <c r="M5" s="26">
        <f t="shared" ref="M5:N5" si="3">M$3</f>
        <v>500</v>
      </c>
      <c r="N5" s="26">
        <f t="shared" si="3"/>
        <v>500</v>
      </c>
      <c r="O5" s="26">
        <f ca="1">IFERROR(__xludf.DUMMYFUNCTION("ROUND(GOOGLEFINANCE(""Currency:EURKZT"")*K5)"),2091755)</f>
        <v>2091755</v>
      </c>
      <c r="P5" s="26">
        <f ca="1">IFERROR(__xludf.DUMMYFUNCTION("ROUND(GOOGLEFINANCE(""Currency:EURKZT"")*M5)"),238785)</f>
        <v>238785</v>
      </c>
      <c r="Q5" s="26">
        <f ca="1">IFERROR(__xludf.DUMMYFUNCTION("ROUND(GOOGLEFINANCE(""Currency:EURKZT"")*N5)"),238785)</f>
        <v>238785</v>
      </c>
      <c r="R5" s="26">
        <f t="shared" ref="R5:R259" ca="1" si="4">ROUND(O5*R$3,0)</f>
        <v>251011</v>
      </c>
      <c r="S5" s="26">
        <f t="shared" ref="S5:S259" ca="1" si="5">SUM(O5:R5)</f>
        <v>2820336</v>
      </c>
      <c r="T5" s="26">
        <f ca="1">IFERROR(__xludf.DUMMYFUNCTION("ROUND(GOOGLEFINANCE(""Currency:EURKZT"")*L5+S5)"),3217769)</f>
        <v>3217769</v>
      </c>
      <c r="U5" s="26">
        <f ca="1">IFERROR(__xludf.DUMMYFUNCTION("D5*GOOGLEFINANCE(""RUBKZT"")*1000/F5"),3801831.31317025)</f>
        <v>3801831.31317025</v>
      </c>
      <c r="V5" s="27">
        <f t="shared" ref="V5:V259" ca="1" si="6">(U5-T5)/T5</f>
        <v>0.18151157313351271</v>
      </c>
    </row>
    <row r="6" spans="1:22" ht="12.75" customHeight="1" x14ac:dyDescent="0.2">
      <c r="A6" s="6" t="s">
        <v>26</v>
      </c>
      <c r="B6" s="6" t="s">
        <v>15</v>
      </c>
      <c r="C6" s="7">
        <v>110445</v>
      </c>
      <c r="D6" s="8">
        <v>105602.4</v>
      </c>
      <c r="E6" s="9" t="s">
        <v>16</v>
      </c>
      <c r="F6" s="36">
        <v>208</v>
      </c>
      <c r="G6" s="25"/>
      <c r="H6" s="14">
        <f t="shared" si="0"/>
        <v>0.55000000000000004</v>
      </c>
      <c r="I6" s="25">
        <f ca="1">IFERROR(__xludf.DUMMYFUNCTION("ROUND(D6*GOOGLEFINANCE(""RUBKZT"")*H6)"),453239)</f>
        <v>453239</v>
      </c>
      <c r="J6" s="26">
        <f ca="1">IFERROR(__xludf.DUMMYFUNCTION("ROUND(I6*GOOGLEFINANCE(""KZTEUR""))"),949)</f>
        <v>949</v>
      </c>
      <c r="K6" s="26">
        <f t="shared" ca="1" si="1"/>
        <v>4563</v>
      </c>
      <c r="L6" s="26">
        <f t="shared" ca="1" si="2"/>
        <v>866.97</v>
      </c>
      <c r="M6" s="26">
        <f t="shared" ref="M6:N6" si="7">M$3</f>
        <v>500</v>
      </c>
      <c r="N6" s="26">
        <f t="shared" si="7"/>
        <v>500</v>
      </c>
      <c r="O6" s="26">
        <f ca="1">IFERROR(__xludf.DUMMYFUNCTION("ROUND(GOOGLEFINANCE(""Currency:EURKZT"")*K6)"),2179150)</f>
        <v>2179150</v>
      </c>
      <c r="P6" s="26">
        <f ca="1">IFERROR(__xludf.DUMMYFUNCTION("ROUND(GOOGLEFINANCE(""Currency:EURKZT"")*M6)"),238785)</f>
        <v>238785</v>
      </c>
      <c r="Q6" s="26">
        <f ca="1">IFERROR(__xludf.DUMMYFUNCTION("ROUND(GOOGLEFINANCE(""Currency:EURKZT"")*N6)"),238785)</f>
        <v>238785</v>
      </c>
      <c r="R6" s="26">
        <f t="shared" ca="1" si="4"/>
        <v>261498</v>
      </c>
      <c r="S6" s="26">
        <f t="shared" ca="1" si="5"/>
        <v>2918218</v>
      </c>
      <c r="T6" s="26">
        <f ca="1">IFERROR(__xludf.DUMMYFUNCTION("ROUND(GOOGLEFINANCE(""Currency:EURKZT"")*L6+S6)"),3332257)</f>
        <v>3332257</v>
      </c>
      <c r="U6" s="26">
        <f ca="1">IFERROR(__xludf.DUMMYFUNCTION("D6*GOOGLEFINANCE(""RUBKZT"")*1000/F6"),3961878.56550983)</f>
        <v>3961878.5655098301</v>
      </c>
      <c r="V6" s="27">
        <f t="shared" ca="1" si="6"/>
        <v>0.18894748079449758</v>
      </c>
    </row>
    <row r="7" spans="1:22" ht="12.75" customHeight="1" x14ac:dyDescent="0.2">
      <c r="A7" s="6" t="s">
        <v>27</v>
      </c>
      <c r="B7" s="6" t="s">
        <v>15</v>
      </c>
      <c r="C7" s="7">
        <v>110448</v>
      </c>
      <c r="D7" s="8">
        <v>122041.2</v>
      </c>
      <c r="E7" s="9" t="s">
        <v>16</v>
      </c>
      <c r="F7" s="36">
        <v>208</v>
      </c>
      <c r="G7" s="25"/>
      <c r="H7" s="14">
        <f t="shared" si="0"/>
        <v>0.55000000000000004</v>
      </c>
      <c r="I7" s="25">
        <f ca="1">IFERROR(__xludf.DUMMYFUNCTION("ROUND(D7*GOOGLEFINANCE(""RUBKZT"")*H7)"),523793)</f>
        <v>523793</v>
      </c>
      <c r="J7" s="26">
        <f ca="1">IFERROR(__xludf.DUMMYFUNCTION("ROUND(I7*GOOGLEFINANCE(""KZTEUR""))"),1097)</f>
        <v>1097</v>
      </c>
      <c r="K7" s="26">
        <f t="shared" ca="1" si="1"/>
        <v>5274</v>
      </c>
      <c r="L7" s="26">
        <f t="shared" ca="1" si="2"/>
        <v>1002.0600000000001</v>
      </c>
      <c r="M7" s="26">
        <f t="shared" ref="M7:N7" si="8">M$3</f>
        <v>500</v>
      </c>
      <c r="N7" s="26">
        <f t="shared" si="8"/>
        <v>500</v>
      </c>
      <c r="O7" s="26">
        <f ca="1">IFERROR(__xludf.DUMMYFUNCTION("ROUND(GOOGLEFINANCE(""Currency:EURKZT"")*K7)"),2518702)</f>
        <v>2518702</v>
      </c>
      <c r="P7" s="26">
        <f ca="1">IFERROR(__xludf.DUMMYFUNCTION("ROUND(GOOGLEFINANCE(""Currency:EURKZT"")*M7)"),238785)</f>
        <v>238785</v>
      </c>
      <c r="Q7" s="26">
        <f ca="1">IFERROR(__xludf.DUMMYFUNCTION("ROUND(GOOGLEFINANCE(""Currency:EURKZT"")*N7)"),238785)</f>
        <v>238785</v>
      </c>
      <c r="R7" s="26">
        <f t="shared" ca="1" si="4"/>
        <v>302244</v>
      </c>
      <c r="S7" s="26">
        <f t="shared" ca="1" si="5"/>
        <v>3298516</v>
      </c>
      <c r="T7" s="26">
        <f ca="1">IFERROR(__xludf.DUMMYFUNCTION("ROUND(GOOGLEFINANCE(""Currency:EURKZT"")*L7+S7)"),3777069)</f>
        <v>3777069</v>
      </c>
      <c r="U7" s="26">
        <f ca="1">IFERROR(__xludf.DUMMYFUNCTION("D7*GOOGLEFINANCE(""RUBKZT"")*1000/F7"),4578611.98598799)</f>
        <v>4578611.9859879902</v>
      </c>
      <c r="V7" s="27">
        <f t="shared" ca="1" si="6"/>
        <v>0.21221295824566355</v>
      </c>
    </row>
    <row r="8" spans="1:22" ht="12.75" customHeight="1" x14ac:dyDescent="0.2">
      <c r="A8" s="6" t="s">
        <v>28</v>
      </c>
      <c r="B8" s="6" t="s">
        <v>15</v>
      </c>
      <c r="C8" s="7">
        <v>110451</v>
      </c>
      <c r="D8" s="8">
        <v>125828.4</v>
      </c>
      <c r="E8" s="9" t="s">
        <v>16</v>
      </c>
      <c r="F8" s="36">
        <v>208</v>
      </c>
      <c r="G8" s="25"/>
      <c r="H8" s="14">
        <f t="shared" si="0"/>
        <v>0.55000000000000004</v>
      </c>
      <c r="I8" s="25">
        <f ca="1">IFERROR(__xludf.DUMMYFUNCTION("ROUND(D8*GOOGLEFINANCE(""RUBKZT"")*H8)"),540048)</f>
        <v>540048</v>
      </c>
      <c r="J8" s="26">
        <f ca="1">IFERROR(__xludf.DUMMYFUNCTION("ROUND(I8*GOOGLEFINANCE(""KZTEUR""))"),1131)</f>
        <v>1131</v>
      </c>
      <c r="K8" s="26">
        <f t="shared" ca="1" si="1"/>
        <v>5438</v>
      </c>
      <c r="L8" s="26">
        <f t="shared" ca="1" si="2"/>
        <v>1033.22</v>
      </c>
      <c r="M8" s="26">
        <f t="shared" ref="M8:N8" si="9">M$3</f>
        <v>500</v>
      </c>
      <c r="N8" s="26">
        <f t="shared" si="9"/>
        <v>500</v>
      </c>
      <c r="O8" s="26">
        <f ca="1">IFERROR(__xludf.DUMMYFUNCTION("ROUND(GOOGLEFINANCE(""Currency:EURKZT"")*K8)"),2597024)</f>
        <v>2597024</v>
      </c>
      <c r="P8" s="26">
        <f ca="1">IFERROR(__xludf.DUMMYFUNCTION("ROUND(GOOGLEFINANCE(""Currency:EURKZT"")*M8)"),238785)</f>
        <v>238785</v>
      </c>
      <c r="Q8" s="26">
        <f ca="1">IFERROR(__xludf.DUMMYFUNCTION("ROUND(GOOGLEFINANCE(""Currency:EURKZT"")*N8)"),238785)</f>
        <v>238785</v>
      </c>
      <c r="R8" s="26">
        <f t="shared" ca="1" si="4"/>
        <v>311643</v>
      </c>
      <c r="S8" s="26">
        <f t="shared" ca="1" si="5"/>
        <v>3386237</v>
      </c>
      <c r="T8" s="26">
        <f ca="1">IFERROR(__xludf.DUMMYFUNCTION("ROUND(GOOGLEFINANCE(""Currency:EURKZT"")*L8+S8)"),3879671)</f>
        <v>3879671</v>
      </c>
      <c r="U8" s="26">
        <f ca="1">IFERROR(__xludf.DUMMYFUNCTION("D8*GOOGLEFINANCE(""RUBKZT"")*1000/F8"),4720696.12899325)</f>
        <v>4720696.1289932504</v>
      </c>
      <c r="V8" s="27">
        <f t="shared" ca="1" si="6"/>
        <v>0.21677743524985763</v>
      </c>
    </row>
    <row r="9" spans="1:22" ht="12.75" customHeight="1" x14ac:dyDescent="0.2">
      <c r="A9" s="6" t="s">
        <v>29</v>
      </c>
      <c r="B9" s="6" t="s">
        <v>15</v>
      </c>
      <c r="C9" s="7">
        <v>110452</v>
      </c>
      <c r="D9" s="8">
        <v>128630.39999999999</v>
      </c>
      <c r="E9" s="9" t="s">
        <v>16</v>
      </c>
      <c r="F9" s="36">
        <v>208</v>
      </c>
      <c r="G9" s="25"/>
      <c r="H9" s="14">
        <f t="shared" si="0"/>
        <v>0.55000000000000004</v>
      </c>
      <c r="I9" s="25">
        <f ca="1">IFERROR(__xludf.DUMMYFUNCTION("ROUND(D9*GOOGLEFINANCE(""RUBKZT"")*H9)"),552074)</f>
        <v>552074</v>
      </c>
      <c r="J9" s="26">
        <f ca="1">IFERROR(__xludf.DUMMYFUNCTION("ROUND(I9*GOOGLEFINANCE(""KZTEUR""))"),1156)</f>
        <v>1156</v>
      </c>
      <c r="K9" s="26">
        <f t="shared" ca="1" si="1"/>
        <v>5558</v>
      </c>
      <c r="L9" s="26">
        <f t="shared" ca="1" si="2"/>
        <v>1056.02</v>
      </c>
      <c r="M9" s="26">
        <f t="shared" ref="M9:N9" si="10">M$3</f>
        <v>500</v>
      </c>
      <c r="N9" s="26">
        <f t="shared" si="10"/>
        <v>500</v>
      </c>
      <c r="O9" s="26">
        <f ca="1">IFERROR(__xludf.DUMMYFUNCTION("ROUND(GOOGLEFINANCE(""Currency:EURKZT"")*K9)"),2654332)</f>
        <v>2654332</v>
      </c>
      <c r="P9" s="26">
        <f ca="1">IFERROR(__xludf.DUMMYFUNCTION("ROUND(GOOGLEFINANCE(""Currency:EURKZT"")*M9)"),238785)</f>
        <v>238785</v>
      </c>
      <c r="Q9" s="26">
        <f ca="1">IFERROR(__xludf.DUMMYFUNCTION("ROUND(GOOGLEFINANCE(""Currency:EURKZT"")*N9)"),238785)</f>
        <v>238785</v>
      </c>
      <c r="R9" s="26">
        <f t="shared" ca="1" si="4"/>
        <v>318520</v>
      </c>
      <c r="S9" s="26">
        <f t="shared" ca="1" si="5"/>
        <v>3450422</v>
      </c>
      <c r="T9" s="26">
        <f ca="1">IFERROR(__xludf.DUMMYFUNCTION("ROUND(GOOGLEFINANCE(""Currency:EURKZT"")*L9+S9)"),3954745)</f>
        <v>3954745</v>
      </c>
      <c r="U9" s="26">
        <f ca="1">IFERROR(__xludf.DUMMYFUNCTION("D9*GOOGLEFINANCE(""RUBKZT"")*1000/F9"),4825818.58587452)</f>
        <v>4825818.5858745202</v>
      </c>
      <c r="V9" s="27">
        <f t="shared" ca="1" si="6"/>
        <v>0.22026036719801662</v>
      </c>
    </row>
    <row r="10" spans="1:22" ht="12.75" customHeight="1" x14ac:dyDescent="0.2">
      <c r="A10" s="6" t="s">
        <v>30</v>
      </c>
      <c r="B10" s="6" t="s">
        <v>15</v>
      </c>
      <c r="C10" s="7">
        <v>110454</v>
      </c>
      <c r="D10" s="8">
        <v>131360.4</v>
      </c>
      <c r="E10" s="9" t="s">
        <v>16</v>
      </c>
      <c r="F10" s="36">
        <v>208</v>
      </c>
      <c r="G10" s="25"/>
      <c r="H10" s="14">
        <f t="shared" si="0"/>
        <v>0.55000000000000004</v>
      </c>
      <c r="I10" s="25">
        <f ca="1">IFERROR(__xludf.DUMMYFUNCTION("ROUND(D10*GOOGLEFINANCE(""RUBKZT"")*H10)"),563791)</f>
        <v>563791</v>
      </c>
      <c r="J10" s="26">
        <f ca="1">IFERROR(__xludf.DUMMYFUNCTION("ROUND(I10*GOOGLEFINANCE(""KZTEUR""))"),1181)</f>
        <v>1181</v>
      </c>
      <c r="K10" s="26">
        <f t="shared" ca="1" si="1"/>
        <v>5678</v>
      </c>
      <c r="L10" s="26">
        <f t="shared" ca="1" si="2"/>
        <v>1078.82</v>
      </c>
      <c r="M10" s="26">
        <f t="shared" ref="M10:N10" si="11">M$3</f>
        <v>500</v>
      </c>
      <c r="N10" s="26">
        <f t="shared" si="11"/>
        <v>500</v>
      </c>
      <c r="O10" s="26">
        <f ca="1">IFERROR(__xludf.DUMMYFUNCTION("ROUND(GOOGLEFINANCE(""Currency:EURKZT"")*K10)"),2711640)</f>
        <v>2711640</v>
      </c>
      <c r="P10" s="26">
        <f ca="1">IFERROR(__xludf.DUMMYFUNCTION("ROUND(GOOGLEFINANCE(""Currency:EURKZT"")*M10)"),238785)</f>
        <v>238785</v>
      </c>
      <c r="Q10" s="26">
        <f ca="1">IFERROR(__xludf.DUMMYFUNCTION("ROUND(GOOGLEFINANCE(""Currency:EURKZT"")*N10)"),238785)</f>
        <v>238785</v>
      </c>
      <c r="R10" s="26">
        <f t="shared" ca="1" si="4"/>
        <v>325397</v>
      </c>
      <c r="S10" s="26">
        <f t="shared" ca="1" si="5"/>
        <v>3514607</v>
      </c>
      <c r="T10" s="26">
        <f ca="1">IFERROR(__xludf.DUMMYFUNCTION("ROUND(GOOGLEFINANCE(""Currency:EURKZT"")*L10+S10)"),4029819)</f>
        <v>4029819</v>
      </c>
      <c r="U10" s="26">
        <f ca="1">IFERROR(__xludf.DUMMYFUNCTION("D10*GOOGLEFINANCE(""RUBKZT"")*1000/F10"),4928239.82330702)</f>
        <v>4928239.8233070197</v>
      </c>
      <c r="V10" s="27">
        <f t="shared" ca="1" si="6"/>
        <v>0.22294321985851465</v>
      </c>
    </row>
    <row r="11" spans="1:22" ht="12.75" customHeight="1" x14ac:dyDescent="0.2">
      <c r="A11" s="6" t="s">
        <v>31</v>
      </c>
      <c r="B11" s="6" t="s">
        <v>15</v>
      </c>
      <c r="C11" s="7">
        <v>110468</v>
      </c>
      <c r="D11" s="8">
        <v>97052.4</v>
      </c>
      <c r="E11" s="9" t="s">
        <v>16</v>
      </c>
      <c r="F11" s="36">
        <v>208</v>
      </c>
      <c r="G11" s="25"/>
      <c r="H11" s="14">
        <f t="shared" si="0"/>
        <v>0.55000000000000004</v>
      </c>
      <c r="I11" s="25">
        <f ca="1">IFERROR(__xludf.DUMMYFUNCTION("ROUND(D11*GOOGLEFINANCE(""RUBKZT"")*H11)"),416543)</f>
        <v>416543</v>
      </c>
      <c r="J11" s="26">
        <f ca="1">IFERROR(__xludf.DUMMYFUNCTION("ROUND(I11*GOOGLEFINANCE(""KZTEUR""))"),872)</f>
        <v>872</v>
      </c>
      <c r="K11" s="26">
        <f t="shared" ca="1" si="1"/>
        <v>4192</v>
      </c>
      <c r="L11" s="26">
        <f t="shared" ca="1" si="2"/>
        <v>796.48</v>
      </c>
      <c r="M11" s="26">
        <f t="shared" ref="M11:N11" si="12">M$3</f>
        <v>500</v>
      </c>
      <c r="N11" s="26">
        <f t="shared" si="12"/>
        <v>500</v>
      </c>
      <c r="O11" s="26">
        <f ca="1">IFERROR(__xludf.DUMMYFUNCTION("ROUND(GOOGLEFINANCE(""Currency:EURKZT"")*K11)"),2001972)</f>
        <v>2001972</v>
      </c>
      <c r="P11" s="26">
        <f ca="1">IFERROR(__xludf.DUMMYFUNCTION("ROUND(GOOGLEFINANCE(""Currency:EURKZT"")*M11)"),238785)</f>
        <v>238785</v>
      </c>
      <c r="Q11" s="26">
        <f ca="1">IFERROR(__xludf.DUMMYFUNCTION("ROUND(GOOGLEFINANCE(""Currency:EURKZT"")*N11)"),238785)</f>
        <v>238785</v>
      </c>
      <c r="R11" s="26">
        <f t="shared" ca="1" si="4"/>
        <v>240237</v>
      </c>
      <c r="S11" s="26">
        <f t="shared" ca="1" si="5"/>
        <v>2719779</v>
      </c>
      <c r="T11" s="26">
        <f ca="1">IFERROR(__xludf.DUMMYFUNCTION("ROUND(GOOGLEFINANCE(""Currency:EURKZT"")*L11+S11)"),3100154)</f>
        <v>3100154</v>
      </c>
      <c r="U11" s="26">
        <f ca="1">IFERROR(__xludf.DUMMYFUNCTION("D11*GOOGLEFINANCE(""RUBKZT"")*1000/F11"),3641108.75596848)</f>
        <v>3641108.7559684799</v>
      </c>
      <c r="V11" s="27">
        <f t="shared" ca="1" si="6"/>
        <v>0.17449286582811044</v>
      </c>
    </row>
    <row r="12" spans="1:22" ht="12.75" customHeight="1" x14ac:dyDescent="0.2">
      <c r="A12" s="6" t="s">
        <v>33</v>
      </c>
      <c r="B12" s="6" t="s">
        <v>15</v>
      </c>
      <c r="C12" s="7">
        <v>110471</v>
      </c>
      <c r="D12" s="8">
        <v>96885.599999999991</v>
      </c>
      <c r="E12" s="9" t="s">
        <v>16</v>
      </c>
      <c r="F12" s="36">
        <v>208</v>
      </c>
      <c r="G12" s="25"/>
      <c r="H12" s="14">
        <f t="shared" si="0"/>
        <v>0.55000000000000004</v>
      </c>
      <c r="I12" s="25">
        <f ca="1">IFERROR(__xludf.DUMMYFUNCTION("ROUND(D12*GOOGLEFINANCE(""RUBKZT"")*H12)"),415827)</f>
        <v>415827</v>
      </c>
      <c r="J12" s="26">
        <f ca="1">IFERROR(__xludf.DUMMYFUNCTION("ROUND(I12*GOOGLEFINANCE(""KZTEUR""))"),871)</f>
        <v>871</v>
      </c>
      <c r="K12" s="26">
        <f t="shared" ca="1" si="1"/>
        <v>4188</v>
      </c>
      <c r="L12" s="26">
        <f t="shared" ca="1" si="2"/>
        <v>795.72</v>
      </c>
      <c r="M12" s="26">
        <f t="shared" ref="M12:N12" si="13">M$3</f>
        <v>500</v>
      </c>
      <c r="N12" s="26">
        <f t="shared" si="13"/>
        <v>500</v>
      </c>
      <c r="O12" s="26">
        <f ca="1">IFERROR(__xludf.DUMMYFUNCTION("ROUND(GOOGLEFINANCE(""Currency:EURKZT"")*K12)"),2000062)</f>
        <v>2000062</v>
      </c>
      <c r="P12" s="26">
        <f ca="1">IFERROR(__xludf.DUMMYFUNCTION("ROUND(GOOGLEFINANCE(""Currency:EURKZT"")*M12)"),238785)</f>
        <v>238785</v>
      </c>
      <c r="Q12" s="26">
        <f ca="1">IFERROR(__xludf.DUMMYFUNCTION("ROUND(GOOGLEFINANCE(""Currency:EURKZT"")*N12)"),238785)</f>
        <v>238785</v>
      </c>
      <c r="R12" s="26">
        <f t="shared" ca="1" si="4"/>
        <v>240007</v>
      </c>
      <c r="S12" s="26">
        <f t="shared" ca="1" si="5"/>
        <v>2717639</v>
      </c>
      <c r="T12" s="26">
        <f ca="1">IFERROR(__xludf.DUMMYFUNCTION("ROUND(GOOGLEFINANCE(""Currency:EURKZT"")*L12+S12)"),3097651)</f>
        <v>3097651</v>
      </c>
      <c r="U12" s="26">
        <f ca="1">IFERROR(__xludf.DUMMYFUNCTION("D12*GOOGLEFINANCE(""RUBKZT"")*1000/F12"),3634850.93091216)</f>
        <v>3634850.9309121598</v>
      </c>
      <c r="V12" s="27">
        <f t="shared" ca="1" si="6"/>
        <v>0.17342170919582608</v>
      </c>
    </row>
    <row r="13" spans="1:22" ht="12.75" customHeight="1" x14ac:dyDescent="0.2">
      <c r="A13" s="6" t="s">
        <v>34</v>
      </c>
      <c r="B13" s="6" t="s">
        <v>15</v>
      </c>
      <c r="C13" s="7">
        <v>110473</v>
      </c>
      <c r="D13" s="8">
        <v>92440.8</v>
      </c>
      <c r="E13" s="9" t="s">
        <v>16</v>
      </c>
      <c r="F13" s="36">
        <v>208</v>
      </c>
      <c r="G13" s="25"/>
      <c r="H13" s="14">
        <f t="shared" si="0"/>
        <v>0.55000000000000004</v>
      </c>
      <c r="I13" s="25">
        <f ca="1">IFERROR(__xludf.DUMMYFUNCTION("ROUND(D13*GOOGLEFINANCE(""RUBKZT"")*H13)"),396750)</f>
        <v>396750</v>
      </c>
      <c r="J13" s="26">
        <f ca="1">IFERROR(__xludf.DUMMYFUNCTION("ROUND(I13*GOOGLEFINANCE(""KZTEUR""))"),831)</f>
        <v>831</v>
      </c>
      <c r="K13" s="26">
        <f t="shared" ca="1" si="1"/>
        <v>3995</v>
      </c>
      <c r="L13" s="26">
        <f t="shared" ca="1" si="2"/>
        <v>759.05</v>
      </c>
      <c r="M13" s="26">
        <f t="shared" ref="M13:N13" si="14">M$3</f>
        <v>500</v>
      </c>
      <c r="N13" s="26">
        <f t="shared" si="14"/>
        <v>500</v>
      </c>
      <c r="O13" s="26">
        <f ca="1">IFERROR(__xludf.DUMMYFUNCTION("ROUND(GOOGLEFINANCE(""Currency:EURKZT"")*K13)"),1907891)</f>
        <v>1907891</v>
      </c>
      <c r="P13" s="26">
        <f ca="1">IFERROR(__xludf.DUMMYFUNCTION("ROUND(GOOGLEFINANCE(""Currency:EURKZT"")*M13)"),238785)</f>
        <v>238785</v>
      </c>
      <c r="Q13" s="26">
        <f ca="1">IFERROR(__xludf.DUMMYFUNCTION("ROUND(GOOGLEFINANCE(""Currency:EURKZT"")*N13)"),238785)</f>
        <v>238785</v>
      </c>
      <c r="R13" s="26">
        <f t="shared" ca="1" si="4"/>
        <v>228947</v>
      </c>
      <c r="S13" s="26">
        <f t="shared" ca="1" si="5"/>
        <v>2614408</v>
      </c>
      <c r="T13" s="26">
        <f ca="1">IFERROR(__xludf.DUMMYFUNCTION("ROUND(GOOGLEFINANCE(""Currency:EURKZT"")*L13+S13)"),2976907)</f>
        <v>2976907</v>
      </c>
      <c r="U13" s="26">
        <f ca="1">IFERROR(__xludf.DUMMYFUNCTION("D13*GOOGLEFINANCE(""RUBKZT"")*1000/F13"),3468095.65027481)</f>
        <v>3468095.6502748099</v>
      </c>
      <c r="V13" s="27">
        <f t="shared" ca="1" si="6"/>
        <v>0.16499966249359146</v>
      </c>
    </row>
    <row r="14" spans="1:22" ht="12.75" customHeight="1" x14ac:dyDescent="0.2">
      <c r="A14" s="6" t="s">
        <v>35</v>
      </c>
      <c r="B14" s="6" t="s">
        <v>15</v>
      </c>
      <c r="C14" s="7">
        <v>110474</v>
      </c>
      <c r="D14" s="8">
        <v>87324</v>
      </c>
      <c r="E14" s="9" t="s">
        <v>16</v>
      </c>
      <c r="F14" s="36">
        <v>208</v>
      </c>
      <c r="G14" s="25"/>
      <c r="H14" s="14">
        <f t="shared" si="0"/>
        <v>0.55000000000000004</v>
      </c>
      <c r="I14" s="25">
        <f ca="1">IFERROR(__xludf.DUMMYFUNCTION("ROUND(D14*GOOGLEFINANCE(""RUBKZT"")*H14)"),374789)</f>
        <v>374789</v>
      </c>
      <c r="J14" s="26">
        <f ca="1">IFERROR(__xludf.DUMMYFUNCTION("ROUND(I14*GOOGLEFINANCE(""KZTEUR""))"),785)</f>
        <v>785</v>
      </c>
      <c r="K14" s="26">
        <f t="shared" ca="1" si="1"/>
        <v>3774</v>
      </c>
      <c r="L14" s="26">
        <f t="shared" ca="1" si="2"/>
        <v>717.06000000000006</v>
      </c>
      <c r="M14" s="26">
        <f t="shared" ref="M14:N14" si="15">M$3</f>
        <v>500</v>
      </c>
      <c r="N14" s="26">
        <f t="shared" si="15"/>
        <v>500</v>
      </c>
      <c r="O14" s="26">
        <f ca="1">IFERROR(__xludf.DUMMYFUNCTION("ROUND(GOOGLEFINANCE(""Currency:EURKZT"")*K14)"),1802348)</f>
        <v>1802348</v>
      </c>
      <c r="P14" s="26">
        <f ca="1">IFERROR(__xludf.DUMMYFUNCTION("ROUND(GOOGLEFINANCE(""Currency:EURKZT"")*M14)"),238785)</f>
        <v>238785</v>
      </c>
      <c r="Q14" s="26">
        <f ca="1">IFERROR(__xludf.DUMMYFUNCTION("ROUND(GOOGLEFINANCE(""Currency:EURKZT"")*N14)"),238785)</f>
        <v>238785</v>
      </c>
      <c r="R14" s="26">
        <f t="shared" ca="1" si="4"/>
        <v>216282</v>
      </c>
      <c r="S14" s="26">
        <f t="shared" ca="1" si="5"/>
        <v>2496200</v>
      </c>
      <c r="T14" s="26">
        <f ca="1">IFERROR(__xludf.DUMMYFUNCTION("ROUND(GOOGLEFINANCE(""Currency:EURKZT"")*L14+S14)"),2838646)</f>
        <v>2838646</v>
      </c>
      <c r="U14" s="26">
        <f ca="1">IFERROR(__xludf.DUMMYFUNCTION("D14*GOOGLEFINANCE(""RUBKZT"")*1000/F14"),3276128.98811561)</f>
        <v>3276128.9881156101</v>
      </c>
      <c r="V14" s="27">
        <f t="shared" ca="1" si="6"/>
        <v>0.15411678247855143</v>
      </c>
    </row>
    <row r="15" spans="1:22" ht="12.75" customHeight="1" x14ac:dyDescent="0.2">
      <c r="A15" s="6" t="s">
        <v>36</v>
      </c>
      <c r="B15" s="6" t="s">
        <v>15</v>
      </c>
      <c r="C15" s="7">
        <v>110477</v>
      </c>
      <c r="D15" s="8">
        <v>84873.599999999991</v>
      </c>
      <c r="E15" s="9" t="s">
        <v>16</v>
      </c>
      <c r="F15" s="36">
        <v>208</v>
      </c>
      <c r="G15" s="25"/>
      <c r="H15" s="14">
        <f t="shared" si="0"/>
        <v>0.55000000000000004</v>
      </c>
      <c r="I15" s="25">
        <f ca="1">IFERROR(__xludf.DUMMYFUNCTION("ROUND(D15*GOOGLEFINANCE(""RUBKZT"")*H15)"),364272)</f>
        <v>364272</v>
      </c>
      <c r="J15" s="26">
        <f ca="1">IFERROR(__xludf.DUMMYFUNCTION("ROUND(I15*GOOGLEFINANCE(""KZTEUR""))"),763)</f>
        <v>763</v>
      </c>
      <c r="K15" s="26">
        <f t="shared" ca="1" si="1"/>
        <v>3668</v>
      </c>
      <c r="L15" s="26">
        <f t="shared" ca="1" si="2"/>
        <v>696.92</v>
      </c>
      <c r="M15" s="26">
        <f t="shared" ref="M15:N15" si="16">M$3</f>
        <v>500</v>
      </c>
      <c r="N15" s="26">
        <f t="shared" si="16"/>
        <v>500</v>
      </c>
      <c r="O15" s="26">
        <f ca="1">IFERROR(__xludf.DUMMYFUNCTION("ROUND(GOOGLEFINANCE(""Currency:EURKZT"")*K15)"),1751725)</f>
        <v>1751725</v>
      </c>
      <c r="P15" s="26">
        <f ca="1">IFERROR(__xludf.DUMMYFUNCTION("ROUND(GOOGLEFINANCE(""Currency:EURKZT"")*M15)"),238785)</f>
        <v>238785</v>
      </c>
      <c r="Q15" s="26">
        <f ca="1">IFERROR(__xludf.DUMMYFUNCTION("ROUND(GOOGLEFINANCE(""Currency:EURKZT"")*N15)"),238785)</f>
        <v>238785</v>
      </c>
      <c r="R15" s="26">
        <f t="shared" ca="1" si="4"/>
        <v>210207</v>
      </c>
      <c r="S15" s="26">
        <f t="shared" ca="1" si="5"/>
        <v>2439502</v>
      </c>
      <c r="T15" s="26">
        <f ca="1">IFERROR(__xludf.DUMMYFUNCTION("ROUND(GOOGLEFINANCE(""Currency:EURKZT"")*L15+S15)"),2772330)</f>
        <v>2772330</v>
      </c>
      <c r="U15" s="26">
        <f ca="1">IFERROR(__xludf.DUMMYFUNCTION("D15*GOOGLEFINANCE(""RUBKZT"")*1000/F15"),3184197.48620916)</f>
        <v>3184197.4862091602</v>
      </c>
      <c r="V15" s="27">
        <f t="shared" ca="1" si="6"/>
        <v>0.14856365808152716</v>
      </c>
    </row>
    <row r="16" spans="1:22" ht="12.75" customHeight="1" x14ac:dyDescent="0.2">
      <c r="A16" s="6" t="s">
        <v>37</v>
      </c>
      <c r="B16" s="6" t="s">
        <v>15</v>
      </c>
      <c r="C16" s="7">
        <v>110480</v>
      </c>
      <c r="D16" s="8">
        <v>86988</v>
      </c>
      <c r="E16" s="9" t="s">
        <v>16</v>
      </c>
      <c r="F16" s="36">
        <v>208</v>
      </c>
      <c r="G16" s="25"/>
      <c r="H16" s="14">
        <f t="shared" si="0"/>
        <v>0.55000000000000004</v>
      </c>
      <c r="I16" s="25">
        <f ca="1">IFERROR(__xludf.DUMMYFUNCTION("ROUND(D16*GOOGLEFINANCE(""RUBKZT"")*H16)"),373347)</f>
        <v>373347</v>
      </c>
      <c r="J16" s="26">
        <f ca="1">IFERROR(__xludf.DUMMYFUNCTION("ROUND(I16*GOOGLEFINANCE(""KZTEUR""))"),782)</f>
        <v>782</v>
      </c>
      <c r="K16" s="26">
        <f t="shared" ca="1" si="1"/>
        <v>3760</v>
      </c>
      <c r="L16" s="26">
        <f t="shared" ca="1" si="2"/>
        <v>714.4</v>
      </c>
      <c r="M16" s="26">
        <f t="shared" ref="M16:N16" si="17">M$3</f>
        <v>500</v>
      </c>
      <c r="N16" s="26">
        <f t="shared" si="17"/>
        <v>500</v>
      </c>
      <c r="O16" s="26">
        <f ca="1">IFERROR(__xludf.DUMMYFUNCTION("ROUND(GOOGLEFINANCE(""Currency:EURKZT"")*K16)"),1795662)</f>
        <v>1795662</v>
      </c>
      <c r="P16" s="26">
        <f ca="1">IFERROR(__xludf.DUMMYFUNCTION("ROUND(GOOGLEFINANCE(""Currency:EURKZT"")*M16)"),238785)</f>
        <v>238785</v>
      </c>
      <c r="Q16" s="26">
        <f ca="1">IFERROR(__xludf.DUMMYFUNCTION("ROUND(GOOGLEFINANCE(""Currency:EURKZT"")*N16)"),238785)</f>
        <v>238785</v>
      </c>
      <c r="R16" s="26">
        <f t="shared" ca="1" si="4"/>
        <v>215479</v>
      </c>
      <c r="S16" s="26">
        <f t="shared" ca="1" si="5"/>
        <v>2488711</v>
      </c>
      <c r="T16" s="26">
        <f ca="1">IFERROR(__xludf.DUMMYFUNCTION("ROUND(GOOGLEFINANCE(""Currency:EURKZT"")*L16+S16)"),2829887)</f>
        <v>2829887</v>
      </c>
      <c r="U16" s="26">
        <f ca="1">IFERROR(__xludf.DUMMYFUNCTION("D16*GOOGLEFINANCE(""RUBKZT"")*1000/F16"),3263523.29735469)</f>
        <v>3263523.2973546898</v>
      </c>
      <c r="V16" s="27">
        <f t="shared" ca="1" si="6"/>
        <v>0.15323449217395951</v>
      </c>
    </row>
    <row r="17" spans="1:22" ht="12.75" customHeight="1" x14ac:dyDescent="0.2">
      <c r="A17" s="6" t="s">
        <v>38</v>
      </c>
      <c r="B17" s="6" t="s">
        <v>15</v>
      </c>
      <c r="C17" s="7">
        <v>110483</v>
      </c>
      <c r="D17" s="8">
        <v>102211.2</v>
      </c>
      <c r="E17" s="9" t="s">
        <v>16</v>
      </c>
      <c r="F17" s="36">
        <v>208</v>
      </c>
      <c r="G17" s="25"/>
      <c r="H17" s="14">
        <f t="shared" si="0"/>
        <v>0.55000000000000004</v>
      </c>
      <c r="I17" s="25">
        <f ca="1">IFERROR(__xludf.DUMMYFUNCTION("ROUND(D17*GOOGLEFINANCE(""RUBKZT"")*H17)"),438684)</f>
        <v>438684</v>
      </c>
      <c r="J17" s="26">
        <f ca="1">IFERROR(__xludf.DUMMYFUNCTION("ROUND(I17*GOOGLEFINANCE(""KZTEUR""))"),919)</f>
        <v>919</v>
      </c>
      <c r="K17" s="26">
        <f t="shared" ca="1" si="1"/>
        <v>4418</v>
      </c>
      <c r="L17" s="26">
        <f t="shared" ca="1" si="2"/>
        <v>839.42</v>
      </c>
      <c r="M17" s="26">
        <f t="shared" ref="M17:N17" si="18">M$3</f>
        <v>500</v>
      </c>
      <c r="N17" s="26">
        <f t="shared" si="18"/>
        <v>500</v>
      </c>
      <c r="O17" s="26">
        <f ca="1">IFERROR(__xludf.DUMMYFUNCTION("ROUND(GOOGLEFINANCE(""Currency:EURKZT"")*K17)"),2109903)</f>
        <v>2109903</v>
      </c>
      <c r="P17" s="26">
        <f ca="1">IFERROR(__xludf.DUMMYFUNCTION("ROUND(GOOGLEFINANCE(""Currency:EURKZT"")*M17)"),238785)</f>
        <v>238785</v>
      </c>
      <c r="Q17" s="26">
        <f ca="1">IFERROR(__xludf.DUMMYFUNCTION("ROUND(GOOGLEFINANCE(""Currency:EURKZT"")*N17)"),238785)</f>
        <v>238785</v>
      </c>
      <c r="R17" s="26">
        <f t="shared" ca="1" si="4"/>
        <v>253188</v>
      </c>
      <c r="S17" s="26">
        <f t="shared" ca="1" si="5"/>
        <v>2840661</v>
      </c>
      <c r="T17" s="26">
        <f ca="1">IFERROR(__xludf.DUMMYFUNCTION("ROUND(GOOGLEFINANCE(""Currency:EURKZT"")*L17+S17)"),3241542)</f>
        <v>3241542</v>
      </c>
      <c r="U17" s="26">
        <f ca="1">IFERROR(__xludf.DUMMYFUNCTION("D17*GOOGLEFINANCE(""RUBKZT"")*1000/F17"),3834651.12947279)</f>
        <v>3834651.1294727898</v>
      </c>
      <c r="V17" s="27">
        <f t="shared" ca="1" si="6"/>
        <v>0.18297129251226418</v>
      </c>
    </row>
    <row r="18" spans="1:22" ht="12.75" customHeight="1" x14ac:dyDescent="0.2">
      <c r="A18" s="6" t="s">
        <v>39</v>
      </c>
      <c r="B18" s="6" t="s">
        <v>15</v>
      </c>
      <c r="C18" s="7">
        <v>110486</v>
      </c>
      <c r="D18" s="8">
        <v>106150.8</v>
      </c>
      <c r="E18" s="9" t="s">
        <v>16</v>
      </c>
      <c r="F18" s="36">
        <v>208</v>
      </c>
      <c r="G18" s="25"/>
      <c r="H18" s="14">
        <f t="shared" si="0"/>
        <v>0.55000000000000004</v>
      </c>
      <c r="I18" s="25">
        <f ca="1">IFERROR(__xludf.DUMMYFUNCTION("ROUND(D18*GOOGLEFINANCE(""RUBKZT"")*H18)"),455593)</f>
        <v>455593</v>
      </c>
      <c r="J18" s="26">
        <f ca="1">IFERROR(__xludf.DUMMYFUNCTION("ROUND(I18*GOOGLEFINANCE(""KZTEUR""))"),954)</f>
        <v>954</v>
      </c>
      <c r="K18" s="26">
        <f t="shared" ca="1" si="1"/>
        <v>4587</v>
      </c>
      <c r="L18" s="26">
        <f t="shared" ca="1" si="2"/>
        <v>871.53</v>
      </c>
      <c r="M18" s="26">
        <f t="shared" ref="M18:N18" si="19">M$3</f>
        <v>500</v>
      </c>
      <c r="N18" s="26">
        <f t="shared" si="19"/>
        <v>500</v>
      </c>
      <c r="O18" s="26">
        <f ca="1">IFERROR(__xludf.DUMMYFUNCTION("ROUND(GOOGLEFINANCE(""Currency:EURKZT"")*K18)"),2190612)</f>
        <v>2190612</v>
      </c>
      <c r="P18" s="26">
        <f ca="1">IFERROR(__xludf.DUMMYFUNCTION("ROUND(GOOGLEFINANCE(""Currency:EURKZT"")*M18)"),238785)</f>
        <v>238785</v>
      </c>
      <c r="Q18" s="26">
        <f ca="1">IFERROR(__xludf.DUMMYFUNCTION("ROUND(GOOGLEFINANCE(""Currency:EURKZT"")*N18)"),238785)</f>
        <v>238785</v>
      </c>
      <c r="R18" s="26">
        <f t="shared" ca="1" si="4"/>
        <v>262873</v>
      </c>
      <c r="S18" s="26">
        <f t="shared" ca="1" si="5"/>
        <v>2931055</v>
      </c>
      <c r="T18" s="26">
        <f ca="1">IFERROR(__xludf.DUMMYFUNCTION("ROUND(GOOGLEFINANCE(""Currency:EURKZT"")*L18+S18)"),3347271)</f>
        <v>3347271</v>
      </c>
      <c r="U18" s="26">
        <f ca="1">IFERROR(__xludf.DUMMYFUNCTION("D18*GOOGLEFINANCE(""RUBKZT"")*1000/F18"),3982452.85364462)</f>
        <v>3982452.8536446202</v>
      </c>
      <c r="V18" s="27">
        <f t="shared" ca="1" si="6"/>
        <v>0.18976110797262014</v>
      </c>
    </row>
    <row r="19" spans="1:22" ht="12.75" customHeight="1" x14ac:dyDescent="0.2">
      <c r="A19" s="6" t="s">
        <v>40</v>
      </c>
      <c r="B19" s="6" t="s">
        <v>15</v>
      </c>
      <c r="C19" s="7">
        <v>110489</v>
      </c>
      <c r="D19" s="8">
        <v>108196.8</v>
      </c>
      <c r="E19" s="9" t="s">
        <v>16</v>
      </c>
      <c r="F19" s="36">
        <v>208</v>
      </c>
      <c r="G19" s="25"/>
      <c r="H19" s="14">
        <f t="shared" si="0"/>
        <v>0.55000000000000004</v>
      </c>
      <c r="I19" s="25">
        <f ca="1">IFERROR(__xludf.DUMMYFUNCTION("ROUND(D19*GOOGLEFINANCE(""RUBKZT"")*H19)"),464374)</f>
        <v>464374</v>
      </c>
      <c r="J19" s="26">
        <f ca="1">IFERROR(__xludf.DUMMYFUNCTION("ROUND(I19*GOOGLEFINANCE(""KZTEUR""))"),973)</f>
        <v>973</v>
      </c>
      <c r="K19" s="26">
        <f t="shared" ca="1" si="1"/>
        <v>4678</v>
      </c>
      <c r="L19" s="26">
        <f t="shared" ca="1" si="2"/>
        <v>888.82</v>
      </c>
      <c r="M19" s="26">
        <f t="shared" ref="M19:N19" si="20">M$3</f>
        <v>500</v>
      </c>
      <c r="N19" s="26">
        <f t="shared" si="20"/>
        <v>500</v>
      </c>
      <c r="O19" s="26">
        <f ca="1">IFERROR(__xludf.DUMMYFUNCTION("ROUND(GOOGLEFINANCE(""Currency:EURKZT"")*K19)"),2234071)</f>
        <v>2234071</v>
      </c>
      <c r="P19" s="26">
        <f ca="1">IFERROR(__xludf.DUMMYFUNCTION("ROUND(GOOGLEFINANCE(""Currency:EURKZT"")*M19)"),238785)</f>
        <v>238785</v>
      </c>
      <c r="Q19" s="26">
        <f ca="1">IFERROR(__xludf.DUMMYFUNCTION("ROUND(GOOGLEFINANCE(""Currency:EURKZT"")*N19)"),238785)</f>
        <v>238785</v>
      </c>
      <c r="R19" s="26">
        <f t="shared" ca="1" si="4"/>
        <v>268089</v>
      </c>
      <c r="S19" s="26">
        <f t="shared" ca="1" si="5"/>
        <v>2979730</v>
      </c>
      <c r="T19" s="26">
        <f ca="1">IFERROR(__xludf.DUMMYFUNCTION("ROUND(GOOGLEFINANCE(""Currency:EURKZT"")*L19+S19)"),3404203)</f>
        <v>3404203</v>
      </c>
      <c r="U19" s="26">
        <f ca="1">IFERROR(__xludf.DUMMYFUNCTION("D19*GOOGLEFINANCE(""RUBKZT"")*1000/F19"),4059212.50631381)</f>
        <v>4059212.5063138101</v>
      </c>
      <c r="V19" s="27">
        <f t="shared" ca="1" si="6"/>
        <v>0.19241199961160074</v>
      </c>
    </row>
    <row r="20" spans="1:22" ht="12.75" customHeight="1" x14ac:dyDescent="0.2">
      <c r="A20" s="6" t="s">
        <v>41</v>
      </c>
      <c r="B20" s="6" t="s">
        <v>15</v>
      </c>
      <c r="C20" s="7">
        <v>110492</v>
      </c>
      <c r="D20" s="8">
        <v>105026.4</v>
      </c>
      <c r="E20" s="9" t="s">
        <v>16</v>
      </c>
      <c r="F20" s="36">
        <v>208</v>
      </c>
      <c r="G20" s="25"/>
      <c r="H20" s="14">
        <f t="shared" si="0"/>
        <v>0.55000000000000004</v>
      </c>
      <c r="I20" s="25">
        <f ca="1">IFERROR(__xludf.DUMMYFUNCTION("ROUND(D20*GOOGLEFINANCE(""RUBKZT"")*H20)"),450767)</f>
        <v>450767</v>
      </c>
      <c r="J20" s="26">
        <f ca="1">IFERROR(__xludf.DUMMYFUNCTION("ROUND(I20*GOOGLEFINANCE(""KZTEUR""))"),944)</f>
        <v>944</v>
      </c>
      <c r="K20" s="26">
        <f t="shared" ca="1" si="1"/>
        <v>4538</v>
      </c>
      <c r="L20" s="26">
        <f t="shared" ca="1" si="2"/>
        <v>862.22</v>
      </c>
      <c r="M20" s="26">
        <f t="shared" ref="M20:N20" si="21">M$3</f>
        <v>500</v>
      </c>
      <c r="N20" s="26">
        <f t="shared" si="21"/>
        <v>500</v>
      </c>
      <c r="O20" s="26">
        <f ca="1">IFERROR(__xludf.DUMMYFUNCTION("ROUND(GOOGLEFINANCE(""Currency:EURKZT"")*K20)"),2167211)</f>
        <v>2167211</v>
      </c>
      <c r="P20" s="26">
        <f ca="1">IFERROR(__xludf.DUMMYFUNCTION("ROUND(GOOGLEFINANCE(""Currency:EURKZT"")*M20)"),238785)</f>
        <v>238785</v>
      </c>
      <c r="Q20" s="26">
        <f ca="1">IFERROR(__xludf.DUMMYFUNCTION("ROUND(GOOGLEFINANCE(""Currency:EURKZT"")*N20)"),238785)</f>
        <v>238785</v>
      </c>
      <c r="R20" s="26">
        <f t="shared" ca="1" si="4"/>
        <v>260065</v>
      </c>
      <c r="S20" s="26">
        <f t="shared" ca="1" si="5"/>
        <v>2904846</v>
      </c>
      <c r="T20" s="26">
        <f ca="1">IFERROR(__xludf.DUMMYFUNCTION("ROUND(GOOGLEFINANCE(""Currency:EURKZT"")*L20+S20)"),3316616)</f>
        <v>3316616</v>
      </c>
      <c r="U20" s="26">
        <f ca="1">IFERROR(__xludf.DUMMYFUNCTION("D20*GOOGLEFINANCE(""RUBKZT"")*1000/F20"),3940268.80991967)</f>
        <v>3940268.8099196702</v>
      </c>
      <c r="V20" s="27">
        <f t="shared" ca="1" si="6"/>
        <v>0.1880388956453416</v>
      </c>
    </row>
    <row r="21" spans="1:22" ht="12.75" customHeight="1" x14ac:dyDescent="0.2">
      <c r="A21" s="6" t="s">
        <v>42</v>
      </c>
      <c r="B21" s="6" t="s">
        <v>15</v>
      </c>
      <c r="C21" s="7">
        <v>110494</v>
      </c>
      <c r="D21" s="8">
        <v>107835.59999999999</v>
      </c>
      <c r="E21" s="9" t="s">
        <v>16</v>
      </c>
      <c r="F21" s="36">
        <v>208</v>
      </c>
      <c r="G21" s="25"/>
      <c r="H21" s="14">
        <f t="shared" si="0"/>
        <v>0.55000000000000004</v>
      </c>
      <c r="I21" s="25">
        <f ca="1">IFERROR(__xludf.DUMMYFUNCTION("ROUND(D21*GOOGLEFINANCE(""RUBKZT"")*H21)"),462824)</f>
        <v>462824</v>
      </c>
      <c r="J21" s="26">
        <f ca="1">IFERROR(__xludf.DUMMYFUNCTION("ROUND(I21*GOOGLEFINANCE(""KZTEUR""))"),969)</f>
        <v>969</v>
      </c>
      <c r="K21" s="26">
        <f t="shared" ca="1" si="1"/>
        <v>4659</v>
      </c>
      <c r="L21" s="26">
        <f t="shared" ca="1" si="2"/>
        <v>885.21</v>
      </c>
      <c r="M21" s="26">
        <f t="shared" ref="M21:N21" si="22">M$3</f>
        <v>500</v>
      </c>
      <c r="N21" s="26">
        <f t="shared" si="22"/>
        <v>500</v>
      </c>
      <c r="O21" s="26">
        <f ca="1">IFERROR(__xludf.DUMMYFUNCTION("ROUND(GOOGLEFINANCE(""Currency:EURKZT"")*K21)"),2224997)</f>
        <v>2224997</v>
      </c>
      <c r="P21" s="26">
        <f ca="1">IFERROR(__xludf.DUMMYFUNCTION("ROUND(GOOGLEFINANCE(""Currency:EURKZT"")*M21)"),238785)</f>
        <v>238785</v>
      </c>
      <c r="Q21" s="26">
        <f ca="1">IFERROR(__xludf.DUMMYFUNCTION("ROUND(GOOGLEFINANCE(""Currency:EURKZT"")*N21)"),238785)</f>
        <v>238785</v>
      </c>
      <c r="R21" s="26">
        <f t="shared" ca="1" si="4"/>
        <v>267000</v>
      </c>
      <c r="S21" s="26">
        <f t="shared" ca="1" si="5"/>
        <v>2969567</v>
      </c>
      <c r="T21" s="26">
        <f ca="1">IFERROR(__xludf.DUMMYFUNCTION("ROUND(GOOGLEFINANCE(""Currency:EURKZT"")*L21+S21)"),3392316)</f>
        <v>3392316</v>
      </c>
      <c r="U21" s="26">
        <f ca="1">IFERROR(__xludf.DUMMYFUNCTION("D21*GOOGLEFINANCE(""RUBKZT"")*1000/F21"),4045661.38874582)</f>
        <v>4045661.3887458201</v>
      </c>
      <c r="V21" s="27">
        <f t="shared" ca="1" si="6"/>
        <v>0.19259567467942848</v>
      </c>
    </row>
    <row r="22" spans="1:22" ht="12.75" customHeight="1" x14ac:dyDescent="0.2">
      <c r="A22" s="6" t="s">
        <v>43</v>
      </c>
      <c r="B22" s="6" t="s">
        <v>15</v>
      </c>
      <c r="C22" s="7">
        <v>110497</v>
      </c>
      <c r="D22" s="8">
        <v>103915.2</v>
      </c>
      <c r="E22" s="9" t="s">
        <v>16</v>
      </c>
      <c r="F22" s="36">
        <v>208</v>
      </c>
      <c r="G22" s="25"/>
      <c r="H22" s="14">
        <f t="shared" si="0"/>
        <v>0.55000000000000004</v>
      </c>
      <c r="I22" s="25">
        <f ca="1">IFERROR(__xludf.DUMMYFUNCTION("ROUND(D22*GOOGLEFINANCE(""RUBKZT"")*H22)"),445998)</f>
        <v>445998</v>
      </c>
      <c r="J22" s="26">
        <f ca="1">IFERROR(__xludf.DUMMYFUNCTION("ROUND(I22*GOOGLEFINANCE(""KZTEUR""))"),934)</f>
        <v>934</v>
      </c>
      <c r="K22" s="26">
        <f t="shared" ca="1" si="1"/>
        <v>4490</v>
      </c>
      <c r="L22" s="26">
        <f t="shared" ca="1" si="2"/>
        <v>853.1</v>
      </c>
      <c r="M22" s="26">
        <f t="shared" ref="M22:N22" si="23">M$3</f>
        <v>500</v>
      </c>
      <c r="N22" s="26">
        <f t="shared" si="23"/>
        <v>500</v>
      </c>
      <c r="O22" s="26">
        <f ca="1">IFERROR(__xludf.DUMMYFUNCTION("ROUND(GOOGLEFINANCE(""Currency:EURKZT"")*K22)"),2144288)</f>
        <v>2144288</v>
      </c>
      <c r="P22" s="26">
        <f ca="1">IFERROR(__xludf.DUMMYFUNCTION("ROUND(GOOGLEFINANCE(""Currency:EURKZT"")*M22)"),238785)</f>
        <v>238785</v>
      </c>
      <c r="Q22" s="26">
        <f ca="1">IFERROR(__xludf.DUMMYFUNCTION("ROUND(GOOGLEFINANCE(""Currency:EURKZT"")*N22)"),238785)</f>
        <v>238785</v>
      </c>
      <c r="R22" s="26">
        <f t="shared" ca="1" si="4"/>
        <v>257315</v>
      </c>
      <c r="S22" s="26">
        <f t="shared" ca="1" si="5"/>
        <v>2879173</v>
      </c>
      <c r="T22" s="26">
        <f ca="1">IFERROR(__xludf.DUMMYFUNCTION("ROUND(GOOGLEFINANCE(""Currency:EURKZT"")*L22+S22)"),3286588)</f>
        <v>3286588</v>
      </c>
      <c r="U22" s="26">
        <f ca="1">IFERROR(__xludf.DUMMYFUNCTION("D22*GOOGLEFINANCE(""RUBKZT"")*1000/F22"),3898579.98976033)</f>
        <v>3898579.9897603299</v>
      </c>
      <c r="V22" s="27">
        <f t="shared" ca="1" si="6"/>
        <v>0.18620891628653483</v>
      </c>
    </row>
    <row r="23" spans="1:22" ht="12.75" customHeight="1" x14ac:dyDescent="0.2">
      <c r="A23" s="6" t="s">
        <v>44</v>
      </c>
      <c r="B23" s="6" t="s">
        <v>15</v>
      </c>
      <c r="C23" s="7">
        <v>110499</v>
      </c>
      <c r="D23" s="8">
        <v>121561.2</v>
      </c>
      <c r="E23" s="9" t="s">
        <v>16</v>
      </c>
      <c r="F23" s="36">
        <v>208</v>
      </c>
      <c r="G23" s="25"/>
      <c r="H23" s="14">
        <f t="shared" si="0"/>
        <v>0.55000000000000004</v>
      </c>
      <c r="I23" s="25">
        <f ca="1">IFERROR(__xludf.DUMMYFUNCTION("ROUND(D23*GOOGLEFINANCE(""RUBKZT"")*H23)"),521733)</f>
        <v>521733</v>
      </c>
      <c r="J23" s="26">
        <f ca="1">IFERROR(__xludf.DUMMYFUNCTION("ROUND(I23*GOOGLEFINANCE(""KZTEUR""))"),1093)</f>
        <v>1093</v>
      </c>
      <c r="K23" s="26">
        <f t="shared" ca="1" si="1"/>
        <v>5255</v>
      </c>
      <c r="L23" s="26">
        <f t="shared" ca="1" si="2"/>
        <v>998.45</v>
      </c>
      <c r="M23" s="26">
        <f t="shared" ref="M23:N23" si="24">M$3</f>
        <v>500</v>
      </c>
      <c r="N23" s="26">
        <f t="shared" si="24"/>
        <v>500</v>
      </c>
      <c r="O23" s="26">
        <f ca="1">IFERROR(__xludf.DUMMYFUNCTION("ROUND(GOOGLEFINANCE(""Currency:EURKZT"")*K23)"),2509628)</f>
        <v>2509628</v>
      </c>
      <c r="P23" s="26">
        <f ca="1">IFERROR(__xludf.DUMMYFUNCTION("ROUND(GOOGLEFINANCE(""Currency:EURKZT"")*M23)"),238785)</f>
        <v>238785</v>
      </c>
      <c r="Q23" s="26">
        <f ca="1">IFERROR(__xludf.DUMMYFUNCTION("ROUND(GOOGLEFINANCE(""Currency:EURKZT"")*N23)"),238785)</f>
        <v>238785</v>
      </c>
      <c r="R23" s="26">
        <f t="shared" ca="1" si="4"/>
        <v>301155</v>
      </c>
      <c r="S23" s="26">
        <f t="shared" ca="1" si="5"/>
        <v>3288353</v>
      </c>
      <c r="T23" s="26">
        <f ca="1">IFERROR(__xludf.DUMMYFUNCTION("ROUND(GOOGLEFINANCE(""Currency:EURKZT"")*L23+S23)"),3765182)</f>
        <v>3765182</v>
      </c>
      <c r="U23" s="26">
        <f ca="1">IFERROR(__xludf.DUMMYFUNCTION("D23*GOOGLEFINANCE(""RUBKZT"")*1000/F23"),4560603.85632953)</f>
        <v>4560603.8563295295</v>
      </c>
      <c r="V23" s="27">
        <f t="shared" ca="1" si="6"/>
        <v>0.2112572131518555</v>
      </c>
    </row>
    <row r="24" spans="1:22" ht="12.75" customHeight="1" x14ac:dyDescent="0.2">
      <c r="A24" s="6" t="s">
        <v>45</v>
      </c>
      <c r="B24" s="6" t="s">
        <v>15</v>
      </c>
      <c r="C24" s="7">
        <v>110513</v>
      </c>
      <c r="D24" s="8">
        <v>245082</v>
      </c>
      <c r="E24" s="9" t="s">
        <v>16</v>
      </c>
      <c r="F24" s="36">
        <v>208</v>
      </c>
      <c r="G24" s="25"/>
      <c r="H24" s="14">
        <f t="shared" si="0"/>
        <v>0.55000000000000004</v>
      </c>
      <c r="I24" s="25">
        <f ca="1">IFERROR(__xludf.DUMMYFUNCTION("ROUND(D24*GOOGLEFINANCE(""RUBKZT"")*H24)"),1051877)</f>
        <v>1051877</v>
      </c>
      <c r="J24" s="26">
        <f ca="1">IFERROR(__xludf.DUMMYFUNCTION("ROUND(I24*GOOGLEFINANCE(""KZTEUR""))"),2203)</f>
        <v>2203</v>
      </c>
      <c r="K24" s="26">
        <f t="shared" ca="1" si="1"/>
        <v>10591</v>
      </c>
      <c r="L24" s="26">
        <f t="shared" ca="1" si="2"/>
        <v>2012.29</v>
      </c>
      <c r="M24" s="26">
        <f t="shared" ref="M24:N24" si="25">M$3</f>
        <v>500</v>
      </c>
      <c r="N24" s="26">
        <f t="shared" si="25"/>
        <v>500</v>
      </c>
      <c r="O24" s="26">
        <f ca="1">IFERROR(__xludf.DUMMYFUNCTION("ROUND(GOOGLEFINANCE(""Currency:EURKZT"")*K24)"),5057940)</f>
        <v>5057940</v>
      </c>
      <c r="P24" s="26">
        <f ca="1">IFERROR(__xludf.DUMMYFUNCTION("ROUND(GOOGLEFINANCE(""Currency:EURKZT"")*M24)"),238785)</f>
        <v>238785</v>
      </c>
      <c r="Q24" s="26">
        <f ca="1">IFERROR(__xludf.DUMMYFUNCTION("ROUND(GOOGLEFINANCE(""Currency:EURKZT"")*N24)"),238785)</f>
        <v>238785</v>
      </c>
      <c r="R24" s="26">
        <f t="shared" ca="1" si="4"/>
        <v>606953</v>
      </c>
      <c r="S24" s="26">
        <f t="shared" ca="1" si="5"/>
        <v>6142463</v>
      </c>
      <c r="T24" s="26">
        <f ca="1">IFERROR(__xludf.DUMMYFUNCTION("ROUND(GOOGLEFINANCE(""Currency:EURKZT"")*L24+S24)"),7103472)</f>
        <v>7103472</v>
      </c>
      <c r="U24" s="26">
        <f ca="1">IFERROR(__xludf.DUMMYFUNCTION("D24*GOOGLEFINANCE(""RUBKZT"")*1000/F24"),9194725.90198973)</f>
        <v>9194725.9019897301</v>
      </c>
      <c r="V24" s="27">
        <f t="shared" ca="1" si="6"/>
        <v>0.29439883791894023</v>
      </c>
    </row>
    <row r="25" spans="1:22" ht="12.75" customHeight="1" x14ac:dyDescent="0.2">
      <c r="A25" s="6" t="s">
        <v>50</v>
      </c>
      <c r="B25" s="6" t="s">
        <v>15</v>
      </c>
      <c r="C25" s="7">
        <v>110521</v>
      </c>
      <c r="D25" s="8">
        <v>117372</v>
      </c>
      <c r="E25" s="9" t="s">
        <v>16</v>
      </c>
      <c r="F25" s="36">
        <v>208</v>
      </c>
      <c r="G25" s="25"/>
      <c r="H25" s="14">
        <f t="shared" si="0"/>
        <v>0.55000000000000004</v>
      </c>
      <c r="I25" s="25">
        <f ca="1">IFERROR(__xludf.DUMMYFUNCTION("ROUND(D25*GOOGLEFINANCE(""RUBKZT"")*H25)"),503753)</f>
        <v>503753</v>
      </c>
      <c r="J25" s="26">
        <f ca="1">IFERROR(__xludf.DUMMYFUNCTION("ROUND(I25*GOOGLEFINANCE(""KZTEUR""))"),1055)</f>
        <v>1055</v>
      </c>
      <c r="K25" s="26">
        <f t="shared" ca="1" si="1"/>
        <v>5072</v>
      </c>
      <c r="L25" s="26">
        <f t="shared" ca="1" si="2"/>
        <v>963.68000000000006</v>
      </c>
      <c r="M25" s="26">
        <f t="shared" ref="M25:N25" si="26">M$3</f>
        <v>500</v>
      </c>
      <c r="N25" s="26">
        <f t="shared" si="26"/>
        <v>500</v>
      </c>
      <c r="O25" s="26">
        <f ca="1">IFERROR(__xludf.DUMMYFUNCTION("ROUND(GOOGLEFINANCE(""Currency:EURKZT"")*K25)"),2422233)</f>
        <v>2422233</v>
      </c>
      <c r="P25" s="26">
        <f ca="1">IFERROR(__xludf.DUMMYFUNCTION("ROUND(GOOGLEFINANCE(""Currency:EURKZT"")*M25)"),238785)</f>
        <v>238785</v>
      </c>
      <c r="Q25" s="26">
        <f ca="1">IFERROR(__xludf.DUMMYFUNCTION("ROUND(GOOGLEFINANCE(""Currency:EURKZT"")*N25)"),238785)</f>
        <v>238785</v>
      </c>
      <c r="R25" s="26">
        <f t="shared" ca="1" si="4"/>
        <v>290668</v>
      </c>
      <c r="S25" s="26">
        <f t="shared" ca="1" si="5"/>
        <v>3190471</v>
      </c>
      <c r="T25" s="26">
        <f ca="1">IFERROR(__xludf.DUMMYFUNCTION("ROUND(GOOGLEFINANCE(""Currency:EURKZT"")*L25+S25)"),3650695)</f>
        <v>3650695</v>
      </c>
      <c r="U25" s="26">
        <f ca="1">IFERROR(__xludf.DUMMYFUNCTION("D25*GOOGLEFINANCE(""RUBKZT"")*1000/F25"),4403437.9047353)</f>
        <v>4403437.9047352998</v>
      </c>
      <c r="V25" s="27">
        <f t="shared" ca="1" si="6"/>
        <v>0.20619167165027474</v>
      </c>
    </row>
    <row r="26" spans="1:22" ht="12.75" customHeight="1" x14ac:dyDescent="0.2">
      <c r="A26" s="6" t="s">
        <v>51</v>
      </c>
      <c r="B26" s="6" t="s">
        <v>15</v>
      </c>
      <c r="C26" s="7">
        <v>110523</v>
      </c>
      <c r="D26" s="8">
        <v>107094</v>
      </c>
      <c r="E26" s="9" t="s">
        <v>16</v>
      </c>
      <c r="F26" s="36">
        <v>208</v>
      </c>
      <c r="G26" s="25"/>
      <c r="H26" s="14">
        <f t="shared" si="0"/>
        <v>0.55000000000000004</v>
      </c>
      <c r="I26" s="25">
        <f ca="1">IFERROR(__xludf.DUMMYFUNCTION("ROUND(D26*GOOGLEFINANCE(""RUBKZT"")*H26)"),459641)</f>
        <v>459641</v>
      </c>
      <c r="J26" s="26">
        <f ca="1">IFERROR(__xludf.DUMMYFUNCTION("ROUND(I26*GOOGLEFINANCE(""KZTEUR""))"),963)</f>
        <v>963</v>
      </c>
      <c r="K26" s="26">
        <f t="shared" ca="1" si="1"/>
        <v>4630</v>
      </c>
      <c r="L26" s="26">
        <f t="shared" ca="1" si="2"/>
        <v>879.7</v>
      </c>
      <c r="M26" s="26">
        <f t="shared" ref="M26:N26" si="27">M$3</f>
        <v>500</v>
      </c>
      <c r="N26" s="26">
        <f t="shared" si="27"/>
        <v>500</v>
      </c>
      <c r="O26" s="26">
        <f ca="1">IFERROR(__xludf.DUMMYFUNCTION("ROUND(GOOGLEFINANCE(""Currency:EURKZT"")*K26)"),2211147)</f>
        <v>2211147</v>
      </c>
      <c r="P26" s="26">
        <f ca="1">IFERROR(__xludf.DUMMYFUNCTION("ROUND(GOOGLEFINANCE(""Currency:EURKZT"")*M26)"),238785)</f>
        <v>238785</v>
      </c>
      <c r="Q26" s="26">
        <f ca="1">IFERROR(__xludf.DUMMYFUNCTION("ROUND(GOOGLEFINANCE(""Currency:EURKZT"")*N26)"),238785)</f>
        <v>238785</v>
      </c>
      <c r="R26" s="26">
        <f t="shared" ca="1" si="4"/>
        <v>265338</v>
      </c>
      <c r="S26" s="26">
        <f t="shared" ca="1" si="5"/>
        <v>2954055</v>
      </c>
      <c r="T26" s="26">
        <f ca="1">IFERROR(__xludf.DUMMYFUNCTION("ROUND(GOOGLEFINANCE(""Currency:EURKZT"")*L26+S26)"),3374173)</f>
        <v>3374173</v>
      </c>
      <c r="U26" s="26">
        <f ca="1">IFERROR(__xludf.DUMMYFUNCTION("D26*GOOGLEFINANCE(""RUBKZT"")*1000/F26"),4017838.8284235)</f>
        <v>4017838.8284235001</v>
      </c>
      <c r="V26" s="27">
        <f t="shared" ca="1" si="6"/>
        <v>0.19076254490315109</v>
      </c>
    </row>
    <row r="27" spans="1:22" ht="12.75" customHeight="1" x14ac:dyDescent="0.2">
      <c r="A27" s="6" t="s">
        <v>52</v>
      </c>
      <c r="B27" s="6" t="s">
        <v>15</v>
      </c>
      <c r="C27" s="7">
        <v>110544</v>
      </c>
      <c r="D27" s="8">
        <v>107958</v>
      </c>
      <c r="E27" s="9" t="s">
        <v>16</v>
      </c>
      <c r="F27" s="36">
        <v>208</v>
      </c>
      <c r="G27" s="25"/>
      <c r="H27" s="14">
        <f t="shared" si="0"/>
        <v>0.55000000000000004</v>
      </c>
      <c r="I27" s="25">
        <f ca="1">IFERROR(__xludf.DUMMYFUNCTION("ROUND(D27*GOOGLEFINANCE(""RUBKZT"")*H27)"),463349)</f>
        <v>463349</v>
      </c>
      <c r="J27" s="26">
        <f ca="1">IFERROR(__xludf.DUMMYFUNCTION("ROUND(I27*GOOGLEFINANCE(""KZTEUR""))"),970)</f>
        <v>970</v>
      </c>
      <c r="K27" s="26">
        <f t="shared" ca="1" si="1"/>
        <v>4663</v>
      </c>
      <c r="L27" s="26">
        <f t="shared" ca="1" si="2"/>
        <v>885.97</v>
      </c>
      <c r="M27" s="26">
        <f t="shared" ref="M27:N27" si="28">M$3</f>
        <v>500</v>
      </c>
      <c r="N27" s="26">
        <f t="shared" si="28"/>
        <v>500</v>
      </c>
      <c r="O27" s="26">
        <f ca="1">IFERROR(__xludf.DUMMYFUNCTION("ROUND(GOOGLEFINANCE(""Currency:EURKZT"")*K27)"),2226907)</f>
        <v>2226907</v>
      </c>
      <c r="P27" s="26">
        <f ca="1">IFERROR(__xludf.DUMMYFUNCTION("ROUND(GOOGLEFINANCE(""Currency:EURKZT"")*M27)"),238785)</f>
        <v>238785</v>
      </c>
      <c r="Q27" s="26">
        <f ca="1">IFERROR(__xludf.DUMMYFUNCTION("ROUND(GOOGLEFINANCE(""Currency:EURKZT"")*N27)"),238785)</f>
        <v>238785</v>
      </c>
      <c r="R27" s="26">
        <f t="shared" ca="1" si="4"/>
        <v>267229</v>
      </c>
      <c r="S27" s="26">
        <f t="shared" ca="1" si="5"/>
        <v>2971706</v>
      </c>
      <c r="T27" s="26">
        <f ca="1">IFERROR(__xludf.DUMMYFUNCTION("ROUND(GOOGLEFINANCE(""Currency:EURKZT"")*L27+S27)"),3394818)</f>
        <v>3394818</v>
      </c>
      <c r="U27" s="26">
        <f ca="1">IFERROR(__xludf.DUMMYFUNCTION("D27*GOOGLEFINANCE(""RUBKZT"")*1000/F27"),4050253.46180873)</f>
        <v>4050253.4618087299</v>
      </c>
      <c r="V27" s="27">
        <f t="shared" ca="1" si="6"/>
        <v>0.19306939630010503</v>
      </c>
    </row>
    <row r="28" spans="1:22" ht="12.75" customHeight="1" x14ac:dyDescent="0.2">
      <c r="A28" s="6" t="s">
        <v>53</v>
      </c>
      <c r="B28" s="6" t="s">
        <v>15</v>
      </c>
      <c r="C28" s="7">
        <v>110546</v>
      </c>
      <c r="D28" s="8">
        <v>121346.4</v>
      </c>
      <c r="E28" s="9" t="s">
        <v>16</v>
      </c>
      <c r="F28" s="36">
        <v>208</v>
      </c>
      <c r="G28" s="25"/>
      <c r="H28" s="14">
        <f t="shared" si="0"/>
        <v>0.55000000000000004</v>
      </c>
      <c r="I28" s="25">
        <f ca="1">IFERROR(__xludf.DUMMYFUNCTION("ROUND(D28*GOOGLEFINANCE(""RUBKZT"")*H28)"),520811)</f>
        <v>520811</v>
      </c>
      <c r="J28" s="26">
        <f ca="1">IFERROR(__xludf.DUMMYFUNCTION("ROUND(I28*GOOGLEFINANCE(""KZTEUR""))"),1091)</f>
        <v>1091</v>
      </c>
      <c r="K28" s="26">
        <f t="shared" ca="1" si="1"/>
        <v>5245</v>
      </c>
      <c r="L28" s="26">
        <f t="shared" ca="1" si="2"/>
        <v>996.55000000000007</v>
      </c>
      <c r="M28" s="26">
        <f t="shared" ref="M28:N28" si="29">M$3</f>
        <v>500</v>
      </c>
      <c r="N28" s="26">
        <f t="shared" si="29"/>
        <v>500</v>
      </c>
      <c r="O28" s="26">
        <f ca="1">IFERROR(__xludf.DUMMYFUNCTION("ROUND(GOOGLEFINANCE(""Currency:EURKZT"")*K28)"),2504853)</f>
        <v>2504853</v>
      </c>
      <c r="P28" s="26">
        <f ca="1">IFERROR(__xludf.DUMMYFUNCTION("ROUND(GOOGLEFINANCE(""Currency:EURKZT"")*M28)"),238785)</f>
        <v>238785</v>
      </c>
      <c r="Q28" s="26">
        <f ca="1">IFERROR(__xludf.DUMMYFUNCTION("ROUND(GOOGLEFINANCE(""Currency:EURKZT"")*N28)"),238785)</f>
        <v>238785</v>
      </c>
      <c r="R28" s="26">
        <f t="shared" ca="1" si="4"/>
        <v>300582</v>
      </c>
      <c r="S28" s="26">
        <f t="shared" ca="1" si="5"/>
        <v>3283005</v>
      </c>
      <c r="T28" s="26">
        <f ca="1">IFERROR(__xludf.DUMMYFUNCTION("ROUND(GOOGLEFINANCE(""Currency:EURKZT"")*L28+S28)"),3758927)</f>
        <v>3758927</v>
      </c>
      <c r="U28" s="26">
        <f ca="1">IFERROR(__xludf.DUMMYFUNCTION("D28*GOOGLEFINANCE(""RUBKZT"")*1000/F28"),4552545.21830736)</f>
        <v>4552545.2183073601</v>
      </c>
      <c r="V28" s="27">
        <f t="shared" ca="1" si="6"/>
        <v>0.21112892543732828</v>
      </c>
    </row>
    <row r="29" spans="1:22" ht="12.75" customHeight="1" x14ac:dyDescent="0.2">
      <c r="A29" s="6" t="s">
        <v>54</v>
      </c>
      <c r="B29" s="6" t="s">
        <v>15</v>
      </c>
      <c r="C29" s="7">
        <v>110548</v>
      </c>
      <c r="D29" s="8">
        <v>126732</v>
      </c>
      <c r="E29" s="9" t="s">
        <v>16</v>
      </c>
      <c r="F29" s="36">
        <v>208</v>
      </c>
      <c r="G29" s="25"/>
      <c r="H29" s="14">
        <f t="shared" si="0"/>
        <v>0.55000000000000004</v>
      </c>
      <c r="I29" s="25">
        <f ca="1">IFERROR(__xludf.DUMMYFUNCTION("ROUND(D29*GOOGLEFINANCE(""RUBKZT"")*H29)"),543926)</f>
        <v>543926</v>
      </c>
      <c r="J29" s="26">
        <f ca="1">IFERROR(__xludf.DUMMYFUNCTION("ROUND(I29*GOOGLEFINANCE(""KZTEUR""))"),1139)</f>
        <v>1139</v>
      </c>
      <c r="K29" s="26">
        <f t="shared" ca="1" si="1"/>
        <v>5476</v>
      </c>
      <c r="L29" s="26">
        <f t="shared" ca="1" si="2"/>
        <v>1040.44</v>
      </c>
      <c r="M29" s="26">
        <f t="shared" ref="M29:N29" si="30">M$3</f>
        <v>500</v>
      </c>
      <c r="N29" s="26">
        <f t="shared" si="30"/>
        <v>500</v>
      </c>
      <c r="O29" s="26">
        <f ca="1">IFERROR(__xludf.DUMMYFUNCTION("ROUND(GOOGLEFINANCE(""Currency:EURKZT"")*K29)"),2615171)</f>
        <v>2615171</v>
      </c>
      <c r="P29" s="26">
        <f ca="1">IFERROR(__xludf.DUMMYFUNCTION("ROUND(GOOGLEFINANCE(""Currency:EURKZT"")*M29)"),238785)</f>
        <v>238785</v>
      </c>
      <c r="Q29" s="26">
        <f ca="1">IFERROR(__xludf.DUMMYFUNCTION("ROUND(GOOGLEFINANCE(""Currency:EURKZT"")*N29)"),238785)</f>
        <v>238785</v>
      </c>
      <c r="R29" s="26">
        <f t="shared" ca="1" si="4"/>
        <v>313821</v>
      </c>
      <c r="S29" s="26">
        <f t="shared" ca="1" si="5"/>
        <v>3406562</v>
      </c>
      <c r="T29" s="26">
        <f ca="1">IFERROR(__xludf.DUMMYFUNCTION("ROUND(GOOGLEFINANCE(""Currency:EURKZT"")*L29+S29)"),3903445)</f>
        <v>3903445</v>
      </c>
      <c r="U29" s="26">
        <f ca="1">IFERROR(__xludf.DUMMYFUNCTION("D29*GOOGLEFINANCE(""RUBKZT"")*1000/F29"),4754596.4330753)</f>
        <v>4754596.4330753004</v>
      </c>
      <c r="V29" s="27">
        <f t="shared" ca="1" si="6"/>
        <v>0.21805134517722177</v>
      </c>
    </row>
    <row r="30" spans="1:22" ht="12.75" customHeight="1" x14ac:dyDescent="0.2">
      <c r="A30" s="6" t="s">
        <v>55</v>
      </c>
      <c r="B30" s="6" t="s">
        <v>15</v>
      </c>
      <c r="C30" s="7">
        <v>110550</v>
      </c>
      <c r="D30" s="8">
        <v>128742</v>
      </c>
      <c r="E30" s="9" t="s">
        <v>16</v>
      </c>
      <c r="F30" s="36">
        <v>208</v>
      </c>
      <c r="G30" s="25"/>
      <c r="H30" s="14">
        <f t="shared" si="0"/>
        <v>0.55000000000000004</v>
      </c>
      <c r="I30" s="25">
        <f ca="1">IFERROR(__xludf.DUMMYFUNCTION("ROUND(D30*GOOGLEFINANCE(""RUBKZT"")*H30)"),552553)</f>
        <v>552553</v>
      </c>
      <c r="J30" s="26">
        <f ca="1">IFERROR(__xludf.DUMMYFUNCTION("ROUND(I30*GOOGLEFINANCE(""KZTEUR""))"),1157)</f>
        <v>1157</v>
      </c>
      <c r="K30" s="26">
        <f t="shared" ca="1" si="1"/>
        <v>5563</v>
      </c>
      <c r="L30" s="26">
        <f t="shared" ca="1" si="2"/>
        <v>1056.97</v>
      </c>
      <c r="M30" s="26">
        <f t="shared" ref="M30:N30" si="31">M$3</f>
        <v>500</v>
      </c>
      <c r="N30" s="26">
        <f t="shared" si="31"/>
        <v>500</v>
      </c>
      <c r="O30" s="26">
        <f ca="1">IFERROR(__xludf.DUMMYFUNCTION("ROUND(GOOGLEFINANCE(""Currency:EURKZT"")*K30)"),2656720)</f>
        <v>2656720</v>
      </c>
      <c r="P30" s="26">
        <f ca="1">IFERROR(__xludf.DUMMYFUNCTION("ROUND(GOOGLEFINANCE(""Currency:EURKZT"")*M30)"),238785)</f>
        <v>238785</v>
      </c>
      <c r="Q30" s="26">
        <f ca="1">IFERROR(__xludf.DUMMYFUNCTION("ROUND(GOOGLEFINANCE(""Currency:EURKZT"")*N30)"),238785)</f>
        <v>238785</v>
      </c>
      <c r="R30" s="26">
        <f t="shared" ca="1" si="4"/>
        <v>318806</v>
      </c>
      <c r="S30" s="26">
        <f t="shared" ca="1" si="5"/>
        <v>3453096</v>
      </c>
      <c r="T30" s="26">
        <f ca="1">IFERROR(__xludf.DUMMYFUNCTION("ROUND(GOOGLEFINANCE(""Currency:EURKZT"")*L30+S30)"),3957873)</f>
        <v>3957873</v>
      </c>
      <c r="U30" s="26">
        <f ca="1">IFERROR(__xludf.DUMMYFUNCTION("D30*GOOGLEFINANCE(""RUBKZT"")*1000/F30"),4830005.47602011)</f>
        <v>4830005.4760201098</v>
      </c>
      <c r="V30" s="27">
        <f t="shared" ca="1" si="6"/>
        <v>0.22035383045896365</v>
      </c>
    </row>
    <row r="31" spans="1:22" ht="12.75" customHeight="1" x14ac:dyDescent="0.2">
      <c r="A31" s="6" t="s">
        <v>56</v>
      </c>
      <c r="B31" s="6" t="s">
        <v>15</v>
      </c>
      <c r="C31" s="7">
        <v>110552</v>
      </c>
      <c r="D31" s="8">
        <v>113125.2</v>
      </c>
      <c r="E31" s="9" t="s">
        <v>16</v>
      </c>
      <c r="F31" s="36">
        <v>208</v>
      </c>
      <c r="G31" s="25"/>
      <c r="H31" s="14">
        <f t="shared" si="0"/>
        <v>0.55000000000000004</v>
      </c>
      <c r="I31" s="25">
        <f ca="1">IFERROR(__xludf.DUMMYFUNCTION("ROUND(D31*GOOGLEFINANCE(""RUBKZT"")*H31)"),485526)</f>
        <v>485526</v>
      </c>
      <c r="J31" s="26">
        <f ca="1">IFERROR(__xludf.DUMMYFUNCTION("ROUND(I31*GOOGLEFINANCE(""KZTEUR""))"),1017)</f>
        <v>1017</v>
      </c>
      <c r="K31" s="26">
        <f t="shared" ca="1" si="1"/>
        <v>4889</v>
      </c>
      <c r="L31" s="26">
        <f t="shared" ca="1" si="2"/>
        <v>928.91</v>
      </c>
      <c r="M31" s="26">
        <f t="shared" ref="M31:N31" si="32">M$3</f>
        <v>500</v>
      </c>
      <c r="N31" s="26">
        <f t="shared" si="32"/>
        <v>500</v>
      </c>
      <c r="O31" s="26">
        <f ca="1">IFERROR(__xludf.DUMMYFUNCTION("ROUND(GOOGLEFINANCE(""Currency:EURKZT"")*K31)"),2334838)</f>
        <v>2334838</v>
      </c>
      <c r="P31" s="26">
        <f ca="1">IFERROR(__xludf.DUMMYFUNCTION("ROUND(GOOGLEFINANCE(""Currency:EURKZT"")*M31)"),238785)</f>
        <v>238785</v>
      </c>
      <c r="Q31" s="26">
        <f ca="1">IFERROR(__xludf.DUMMYFUNCTION("ROUND(GOOGLEFINANCE(""Currency:EURKZT"")*N31)"),238785)</f>
        <v>238785</v>
      </c>
      <c r="R31" s="26">
        <f t="shared" ca="1" si="4"/>
        <v>280181</v>
      </c>
      <c r="S31" s="26">
        <f t="shared" ca="1" si="5"/>
        <v>3092589</v>
      </c>
      <c r="T31" s="26">
        <f ca="1">IFERROR(__xludf.DUMMYFUNCTION("ROUND(GOOGLEFINANCE(""Currency:EURKZT"")*L31+S31)"),3536208)</f>
        <v>3536208</v>
      </c>
      <c r="U31" s="26">
        <f ca="1">IFERROR(__xludf.DUMMYFUNCTION("D31*GOOGLEFINANCE(""RUBKZT"")*1000/F31"),4244110.97758206)</f>
        <v>4244110.9775820598</v>
      </c>
      <c r="V31" s="27">
        <f t="shared" ca="1" si="6"/>
        <v>0.20018703016962233</v>
      </c>
    </row>
    <row r="32" spans="1:22" ht="12.75" customHeight="1" x14ac:dyDescent="0.2">
      <c r="A32" s="6" t="s">
        <v>57</v>
      </c>
      <c r="B32" s="6" t="s">
        <v>15</v>
      </c>
      <c r="C32" s="7">
        <v>110553</v>
      </c>
      <c r="D32" s="8">
        <v>121336.79999999999</v>
      </c>
      <c r="E32" s="9" t="s">
        <v>16</v>
      </c>
      <c r="F32" s="36">
        <v>208</v>
      </c>
      <c r="G32" s="25"/>
      <c r="H32" s="14">
        <f t="shared" si="0"/>
        <v>0.55000000000000004</v>
      </c>
      <c r="I32" s="25">
        <f ca="1">IFERROR(__xludf.DUMMYFUNCTION("ROUND(D32*GOOGLEFINANCE(""RUBKZT"")*H32)"),520770)</f>
        <v>520770</v>
      </c>
      <c r="J32" s="26">
        <f ca="1">IFERROR(__xludf.DUMMYFUNCTION("ROUND(I32*GOOGLEFINANCE(""KZTEUR""))"),1091)</f>
        <v>1091</v>
      </c>
      <c r="K32" s="26">
        <f t="shared" ca="1" si="1"/>
        <v>5245</v>
      </c>
      <c r="L32" s="26">
        <f t="shared" ca="1" si="2"/>
        <v>996.55000000000007</v>
      </c>
      <c r="M32" s="26">
        <f t="shared" ref="M32:N32" si="33">M$3</f>
        <v>500</v>
      </c>
      <c r="N32" s="26">
        <f t="shared" si="33"/>
        <v>500</v>
      </c>
      <c r="O32" s="26">
        <f ca="1">IFERROR(__xludf.DUMMYFUNCTION("ROUND(GOOGLEFINANCE(""Currency:EURKZT"")*K32)"),2504853)</f>
        <v>2504853</v>
      </c>
      <c r="P32" s="26">
        <f ca="1">IFERROR(__xludf.DUMMYFUNCTION("ROUND(GOOGLEFINANCE(""Currency:EURKZT"")*M32)"),238785)</f>
        <v>238785</v>
      </c>
      <c r="Q32" s="26">
        <f ca="1">IFERROR(__xludf.DUMMYFUNCTION("ROUND(GOOGLEFINANCE(""Currency:EURKZT"")*N32)"),238785)</f>
        <v>238785</v>
      </c>
      <c r="R32" s="26">
        <f t="shared" ca="1" si="4"/>
        <v>300582</v>
      </c>
      <c r="S32" s="26">
        <f t="shared" ca="1" si="5"/>
        <v>3283005</v>
      </c>
      <c r="T32" s="26">
        <f ca="1">IFERROR(__xludf.DUMMYFUNCTION("ROUND(GOOGLEFINANCE(""Currency:EURKZT"")*L32+S32)"),3758927)</f>
        <v>3758927</v>
      </c>
      <c r="U32" s="26">
        <f ca="1">IFERROR(__xludf.DUMMYFUNCTION("D32*GOOGLEFINANCE(""RUBKZT"")*1000/F32"),4552185.05571419)</f>
        <v>4552185.05571419</v>
      </c>
      <c r="V32" s="27">
        <f t="shared" ca="1" si="6"/>
        <v>0.2110331101705859</v>
      </c>
    </row>
    <row r="33" spans="1:22" ht="12.75" customHeight="1" x14ac:dyDescent="0.2">
      <c r="A33" s="6" t="s">
        <v>58</v>
      </c>
      <c r="B33" s="6" t="s">
        <v>15</v>
      </c>
      <c r="C33" s="7">
        <v>110555</v>
      </c>
      <c r="D33" s="8">
        <v>115804.8</v>
      </c>
      <c r="E33" s="9" t="s">
        <v>16</v>
      </c>
      <c r="F33" s="36">
        <v>208</v>
      </c>
      <c r="G33" s="25"/>
      <c r="H33" s="14">
        <f t="shared" si="0"/>
        <v>0.55000000000000004</v>
      </c>
      <c r="I33" s="25">
        <f ca="1">IFERROR(__xludf.DUMMYFUNCTION("ROUND(D33*GOOGLEFINANCE(""RUBKZT"")*H33)"),497027)</f>
        <v>497027</v>
      </c>
      <c r="J33" s="26">
        <f ca="1">IFERROR(__xludf.DUMMYFUNCTION("ROUND(I33*GOOGLEFINANCE(""KZTEUR""))"),1041)</f>
        <v>1041</v>
      </c>
      <c r="K33" s="26">
        <f t="shared" ca="1" si="1"/>
        <v>5005</v>
      </c>
      <c r="L33" s="26">
        <f t="shared" ca="1" si="2"/>
        <v>950.95</v>
      </c>
      <c r="M33" s="26">
        <f t="shared" ref="M33:N33" si="34">M$3</f>
        <v>500</v>
      </c>
      <c r="N33" s="26">
        <f t="shared" si="34"/>
        <v>500</v>
      </c>
      <c r="O33" s="26">
        <f ca="1">IFERROR(__xludf.DUMMYFUNCTION("ROUND(GOOGLEFINANCE(""Currency:EURKZT"")*K33)"),2390236)</f>
        <v>2390236</v>
      </c>
      <c r="P33" s="26">
        <f ca="1">IFERROR(__xludf.DUMMYFUNCTION("ROUND(GOOGLEFINANCE(""Currency:EURKZT"")*M33)"),238785)</f>
        <v>238785</v>
      </c>
      <c r="Q33" s="26">
        <f ca="1">IFERROR(__xludf.DUMMYFUNCTION("ROUND(GOOGLEFINANCE(""Currency:EURKZT"")*N33)"),238785)</f>
        <v>238785</v>
      </c>
      <c r="R33" s="26">
        <f t="shared" ca="1" si="4"/>
        <v>286828</v>
      </c>
      <c r="S33" s="26">
        <f t="shared" ca="1" si="5"/>
        <v>3154634</v>
      </c>
      <c r="T33" s="26">
        <f ca="1">IFERROR(__xludf.DUMMYFUNCTION("ROUND(GOOGLEFINANCE(""Currency:EURKZT"")*L33+S33)"),3608779)</f>
        <v>3608779</v>
      </c>
      <c r="U33" s="26">
        <f ca="1">IFERROR(__xludf.DUMMYFUNCTION("D33*GOOGLEFINANCE(""RUBKZT"")*1000/F33"),4344641.36140043)</f>
        <v>4344641.3614004301</v>
      </c>
      <c r="V33" s="27">
        <f t="shared" ca="1" si="6"/>
        <v>0.20390895685228441</v>
      </c>
    </row>
    <row r="34" spans="1:22" ht="12.75" customHeight="1" x14ac:dyDescent="0.2">
      <c r="A34" s="6" t="s">
        <v>59</v>
      </c>
      <c r="B34" s="6" t="s">
        <v>15</v>
      </c>
      <c r="C34" s="7">
        <v>110568</v>
      </c>
      <c r="D34" s="8">
        <v>84595.199999999997</v>
      </c>
      <c r="E34" s="9" t="s">
        <v>16</v>
      </c>
      <c r="F34" s="36">
        <v>208</v>
      </c>
      <c r="G34" s="25"/>
      <c r="H34" s="14">
        <f t="shared" si="0"/>
        <v>0.55000000000000004</v>
      </c>
      <c r="I34" s="25">
        <f ca="1">IFERROR(__xludf.DUMMYFUNCTION("ROUND(D34*GOOGLEFINANCE(""RUBKZT"")*H34)"),363077)</f>
        <v>363077</v>
      </c>
      <c r="J34" s="26">
        <f ca="1">IFERROR(__xludf.DUMMYFUNCTION("ROUND(I34*GOOGLEFINANCE(""KZTEUR""))"),760)</f>
        <v>760</v>
      </c>
      <c r="K34" s="26">
        <f t="shared" ca="1" si="1"/>
        <v>3654</v>
      </c>
      <c r="L34" s="26">
        <f t="shared" ca="1" si="2"/>
        <v>694.26</v>
      </c>
      <c r="M34" s="26">
        <f t="shared" ref="M34:N34" si="35">M$3</f>
        <v>500</v>
      </c>
      <c r="N34" s="26">
        <f t="shared" si="35"/>
        <v>500</v>
      </c>
      <c r="O34" s="26">
        <f ca="1">IFERROR(__xludf.DUMMYFUNCTION("ROUND(GOOGLEFINANCE(""Currency:EURKZT"")*K34)"),1745039)</f>
        <v>1745039</v>
      </c>
      <c r="P34" s="26">
        <f ca="1">IFERROR(__xludf.DUMMYFUNCTION("ROUND(GOOGLEFINANCE(""Currency:EURKZT"")*M34)"),238785)</f>
        <v>238785</v>
      </c>
      <c r="Q34" s="26">
        <f ca="1">IFERROR(__xludf.DUMMYFUNCTION("ROUND(GOOGLEFINANCE(""Currency:EURKZT"")*N34)"),238785)</f>
        <v>238785</v>
      </c>
      <c r="R34" s="26">
        <f t="shared" ca="1" si="4"/>
        <v>209405</v>
      </c>
      <c r="S34" s="26">
        <f t="shared" ca="1" si="5"/>
        <v>2432014</v>
      </c>
      <c r="T34" s="26">
        <f ca="1">IFERROR(__xludf.DUMMYFUNCTION("ROUND(GOOGLEFINANCE(""Currency:EURKZT"")*L34+S34)"),2763571)</f>
        <v>2763571</v>
      </c>
      <c r="U34" s="26">
        <f ca="1">IFERROR(__xludf.DUMMYFUNCTION("D34*GOOGLEFINANCE(""RUBKZT"")*1000/F34"),3173752.77100726)</f>
        <v>3173752.7710072598</v>
      </c>
      <c r="V34" s="27">
        <f t="shared" ca="1" si="6"/>
        <v>0.14842454599764573</v>
      </c>
    </row>
    <row r="35" spans="1:22" ht="12.75" customHeight="1" x14ac:dyDescent="0.2">
      <c r="A35" s="6" t="s">
        <v>60</v>
      </c>
      <c r="B35" s="6" t="s">
        <v>15</v>
      </c>
      <c r="C35" s="7">
        <v>110570</v>
      </c>
      <c r="D35" s="8">
        <v>76224</v>
      </c>
      <c r="E35" s="9" t="s">
        <v>16</v>
      </c>
      <c r="F35" s="36">
        <v>208</v>
      </c>
      <c r="G35" s="25"/>
      <c r="H35" s="14">
        <f t="shared" si="0"/>
        <v>0.55000000000000004</v>
      </c>
      <c r="I35" s="25">
        <f ca="1">IFERROR(__xludf.DUMMYFUNCTION("ROUND(D35*GOOGLEFINANCE(""RUBKZT"")*H35)"),327149)</f>
        <v>327149</v>
      </c>
      <c r="J35" s="26">
        <f ca="1">IFERROR(__xludf.DUMMYFUNCTION("ROUND(I35*GOOGLEFINANCE(""KZTEUR""))"),685)</f>
        <v>685</v>
      </c>
      <c r="K35" s="26">
        <f t="shared" ca="1" si="1"/>
        <v>3293</v>
      </c>
      <c r="L35" s="26">
        <f t="shared" ca="1" si="2"/>
        <v>625.66999999999996</v>
      </c>
      <c r="M35" s="26">
        <f t="shared" ref="M35:N35" si="36">M$3</f>
        <v>500</v>
      </c>
      <c r="N35" s="26">
        <f t="shared" si="36"/>
        <v>500</v>
      </c>
      <c r="O35" s="26">
        <f ca="1">IFERROR(__xludf.DUMMYFUNCTION("ROUND(GOOGLEFINANCE(""Currency:EURKZT"")*K35)"),1572637)</f>
        <v>1572637</v>
      </c>
      <c r="P35" s="26">
        <f ca="1">IFERROR(__xludf.DUMMYFUNCTION("ROUND(GOOGLEFINANCE(""Currency:EURKZT"")*M35)"),238785)</f>
        <v>238785</v>
      </c>
      <c r="Q35" s="26">
        <f ca="1">IFERROR(__xludf.DUMMYFUNCTION("ROUND(GOOGLEFINANCE(""Currency:EURKZT"")*N35)"),238785)</f>
        <v>238785</v>
      </c>
      <c r="R35" s="26">
        <f t="shared" ca="1" si="4"/>
        <v>188716</v>
      </c>
      <c r="S35" s="26">
        <f t="shared" ca="1" si="5"/>
        <v>2238923</v>
      </c>
      <c r="T35" s="26">
        <f ca="1">IFERROR(__xludf.DUMMYFUNCTION("ROUND(GOOGLEFINANCE(""Currency:EURKZT"")*L35+S35)"),2537724)</f>
        <v>2537724</v>
      </c>
      <c r="U35" s="26">
        <f ca="1">IFERROR(__xludf.DUMMYFUNCTION("D35*GOOGLEFINANCE(""RUBKZT"")*1000/F35"),2859690.98976369)</f>
        <v>2859690.9897636902</v>
      </c>
      <c r="V35" s="27">
        <f t="shared" ca="1" si="6"/>
        <v>0.12687234299856492</v>
      </c>
    </row>
    <row r="36" spans="1:22" ht="12.75" customHeight="1" x14ac:dyDescent="0.2">
      <c r="A36" s="6" t="s">
        <v>61</v>
      </c>
      <c r="B36" s="6" t="s">
        <v>15</v>
      </c>
      <c r="C36" s="7">
        <v>110573</v>
      </c>
      <c r="D36" s="8">
        <v>78909.599999999991</v>
      </c>
      <c r="E36" s="9" t="s">
        <v>16</v>
      </c>
      <c r="F36" s="36">
        <v>208</v>
      </c>
      <c r="G36" s="25"/>
      <c r="H36" s="14">
        <f t="shared" si="0"/>
        <v>0.55000000000000004</v>
      </c>
      <c r="I36" s="25">
        <f ca="1">IFERROR(__xludf.DUMMYFUNCTION("ROUND(D36*GOOGLEFINANCE(""RUBKZT"")*H36)"),338675)</f>
        <v>338675</v>
      </c>
      <c r="J36" s="26">
        <f ca="1">IFERROR(__xludf.DUMMYFUNCTION("ROUND(I36*GOOGLEFINANCE(""KZTEUR""))"),709)</f>
        <v>709</v>
      </c>
      <c r="K36" s="26">
        <f t="shared" ca="1" si="1"/>
        <v>3409</v>
      </c>
      <c r="L36" s="26">
        <f t="shared" ca="1" si="2"/>
        <v>647.71</v>
      </c>
      <c r="M36" s="26">
        <f t="shared" ref="M36:N36" si="37">M$3</f>
        <v>500</v>
      </c>
      <c r="N36" s="26">
        <f t="shared" si="37"/>
        <v>500</v>
      </c>
      <c r="O36" s="26">
        <f ca="1">IFERROR(__xludf.DUMMYFUNCTION("ROUND(GOOGLEFINANCE(""Currency:EURKZT"")*K36)"),1628035)</f>
        <v>1628035</v>
      </c>
      <c r="P36" s="26">
        <f ca="1">IFERROR(__xludf.DUMMYFUNCTION("ROUND(GOOGLEFINANCE(""Currency:EURKZT"")*M36)"),238785)</f>
        <v>238785</v>
      </c>
      <c r="Q36" s="26">
        <f ca="1">IFERROR(__xludf.DUMMYFUNCTION("ROUND(GOOGLEFINANCE(""Currency:EURKZT"")*N36)"),238785)</f>
        <v>238785</v>
      </c>
      <c r="R36" s="26">
        <f t="shared" ca="1" si="4"/>
        <v>195364</v>
      </c>
      <c r="S36" s="26">
        <f t="shared" ca="1" si="5"/>
        <v>2300969</v>
      </c>
      <c r="T36" s="26">
        <f ca="1">IFERROR(__xludf.DUMMYFUNCTION("ROUND(GOOGLEFINANCE(""Currency:EURKZT"")*L36+S36)"),2610296)</f>
        <v>2610296</v>
      </c>
      <c r="U36" s="26">
        <f ca="1">IFERROR(__xludf.DUMMYFUNCTION("D36*GOOGLEFINANCE(""RUBKZT"")*1000/F36"),2960446.47520278)</f>
        <v>2960446.4752027802</v>
      </c>
      <c r="V36" s="27">
        <f t="shared" ca="1" si="6"/>
        <v>0.13414205714707458</v>
      </c>
    </row>
    <row r="37" spans="1:22" ht="12.75" customHeight="1" x14ac:dyDescent="0.2">
      <c r="A37" s="6" t="s">
        <v>62</v>
      </c>
      <c r="B37" s="6" t="s">
        <v>15</v>
      </c>
      <c r="C37" s="7">
        <v>110576</v>
      </c>
      <c r="D37" s="8">
        <v>78747.599999999991</v>
      </c>
      <c r="E37" s="9" t="s">
        <v>16</v>
      </c>
      <c r="F37" s="36">
        <v>208</v>
      </c>
      <c r="G37" s="25"/>
      <c r="H37" s="14">
        <f t="shared" si="0"/>
        <v>0.55000000000000004</v>
      </c>
      <c r="I37" s="25">
        <f ca="1">IFERROR(__xludf.DUMMYFUNCTION("ROUND(D37*GOOGLEFINANCE(""RUBKZT"")*H37)"),337980)</f>
        <v>337980</v>
      </c>
      <c r="J37" s="26">
        <f ca="1">IFERROR(__xludf.DUMMYFUNCTION("ROUND(I37*GOOGLEFINANCE(""KZTEUR""))"),708)</f>
        <v>708</v>
      </c>
      <c r="K37" s="26">
        <f t="shared" ca="1" si="1"/>
        <v>3404</v>
      </c>
      <c r="L37" s="26">
        <f t="shared" ca="1" si="2"/>
        <v>646.76</v>
      </c>
      <c r="M37" s="26">
        <f t="shared" ref="M37:N37" si="38">M$3</f>
        <v>500</v>
      </c>
      <c r="N37" s="26">
        <f t="shared" si="38"/>
        <v>500</v>
      </c>
      <c r="O37" s="26">
        <f ca="1">IFERROR(__xludf.DUMMYFUNCTION("ROUND(GOOGLEFINANCE(""Currency:EURKZT"")*K37)"),1625647)</f>
        <v>1625647</v>
      </c>
      <c r="P37" s="26">
        <f ca="1">IFERROR(__xludf.DUMMYFUNCTION("ROUND(GOOGLEFINANCE(""Currency:EURKZT"")*M37)"),238785)</f>
        <v>238785</v>
      </c>
      <c r="Q37" s="26">
        <f ca="1">IFERROR(__xludf.DUMMYFUNCTION("ROUND(GOOGLEFINANCE(""Currency:EURKZT"")*N37)"),238785)</f>
        <v>238785</v>
      </c>
      <c r="R37" s="26">
        <f t="shared" ca="1" si="4"/>
        <v>195078</v>
      </c>
      <c r="S37" s="26">
        <f t="shared" ca="1" si="5"/>
        <v>2298295</v>
      </c>
      <c r="T37" s="26">
        <f ca="1">IFERROR(__xludf.DUMMYFUNCTION("ROUND(GOOGLEFINANCE(""Currency:EURKZT"")*L37+S37)"),2607168)</f>
        <v>2607168</v>
      </c>
      <c r="U37" s="26">
        <f ca="1">IFERROR(__xludf.DUMMYFUNCTION("D37*GOOGLEFINANCE(""RUBKZT"")*1000/F37"),2954368.73144305)</f>
        <v>2954368.7314430499</v>
      </c>
      <c r="V37" s="27">
        <f t="shared" ca="1" si="6"/>
        <v>0.13317159900821499</v>
      </c>
    </row>
    <row r="38" spans="1:22" ht="12.75" customHeight="1" x14ac:dyDescent="0.2">
      <c r="A38" s="6" t="s">
        <v>63</v>
      </c>
      <c r="B38" s="6" t="s">
        <v>15</v>
      </c>
      <c r="C38" s="7">
        <v>110596</v>
      </c>
      <c r="D38" s="8">
        <v>150723.6</v>
      </c>
      <c r="E38" s="9" t="s">
        <v>16</v>
      </c>
      <c r="F38" s="36">
        <v>208</v>
      </c>
      <c r="G38" s="25"/>
      <c r="H38" s="14">
        <f t="shared" si="0"/>
        <v>0.55000000000000004</v>
      </c>
      <c r="I38" s="25">
        <f ca="1">IFERROR(__xludf.DUMMYFUNCTION("ROUND(D38*GOOGLEFINANCE(""RUBKZT"")*H38)"),646896)</f>
        <v>646896</v>
      </c>
      <c r="J38" s="26">
        <f ca="1">IFERROR(__xludf.DUMMYFUNCTION("ROUND(I38*GOOGLEFINANCE(""KZTEUR""))"),1355)</f>
        <v>1355</v>
      </c>
      <c r="K38" s="26">
        <f t="shared" ca="1" si="1"/>
        <v>6514</v>
      </c>
      <c r="L38" s="26">
        <f t="shared" ca="1" si="2"/>
        <v>1237.6600000000001</v>
      </c>
      <c r="M38" s="26">
        <f t="shared" ref="M38:N38" si="39">M$3</f>
        <v>500</v>
      </c>
      <c r="N38" s="26">
        <f t="shared" si="39"/>
        <v>500</v>
      </c>
      <c r="O38" s="26">
        <f ca="1">IFERROR(__xludf.DUMMYFUNCTION("ROUND(GOOGLEFINANCE(""Currency:EURKZT"")*K38)"),3110888)</f>
        <v>3110888</v>
      </c>
      <c r="P38" s="26">
        <f ca="1">IFERROR(__xludf.DUMMYFUNCTION("ROUND(GOOGLEFINANCE(""Currency:EURKZT"")*M38)"),238785)</f>
        <v>238785</v>
      </c>
      <c r="Q38" s="26">
        <f ca="1">IFERROR(__xludf.DUMMYFUNCTION("ROUND(GOOGLEFINANCE(""Currency:EURKZT"")*N38)"),238785)</f>
        <v>238785</v>
      </c>
      <c r="R38" s="26">
        <f t="shared" ca="1" si="4"/>
        <v>373307</v>
      </c>
      <c r="S38" s="26">
        <f t="shared" ca="1" si="5"/>
        <v>3961765</v>
      </c>
      <c r="T38" s="26">
        <f ca="1">IFERROR(__xludf.DUMMYFUNCTION("ROUND(GOOGLEFINANCE(""Currency:EURKZT"")*L38+S38)"),4552834)</f>
        <v>4552834</v>
      </c>
      <c r="U38" s="26">
        <f ca="1">IFERROR(__xludf.DUMMYFUNCTION("D38*GOOGLEFINANCE(""RUBKZT"")*1000/F38"),5654687.77372936)</f>
        <v>5654687.7737293597</v>
      </c>
      <c r="V38" s="27">
        <f t="shared" ca="1" si="6"/>
        <v>0.2420149238319165</v>
      </c>
    </row>
    <row r="39" spans="1:22" ht="12.75" customHeight="1" x14ac:dyDescent="0.2">
      <c r="A39" s="6" t="s">
        <v>64</v>
      </c>
      <c r="B39" s="6" t="s">
        <v>15</v>
      </c>
      <c r="C39" s="7">
        <v>110602</v>
      </c>
      <c r="D39" s="8">
        <v>132488.4</v>
      </c>
      <c r="E39" s="9" t="s">
        <v>16</v>
      </c>
      <c r="F39" s="36">
        <v>208</v>
      </c>
      <c r="G39" s="25"/>
      <c r="H39" s="14">
        <f t="shared" si="0"/>
        <v>0.55000000000000004</v>
      </c>
      <c r="I39" s="25">
        <f ca="1">IFERROR(__xludf.DUMMYFUNCTION("ROUND(D39*GOOGLEFINANCE(""RUBKZT"")*H39)"),568632)</f>
        <v>568632</v>
      </c>
      <c r="J39" s="26">
        <f ca="1">IFERROR(__xludf.DUMMYFUNCTION("ROUND(I39*GOOGLEFINANCE(""KZTEUR""))"),1191)</f>
        <v>1191</v>
      </c>
      <c r="K39" s="26">
        <f t="shared" ca="1" si="1"/>
        <v>5726</v>
      </c>
      <c r="L39" s="26">
        <f t="shared" ca="1" si="2"/>
        <v>1087.94</v>
      </c>
      <c r="M39" s="26">
        <f t="shared" ref="M39:N39" si="40">M$3</f>
        <v>500</v>
      </c>
      <c r="N39" s="26">
        <f t="shared" si="40"/>
        <v>500</v>
      </c>
      <c r="O39" s="26">
        <f ca="1">IFERROR(__xludf.DUMMYFUNCTION("ROUND(GOOGLEFINANCE(""Currency:EURKZT"")*K39)"),2734564)</f>
        <v>2734564</v>
      </c>
      <c r="P39" s="26">
        <f ca="1">IFERROR(__xludf.DUMMYFUNCTION("ROUND(GOOGLEFINANCE(""Currency:EURKZT"")*M39)"),238785)</f>
        <v>238785</v>
      </c>
      <c r="Q39" s="26">
        <f ca="1">IFERROR(__xludf.DUMMYFUNCTION("ROUND(GOOGLEFINANCE(""Currency:EURKZT"")*N39)"),238785)</f>
        <v>238785</v>
      </c>
      <c r="R39" s="26">
        <f t="shared" ca="1" si="4"/>
        <v>328148</v>
      </c>
      <c r="S39" s="26">
        <f t="shared" ca="1" si="5"/>
        <v>3540282</v>
      </c>
      <c r="T39" s="26">
        <f ca="1">IFERROR(__xludf.DUMMYFUNCTION("ROUND(GOOGLEFINANCE(""Currency:EURKZT"")*L39+S39)"),4059849)</f>
        <v>4059849</v>
      </c>
      <c r="U39" s="26">
        <f ca="1">IFERROR(__xludf.DUMMYFUNCTION("D39*GOOGLEFINANCE(""RUBKZT"")*1000/F39"),4970558.9280044)</f>
        <v>4970558.9280043999</v>
      </c>
      <c r="V39" s="27">
        <f t="shared" ca="1" si="6"/>
        <v>0.22432113312697094</v>
      </c>
    </row>
    <row r="40" spans="1:22" ht="12.75" customHeight="1" x14ac:dyDescent="0.2">
      <c r="A40" s="6" t="s">
        <v>65</v>
      </c>
      <c r="B40" s="6" t="s">
        <v>15</v>
      </c>
      <c r="C40" s="7">
        <v>110629</v>
      </c>
      <c r="D40" s="8">
        <v>87014.399999999994</v>
      </c>
      <c r="E40" s="9" t="s">
        <v>16</v>
      </c>
      <c r="F40" s="36">
        <v>208</v>
      </c>
      <c r="G40" s="25"/>
      <c r="H40" s="14">
        <f t="shared" si="0"/>
        <v>0.55000000000000004</v>
      </c>
      <c r="I40" s="25">
        <f ca="1">IFERROR(__xludf.DUMMYFUNCTION("ROUND(D40*GOOGLEFINANCE(""RUBKZT"")*H40)"),373460)</f>
        <v>373460</v>
      </c>
      <c r="J40" s="26">
        <f ca="1">IFERROR(__xludf.DUMMYFUNCTION("ROUND(I40*GOOGLEFINANCE(""KZTEUR""))"),782)</f>
        <v>782</v>
      </c>
      <c r="K40" s="26">
        <f t="shared" ca="1" si="1"/>
        <v>3760</v>
      </c>
      <c r="L40" s="26">
        <f t="shared" ca="1" si="2"/>
        <v>714.4</v>
      </c>
      <c r="M40" s="26">
        <f t="shared" ref="M40:N40" si="41">M$3</f>
        <v>500</v>
      </c>
      <c r="N40" s="26">
        <f t="shared" si="41"/>
        <v>500</v>
      </c>
      <c r="O40" s="26">
        <f ca="1">IFERROR(__xludf.DUMMYFUNCTION("ROUND(GOOGLEFINANCE(""Currency:EURKZT"")*K40)"),1795662)</f>
        <v>1795662</v>
      </c>
      <c r="P40" s="26">
        <f ca="1">IFERROR(__xludf.DUMMYFUNCTION("ROUND(GOOGLEFINANCE(""Currency:EURKZT"")*M40)"),238785)</f>
        <v>238785</v>
      </c>
      <c r="Q40" s="26">
        <f ca="1">IFERROR(__xludf.DUMMYFUNCTION("ROUND(GOOGLEFINANCE(""Currency:EURKZT"")*N40)"),238785)</f>
        <v>238785</v>
      </c>
      <c r="R40" s="26">
        <f t="shared" ca="1" si="4"/>
        <v>215479</v>
      </c>
      <c r="S40" s="26">
        <f t="shared" ca="1" si="5"/>
        <v>2488711</v>
      </c>
      <c r="T40" s="26">
        <f ca="1">IFERROR(__xludf.DUMMYFUNCTION("ROUND(GOOGLEFINANCE(""Currency:EURKZT"")*L40+S40)"),2829887)</f>
        <v>2829887</v>
      </c>
      <c r="U40" s="26">
        <f ca="1">IFERROR(__xludf.DUMMYFUNCTION("D40*GOOGLEFINANCE(""RUBKZT"")*1000/F40"),3264513.7444859)</f>
        <v>3264513.7444858998</v>
      </c>
      <c r="V40" s="27">
        <f t="shared" ca="1" si="6"/>
        <v>0.15358448746748538</v>
      </c>
    </row>
    <row r="41" spans="1:22" ht="12.75" customHeight="1" x14ac:dyDescent="0.2">
      <c r="A41" s="6" t="s">
        <v>66</v>
      </c>
      <c r="B41" s="6" t="s">
        <v>15</v>
      </c>
      <c r="C41" s="7">
        <v>110658</v>
      </c>
      <c r="D41" s="8">
        <v>84013.2</v>
      </c>
      <c r="E41" s="9" t="s">
        <v>16</v>
      </c>
      <c r="F41" s="36">
        <v>208</v>
      </c>
      <c r="G41" s="25"/>
      <c r="H41" s="14">
        <f t="shared" si="0"/>
        <v>0.55000000000000004</v>
      </c>
      <c r="I41" s="25">
        <f ca="1">IFERROR(__xludf.DUMMYFUNCTION("ROUND(D41*GOOGLEFINANCE(""RUBKZT"")*H41)"),360579)</f>
        <v>360579</v>
      </c>
      <c r="J41" s="26">
        <f ca="1">IFERROR(__xludf.DUMMYFUNCTION("ROUND(I41*GOOGLEFINANCE(""KZTEUR""))"),755)</f>
        <v>755</v>
      </c>
      <c r="K41" s="26">
        <f t="shared" ca="1" si="1"/>
        <v>3630</v>
      </c>
      <c r="L41" s="26">
        <f t="shared" ca="1" si="2"/>
        <v>689.7</v>
      </c>
      <c r="M41" s="26">
        <f t="shared" ref="M41:N41" si="42">M$3</f>
        <v>500</v>
      </c>
      <c r="N41" s="26">
        <f t="shared" si="42"/>
        <v>500</v>
      </c>
      <c r="O41" s="26">
        <f ca="1">IFERROR(__xludf.DUMMYFUNCTION("ROUND(GOOGLEFINANCE(""Currency:EURKZT"")*K41)"),1733578)</f>
        <v>1733578</v>
      </c>
      <c r="P41" s="26">
        <f ca="1">IFERROR(__xludf.DUMMYFUNCTION("ROUND(GOOGLEFINANCE(""Currency:EURKZT"")*M41)"),238785)</f>
        <v>238785</v>
      </c>
      <c r="Q41" s="26">
        <f ca="1">IFERROR(__xludf.DUMMYFUNCTION("ROUND(GOOGLEFINANCE(""Currency:EURKZT"")*N41)"),238785)</f>
        <v>238785</v>
      </c>
      <c r="R41" s="26">
        <f t="shared" ca="1" si="4"/>
        <v>208029</v>
      </c>
      <c r="S41" s="26">
        <f t="shared" ca="1" si="5"/>
        <v>2419177</v>
      </c>
      <c r="T41" s="26">
        <f ca="1">IFERROR(__xludf.DUMMYFUNCTION("ROUND(GOOGLEFINANCE(""Currency:EURKZT"")*L41+S41)"),2748557)</f>
        <v>2748557</v>
      </c>
      <c r="U41" s="26">
        <f ca="1">IFERROR(__xludf.DUMMYFUNCTION("D41*GOOGLEFINANCE(""RUBKZT"")*1000/F41"),3151917.91379637)</f>
        <v>3151917.9137963699</v>
      </c>
      <c r="V41" s="27">
        <f t="shared" ca="1" si="6"/>
        <v>0.14675370159555357</v>
      </c>
    </row>
    <row r="42" spans="1:22" ht="12.75" customHeight="1" x14ac:dyDescent="0.2">
      <c r="A42" s="6" t="s">
        <v>68</v>
      </c>
      <c r="B42" s="6" t="s">
        <v>15</v>
      </c>
      <c r="C42" s="7">
        <v>110685</v>
      </c>
      <c r="D42" s="8">
        <v>79533.599999999991</v>
      </c>
      <c r="E42" s="9" t="s">
        <v>16</v>
      </c>
      <c r="F42" s="36">
        <v>208</v>
      </c>
      <c r="G42" s="25"/>
      <c r="H42" s="14">
        <f t="shared" si="0"/>
        <v>0.55000000000000004</v>
      </c>
      <c r="I42" s="25">
        <f ca="1">IFERROR(__xludf.DUMMYFUNCTION("ROUND(D42*GOOGLEFINANCE(""RUBKZT"")*H42)"),341353)</f>
        <v>341353</v>
      </c>
      <c r="J42" s="26">
        <f ca="1">IFERROR(__xludf.DUMMYFUNCTION("ROUND(I42*GOOGLEFINANCE(""KZTEUR""))"),715)</f>
        <v>715</v>
      </c>
      <c r="K42" s="26">
        <f t="shared" ca="1" si="1"/>
        <v>3438</v>
      </c>
      <c r="L42" s="26">
        <f t="shared" ca="1" si="2"/>
        <v>653.22</v>
      </c>
      <c r="M42" s="26">
        <f t="shared" ref="M42:N42" si="43">M$3</f>
        <v>500</v>
      </c>
      <c r="N42" s="26">
        <f t="shared" si="43"/>
        <v>500</v>
      </c>
      <c r="O42" s="26">
        <f ca="1">IFERROR(__xludf.DUMMYFUNCTION("ROUND(GOOGLEFINANCE(""Currency:EURKZT"")*K42)"),1641884)</f>
        <v>1641884</v>
      </c>
      <c r="P42" s="26">
        <f ca="1">IFERROR(__xludf.DUMMYFUNCTION("ROUND(GOOGLEFINANCE(""Currency:EURKZT"")*M42)"),238785)</f>
        <v>238785</v>
      </c>
      <c r="Q42" s="26">
        <f ca="1">IFERROR(__xludf.DUMMYFUNCTION("ROUND(GOOGLEFINANCE(""Currency:EURKZT"")*N42)"),238785)</f>
        <v>238785</v>
      </c>
      <c r="R42" s="26">
        <f t="shared" ca="1" si="4"/>
        <v>197026</v>
      </c>
      <c r="S42" s="26">
        <f t="shared" ca="1" si="5"/>
        <v>2316480</v>
      </c>
      <c r="T42" s="26">
        <f ca="1">IFERROR(__xludf.DUMMYFUNCTION("ROUND(GOOGLEFINANCE(""Currency:EURKZT"")*L42+S42)"),2628438)</f>
        <v>2628438</v>
      </c>
      <c r="U42" s="26">
        <f ca="1">IFERROR(__xludf.DUMMYFUNCTION("D42*GOOGLEFINANCE(""RUBKZT"")*1000/F42"),2983857.04375878)</f>
        <v>2983857.0437587802</v>
      </c>
      <c r="V42" s="27">
        <f t="shared" ca="1" si="6"/>
        <v>0.13522063056415265</v>
      </c>
    </row>
    <row r="43" spans="1:22" ht="12.75" customHeight="1" x14ac:dyDescent="0.2">
      <c r="A43" s="6" t="s">
        <v>69</v>
      </c>
      <c r="B43" s="6" t="s">
        <v>15</v>
      </c>
      <c r="C43" s="7">
        <v>110698</v>
      </c>
      <c r="D43" s="8">
        <v>80136</v>
      </c>
      <c r="E43" s="9" t="s">
        <v>16</v>
      </c>
      <c r="F43" s="36">
        <v>208</v>
      </c>
      <c r="G43" s="25"/>
      <c r="H43" s="14">
        <f t="shared" si="0"/>
        <v>0.55000000000000004</v>
      </c>
      <c r="I43" s="25">
        <f ca="1">IFERROR(__xludf.DUMMYFUNCTION("ROUND(D43*GOOGLEFINANCE(""RUBKZT"")*H43)"),343939)</f>
        <v>343939</v>
      </c>
      <c r="J43" s="26">
        <f ca="1">IFERROR(__xludf.DUMMYFUNCTION("ROUND(I43*GOOGLEFINANCE(""KZTEUR""))"),720)</f>
        <v>720</v>
      </c>
      <c r="K43" s="26">
        <f t="shared" ca="1" si="1"/>
        <v>3462</v>
      </c>
      <c r="L43" s="26">
        <f t="shared" ca="1" si="2"/>
        <v>657.78</v>
      </c>
      <c r="M43" s="26">
        <f t="shared" ref="M43:N43" si="44">M$3</f>
        <v>500</v>
      </c>
      <c r="N43" s="26">
        <f t="shared" si="44"/>
        <v>500</v>
      </c>
      <c r="O43" s="26">
        <f ca="1">IFERROR(__xludf.DUMMYFUNCTION("ROUND(GOOGLEFINANCE(""Currency:EURKZT"")*K43)"),1653346)</f>
        <v>1653346</v>
      </c>
      <c r="P43" s="26">
        <f ca="1">IFERROR(__xludf.DUMMYFUNCTION("ROUND(GOOGLEFINANCE(""Currency:EURKZT"")*M43)"),238785)</f>
        <v>238785</v>
      </c>
      <c r="Q43" s="26">
        <f ca="1">IFERROR(__xludf.DUMMYFUNCTION("ROUND(GOOGLEFINANCE(""Currency:EURKZT"")*N43)"),238785)</f>
        <v>238785</v>
      </c>
      <c r="R43" s="26">
        <f t="shared" ca="1" si="4"/>
        <v>198402</v>
      </c>
      <c r="S43" s="26">
        <f t="shared" ca="1" si="5"/>
        <v>2329318</v>
      </c>
      <c r="T43" s="26">
        <f ca="1">IFERROR(__xludf.DUMMYFUNCTION("ROUND(GOOGLEFINANCE(""Currency:EURKZT"")*L43+S43)"),2643454)</f>
        <v>2643454</v>
      </c>
      <c r="U43" s="26">
        <f ca="1">IFERROR(__xludf.DUMMYFUNCTION("D43*GOOGLEFINANCE(""RUBKZT"")*1000/F43"),3006457.24648015)</f>
        <v>3006457.2464801501</v>
      </c>
      <c r="V43" s="27">
        <f t="shared" ca="1" si="6"/>
        <v>0.13732156734338866</v>
      </c>
    </row>
    <row r="44" spans="1:22" ht="12.75" customHeight="1" x14ac:dyDescent="0.2">
      <c r="A44" s="6" t="s">
        <v>70</v>
      </c>
      <c r="B44" s="6" t="s">
        <v>15</v>
      </c>
      <c r="C44" s="7">
        <v>110742</v>
      </c>
      <c r="D44" s="8">
        <v>106742.39999999999</v>
      </c>
      <c r="E44" s="9" t="s">
        <v>16</v>
      </c>
      <c r="F44" s="36">
        <v>208</v>
      </c>
      <c r="G44" s="25"/>
      <c r="H44" s="14">
        <f t="shared" si="0"/>
        <v>0.55000000000000004</v>
      </c>
      <c r="I44" s="25">
        <f ca="1">IFERROR(__xludf.DUMMYFUNCTION("ROUND(D44*GOOGLEFINANCE(""RUBKZT"")*H44)"),458132)</f>
        <v>458132</v>
      </c>
      <c r="J44" s="26">
        <f ca="1">IFERROR(__xludf.DUMMYFUNCTION("ROUND(I44*GOOGLEFINANCE(""KZTEUR""))"),959)</f>
        <v>959</v>
      </c>
      <c r="K44" s="26">
        <f t="shared" ca="1" si="1"/>
        <v>4611</v>
      </c>
      <c r="L44" s="26">
        <f t="shared" ca="1" si="2"/>
        <v>876.09</v>
      </c>
      <c r="M44" s="26">
        <f t="shared" ref="M44:N44" si="45">M$3</f>
        <v>500</v>
      </c>
      <c r="N44" s="26">
        <f t="shared" si="45"/>
        <v>500</v>
      </c>
      <c r="O44" s="26">
        <f ca="1">IFERROR(__xludf.DUMMYFUNCTION("ROUND(GOOGLEFINANCE(""Currency:EURKZT"")*K44)"),2202073)</f>
        <v>2202073</v>
      </c>
      <c r="P44" s="26">
        <f ca="1">IFERROR(__xludf.DUMMYFUNCTION("ROUND(GOOGLEFINANCE(""Currency:EURKZT"")*M44)"),238785)</f>
        <v>238785</v>
      </c>
      <c r="Q44" s="26">
        <f ca="1">IFERROR(__xludf.DUMMYFUNCTION("ROUND(GOOGLEFINANCE(""Currency:EURKZT"")*N44)"),238785)</f>
        <v>238785</v>
      </c>
      <c r="R44" s="26">
        <f t="shared" ca="1" si="4"/>
        <v>264249</v>
      </c>
      <c r="S44" s="26">
        <f t="shared" ca="1" si="5"/>
        <v>2943892</v>
      </c>
      <c r="T44" s="26">
        <f ca="1">IFERROR(__xludf.DUMMYFUNCTION("ROUND(GOOGLEFINANCE(""Currency:EURKZT"")*L44+S44)"),3362286)</f>
        <v>3362286</v>
      </c>
      <c r="U44" s="26">
        <f ca="1">IFERROR(__xludf.DUMMYFUNCTION("D44*GOOGLEFINANCE(""RUBKZT"")*1000/F44"),4004647.87344867)</f>
        <v>4004647.8734486699</v>
      </c>
      <c r="V44" s="27">
        <f t="shared" ca="1" si="6"/>
        <v>0.19104914735054362</v>
      </c>
    </row>
    <row r="45" spans="1:22" ht="12.75" customHeight="1" x14ac:dyDescent="0.2">
      <c r="A45" s="6" t="s">
        <v>71</v>
      </c>
      <c r="B45" s="6" t="s">
        <v>15</v>
      </c>
      <c r="C45" s="7">
        <v>110784</v>
      </c>
      <c r="D45" s="8">
        <v>89596.800000000003</v>
      </c>
      <c r="E45" s="9" t="s">
        <v>16</v>
      </c>
      <c r="F45" s="36">
        <v>208</v>
      </c>
      <c r="G45" s="25"/>
      <c r="H45" s="14">
        <f t="shared" si="0"/>
        <v>0.55000000000000004</v>
      </c>
      <c r="I45" s="25">
        <f ca="1">IFERROR(__xludf.DUMMYFUNCTION("ROUND(D45*GOOGLEFINANCE(""RUBKZT"")*H45)"),384544)</f>
        <v>384544</v>
      </c>
      <c r="J45" s="26">
        <f ca="1">IFERROR(__xludf.DUMMYFUNCTION("ROUND(I45*GOOGLEFINANCE(""KZTEUR""))"),805)</f>
        <v>805</v>
      </c>
      <c r="K45" s="26">
        <f t="shared" ca="1" si="1"/>
        <v>3870</v>
      </c>
      <c r="L45" s="26">
        <f t="shared" ca="1" si="2"/>
        <v>735.3</v>
      </c>
      <c r="M45" s="26">
        <f t="shared" ref="M45:N45" si="46">M$3</f>
        <v>500</v>
      </c>
      <c r="N45" s="26">
        <f t="shared" si="46"/>
        <v>500</v>
      </c>
      <c r="O45" s="26">
        <f ca="1">IFERROR(__xludf.DUMMYFUNCTION("ROUND(GOOGLEFINANCE(""Currency:EURKZT"")*K45)"),1848194)</f>
        <v>1848194</v>
      </c>
      <c r="P45" s="26">
        <f ca="1">IFERROR(__xludf.DUMMYFUNCTION("ROUND(GOOGLEFINANCE(""Currency:EURKZT"")*M45)"),238785)</f>
        <v>238785</v>
      </c>
      <c r="Q45" s="26">
        <f ca="1">IFERROR(__xludf.DUMMYFUNCTION("ROUND(GOOGLEFINANCE(""Currency:EURKZT"")*N45)"),238785)</f>
        <v>238785</v>
      </c>
      <c r="R45" s="26">
        <f t="shared" ca="1" si="4"/>
        <v>221783</v>
      </c>
      <c r="S45" s="26">
        <f t="shared" ca="1" si="5"/>
        <v>2547547</v>
      </c>
      <c r="T45" s="26">
        <f ca="1">IFERROR(__xludf.DUMMYFUNCTION("ROUND(GOOGLEFINANCE(""Currency:EURKZT"")*L45+S45)"),2898704)</f>
        <v>2898704</v>
      </c>
      <c r="U45" s="26">
        <f ca="1">IFERROR(__xludf.DUMMYFUNCTION("D45*GOOGLEFINANCE(""RUBKZT"")*1000/F45"),3361397.48204843)</f>
        <v>3361397.48204843</v>
      </c>
      <c r="V45" s="27">
        <f t="shared" ca="1" si="6"/>
        <v>0.15962081055824603</v>
      </c>
    </row>
    <row r="46" spans="1:22" ht="12.75" customHeight="1" x14ac:dyDescent="0.2">
      <c r="A46" s="6" t="s">
        <v>73</v>
      </c>
      <c r="B46" s="6" t="s">
        <v>15</v>
      </c>
      <c r="C46" s="7">
        <v>110800</v>
      </c>
      <c r="D46" s="8">
        <v>95674.8</v>
      </c>
      <c r="E46" s="9" t="s">
        <v>16</v>
      </c>
      <c r="F46" s="36">
        <v>208</v>
      </c>
      <c r="G46" s="25"/>
      <c r="H46" s="14">
        <f t="shared" si="0"/>
        <v>0.55000000000000004</v>
      </c>
      <c r="I46" s="25">
        <f ca="1">IFERROR(__xludf.DUMMYFUNCTION("ROUND(D46*GOOGLEFINANCE(""RUBKZT"")*H46)"),410630)</f>
        <v>410630</v>
      </c>
      <c r="J46" s="26">
        <f ca="1">IFERROR(__xludf.DUMMYFUNCTION("ROUND(I46*GOOGLEFINANCE(""KZTEUR""))"),860)</f>
        <v>860</v>
      </c>
      <c r="K46" s="26">
        <f t="shared" ca="1" si="1"/>
        <v>4135</v>
      </c>
      <c r="L46" s="26">
        <f t="shared" ca="1" si="2"/>
        <v>785.65</v>
      </c>
      <c r="M46" s="26">
        <f t="shared" ref="M46:N46" si="47">M$3</f>
        <v>500</v>
      </c>
      <c r="N46" s="26">
        <f t="shared" si="47"/>
        <v>500</v>
      </c>
      <c r="O46" s="26">
        <f ca="1">IFERROR(__xludf.DUMMYFUNCTION("ROUND(GOOGLEFINANCE(""Currency:EURKZT"")*K46)"),1974750)</f>
        <v>1974750</v>
      </c>
      <c r="P46" s="26">
        <f ca="1">IFERROR(__xludf.DUMMYFUNCTION("ROUND(GOOGLEFINANCE(""Currency:EURKZT"")*M46)"),238785)</f>
        <v>238785</v>
      </c>
      <c r="Q46" s="26">
        <f ca="1">IFERROR(__xludf.DUMMYFUNCTION("ROUND(GOOGLEFINANCE(""Currency:EURKZT"")*N46)"),238785)</f>
        <v>238785</v>
      </c>
      <c r="R46" s="26">
        <f t="shared" ca="1" si="4"/>
        <v>236970</v>
      </c>
      <c r="S46" s="26">
        <f t="shared" ca="1" si="5"/>
        <v>2689290</v>
      </c>
      <c r="T46" s="26">
        <f ca="1">IFERROR(__xludf.DUMMYFUNCTION("ROUND(GOOGLEFINANCE(""Currency:EURKZT"")*L46+S46)"),3064493)</f>
        <v>3064493</v>
      </c>
      <c r="U46" s="26">
        <f ca="1">IFERROR(__xludf.DUMMYFUNCTION("D46*GOOGLEFINANCE(""RUBKZT"")*1000/F46"),3589425.4238487)</f>
        <v>3589425.4238486998</v>
      </c>
      <c r="V46" s="27">
        <f t="shared" ca="1" si="6"/>
        <v>0.17129503113523176</v>
      </c>
    </row>
    <row r="47" spans="1:22" ht="12.75" customHeight="1" x14ac:dyDescent="0.2">
      <c r="A47" s="6" t="s">
        <v>74</v>
      </c>
      <c r="B47" s="6" t="s">
        <v>15</v>
      </c>
      <c r="C47" s="7">
        <v>111382</v>
      </c>
      <c r="D47" s="8">
        <v>111193.2</v>
      </c>
      <c r="E47" s="9" t="s">
        <v>16</v>
      </c>
      <c r="F47" s="36">
        <v>208</v>
      </c>
      <c r="G47" s="25"/>
      <c r="H47" s="14">
        <f t="shared" si="0"/>
        <v>0.55000000000000004</v>
      </c>
      <c r="I47" s="25">
        <f ca="1">IFERROR(__xludf.DUMMYFUNCTION("ROUND(D47*GOOGLEFINANCE(""RUBKZT"")*H47)"),477234)</f>
        <v>477234</v>
      </c>
      <c r="J47" s="26">
        <f ca="1">IFERROR(__xludf.DUMMYFUNCTION("ROUND(I47*GOOGLEFINANCE(""KZTEUR""))"),999)</f>
        <v>999</v>
      </c>
      <c r="K47" s="26">
        <f t="shared" ca="1" si="1"/>
        <v>4803</v>
      </c>
      <c r="L47" s="26">
        <f t="shared" ca="1" si="2"/>
        <v>912.57</v>
      </c>
      <c r="M47" s="26">
        <f t="shared" ref="M47:N47" si="48">M$3</f>
        <v>500</v>
      </c>
      <c r="N47" s="26">
        <f t="shared" si="48"/>
        <v>500</v>
      </c>
      <c r="O47" s="26">
        <f ca="1">IFERROR(__xludf.DUMMYFUNCTION("ROUND(GOOGLEFINANCE(""Currency:EURKZT"")*K47)"),2293767)</f>
        <v>2293767</v>
      </c>
      <c r="P47" s="26">
        <f ca="1">IFERROR(__xludf.DUMMYFUNCTION("ROUND(GOOGLEFINANCE(""Currency:EURKZT"")*M47)"),238785)</f>
        <v>238785</v>
      </c>
      <c r="Q47" s="26">
        <f ca="1">IFERROR(__xludf.DUMMYFUNCTION("ROUND(GOOGLEFINANCE(""Currency:EURKZT"")*N47)"),238785)</f>
        <v>238785</v>
      </c>
      <c r="R47" s="26">
        <f t="shared" ca="1" si="4"/>
        <v>275252</v>
      </c>
      <c r="S47" s="26">
        <f t="shared" ca="1" si="5"/>
        <v>3046589</v>
      </c>
      <c r="T47" s="26">
        <f ca="1">IFERROR(__xludf.DUMMYFUNCTION("ROUND(GOOGLEFINANCE(""Currency:EURKZT"")*L47+S47)"),3482405)</f>
        <v>3482405</v>
      </c>
      <c r="U47" s="26">
        <f ca="1">IFERROR(__xludf.DUMMYFUNCTION("D47*GOOGLEFINANCE(""RUBKZT"")*1000/F47"),4171628.25570676)</f>
        <v>4171628.2557067601</v>
      </c>
      <c r="V47" s="27">
        <f t="shared" ca="1" si="6"/>
        <v>0.19791588161249485</v>
      </c>
    </row>
    <row r="48" spans="1:22" ht="12.75" customHeight="1" x14ac:dyDescent="0.2">
      <c r="A48" s="6" t="s">
        <v>75</v>
      </c>
      <c r="B48" s="6" t="s">
        <v>15</v>
      </c>
      <c r="C48" s="7">
        <v>111482</v>
      </c>
      <c r="D48" s="8">
        <v>100894.8</v>
      </c>
      <c r="E48" s="9" t="s">
        <v>16</v>
      </c>
      <c r="F48" s="36">
        <v>208</v>
      </c>
      <c r="G48" s="25"/>
      <c r="H48" s="14">
        <f t="shared" si="0"/>
        <v>0.55000000000000004</v>
      </c>
      <c r="I48" s="25">
        <f ca="1">IFERROR(__xludf.DUMMYFUNCTION("ROUND(D48*GOOGLEFINANCE(""RUBKZT"")*H48)"),433034)</f>
        <v>433034</v>
      </c>
      <c r="J48" s="26">
        <f ca="1">IFERROR(__xludf.DUMMYFUNCTION("ROUND(I48*GOOGLEFINANCE(""KZTEUR""))"),907)</f>
        <v>907</v>
      </c>
      <c r="K48" s="26">
        <f t="shared" ca="1" si="1"/>
        <v>4361</v>
      </c>
      <c r="L48" s="26">
        <f t="shared" ca="1" si="2"/>
        <v>828.59</v>
      </c>
      <c r="M48" s="26">
        <f t="shared" ref="M48:N48" si="49">M$3</f>
        <v>500</v>
      </c>
      <c r="N48" s="26">
        <f t="shared" si="49"/>
        <v>500</v>
      </c>
      <c r="O48" s="26">
        <f ca="1">IFERROR(__xludf.DUMMYFUNCTION("ROUND(GOOGLEFINANCE(""Currency:EURKZT"")*K48)"),2082681)</f>
        <v>2082681</v>
      </c>
      <c r="P48" s="26">
        <f ca="1">IFERROR(__xludf.DUMMYFUNCTION("ROUND(GOOGLEFINANCE(""Currency:EURKZT"")*M48)"),238785)</f>
        <v>238785</v>
      </c>
      <c r="Q48" s="26">
        <f ca="1">IFERROR(__xludf.DUMMYFUNCTION("ROUND(GOOGLEFINANCE(""Currency:EURKZT"")*N48)"),238785)</f>
        <v>238785</v>
      </c>
      <c r="R48" s="26">
        <f t="shared" ca="1" si="4"/>
        <v>249922</v>
      </c>
      <c r="S48" s="26">
        <f t="shared" ca="1" si="5"/>
        <v>2810173</v>
      </c>
      <c r="T48" s="26">
        <f ca="1">IFERROR(__xludf.DUMMYFUNCTION("ROUND(GOOGLEFINANCE(""Currency:EURKZT"")*L48+S48)"),3205882)</f>
        <v>3205882</v>
      </c>
      <c r="U48" s="26">
        <f ca="1">IFERROR(__xludf.DUMMYFUNCTION("D48*GOOGLEFINANCE(""RUBKZT"")*1000/F48"),3785263.83388446)</f>
        <v>3785263.8338844599</v>
      </c>
      <c r="V48" s="27">
        <f t="shared" ca="1" si="6"/>
        <v>0.18072462863089156</v>
      </c>
    </row>
    <row r="49" spans="1:22" ht="12.75" customHeight="1" x14ac:dyDescent="0.2">
      <c r="A49" s="6" t="s">
        <v>76</v>
      </c>
      <c r="B49" s="6" t="s">
        <v>15</v>
      </c>
      <c r="C49" s="7">
        <v>111679</v>
      </c>
      <c r="D49" s="8">
        <v>99068.4</v>
      </c>
      <c r="E49" s="9" t="s">
        <v>16</v>
      </c>
      <c r="F49" s="36">
        <v>208</v>
      </c>
      <c r="G49" s="25"/>
      <c r="H49" s="14">
        <f t="shared" si="0"/>
        <v>0.55000000000000004</v>
      </c>
      <c r="I49" s="25">
        <f ca="1">IFERROR(__xludf.DUMMYFUNCTION("ROUND(D49*GOOGLEFINANCE(""RUBKZT"")*H49)"),425195)</f>
        <v>425195</v>
      </c>
      <c r="J49" s="26">
        <f ca="1">IFERROR(__xludf.DUMMYFUNCTION("ROUND(I49*GOOGLEFINANCE(""KZTEUR""))"),890)</f>
        <v>890</v>
      </c>
      <c r="K49" s="26">
        <f t="shared" ca="1" si="1"/>
        <v>4279</v>
      </c>
      <c r="L49" s="26">
        <f t="shared" ca="1" si="2"/>
        <v>813.01</v>
      </c>
      <c r="M49" s="26">
        <f t="shared" ref="M49:N49" si="50">M$3</f>
        <v>500</v>
      </c>
      <c r="N49" s="26">
        <f t="shared" si="50"/>
        <v>500</v>
      </c>
      <c r="O49" s="26">
        <f ca="1">IFERROR(__xludf.DUMMYFUNCTION("ROUND(GOOGLEFINANCE(""Currency:EURKZT"")*K49)"),2043520)</f>
        <v>2043520</v>
      </c>
      <c r="P49" s="26">
        <f ca="1">IFERROR(__xludf.DUMMYFUNCTION("ROUND(GOOGLEFINANCE(""Currency:EURKZT"")*M49)"),238785)</f>
        <v>238785</v>
      </c>
      <c r="Q49" s="26">
        <f ca="1">IFERROR(__xludf.DUMMYFUNCTION("ROUND(GOOGLEFINANCE(""Currency:EURKZT"")*N49)"),238785)</f>
        <v>238785</v>
      </c>
      <c r="R49" s="26">
        <f t="shared" ca="1" si="4"/>
        <v>245222</v>
      </c>
      <c r="S49" s="26">
        <f t="shared" ca="1" si="5"/>
        <v>2766312</v>
      </c>
      <c r="T49" s="26">
        <f ca="1">IFERROR(__xludf.DUMMYFUNCTION("ROUND(GOOGLEFINANCE(""Currency:EURKZT"")*L49+S49)"),3154581)</f>
        <v>3154581</v>
      </c>
      <c r="U49" s="26">
        <f ca="1">IFERROR(__xludf.DUMMYFUNCTION("D49*GOOGLEFINANCE(""RUBKZT"")*1000/F49"),3716742.90053402)</f>
        <v>3716742.9005340198</v>
      </c>
      <c r="V49" s="27">
        <f t="shared" ca="1" si="6"/>
        <v>0.17820493451714184</v>
      </c>
    </row>
    <row r="50" spans="1:22" ht="12.75" customHeight="1" x14ac:dyDescent="0.2">
      <c r="A50" s="6" t="s">
        <v>67</v>
      </c>
      <c r="B50" s="6" t="s">
        <v>15</v>
      </c>
      <c r="C50" s="7">
        <v>111811</v>
      </c>
      <c r="D50" s="8">
        <v>94526.399999999994</v>
      </c>
      <c r="E50" s="9" t="s">
        <v>16</v>
      </c>
      <c r="F50" s="36">
        <v>208</v>
      </c>
      <c r="G50" s="25"/>
      <c r="H50" s="14">
        <f t="shared" si="0"/>
        <v>0.55000000000000004</v>
      </c>
      <c r="I50" s="25">
        <f ca="1">IFERROR(__xludf.DUMMYFUNCTION("ROUND(D50*GOOGLEFINANCE(""RUBKZT"")*H50)"),405701)</f>
        <v>405701</v>
      </c>
      <c r="J50" s="26">
        <f ca="1">IFERROR(__xludf.DUMMYFUNCTION("ROUND(I50*GOOGLEFINANCE(""KZTEUR""))"),850)</f>
        <v>850</v>
      </c>
      <c r="K50" s="26">
        <f t="shared" ca="1" si="1"/>
        <v>4087</v>
      </c>
      <c r="L50" s="26">
        <f t="shared" ca="1" si="2"/>
        <v>776.53</v>
      </c>
      <c r="M50" s="26">
        <f t="shared" ref="M50:N50" si="51">M$3</f>
        <v>500</v>
      </c>
      <c r="N50" s="26">
        <f t="shared" si="51"/>
        <v>500</v>
      </c>
      <c r="O50" s="26">
        <f ca="1">IFERROR(__xludf.DUMMYFUNCTION("ROUND(GOOGLEFINANCE(""Currency:EURKZT"")*K50)"),1951827)</f>
        <v>1951827</v>
      </c>
      <c r="P50" s="26">
        <f ca="1">IFERROR(__xludf.DUMMYFUNCTION("ROUND(GOOGLEFINANCE(""Currency:EURKZT"")*M50)"),238785)</f>
        <v>238785</v>
      </c>
      <c r="Q50" s="26">
        <f ca="1">IFERROR(__xludf.DUMMYFUNCTION("ROUND(GOOGLEFINANCE(""Currency:EURKZT"")*N50)"),238785)</f>
        <v>238785</v>
      </c>
      <c r="R50" s="26">
        <f t="shared" ca="1" si="4"/>
        <v>234219</v>
      </c>
      <c r="S50" s="26">
        <f t="shared" ca="1" si="5"/>
        <v>2663616</v>
      </c>
      <c r="T50" s="26">
        <f ca="1">IFERROR(__xludf.DUMMYFUNCTION("ROUND(GOOGLEFINANCE(""Currency:EURKZT"")*L50+S50)"),3034463)</f>
        <v>3034463</v>
      </c>
      <c r="U50" s="26">
        <f ca="1">IFERROR(__xludf.DUMMYFUNCTION("D50*GOOGLEFINANCE(""RUBKZT"")*1000/F50"),3546340.97364083)</f>
        <v>3546340.9736408298</v>
      </c>
      <c r="V50" s="27">
        <f t="shared" ca="1" si="6"/>
        <v>0.1686881578852106</v>
      </c>
    </row>
    <row r="51" spans="1:22" ht="12.75" customHeight="1" x14ac:dyDescent="0.2">
      <c r="A51" s="6" t="s">
        <v>77</v>
      </c>
      <c r="B51" s="6" t="s">
        <v>15</v>
      </c>
      <c r="C51" s="7">
        <v>112111</v>
      </c>
      <c r="D51" s="8">
        <v>123115.2</v>
      </c>
      <c r="E51" s="9" t="s">
        <v>16</v>
      </c>
      <c r="F51" s="36">
        <v>208</v>
      </c>
      <c r="G51" s="25"/>
      <c r="H51" s="14">
        <f t="shared" si="0"/>
        <v>0.55000000000000004</v>
      </c>
      <c r="I51" s="25">
        <f ca="1">IFERROR(__xludf.DUMMYFUNCTION("ROUND(D51*GOOGLEFINANCE(""RUBKZT"")*H51)"),528403)</f>
        <v>528403</v>
      </c>
      <c r="J51" s="26">
        <f ca="1">IFERROR(__xludf.DUMMYFUNCTION("ROUND(I51*GOOGLEFINANCE(""KZTEUR""))"),1107)</f>
        <v>1107</v>
      </c>
      <c r="K51" s="26">
        <f t="shared" ca="1" si="1"/>
        <v>5322</v>
      </c>
      <c r="L51" s="26">
        <f t="shared" ca="1" si="2"/>
        <v>1011.1800000000001</v>
      </c>
      <c r="M51" s="26">
        <f t="shared" ref="M51:N51" si="52">M$3</f>
        <v>500</v>
      </c>
      <c r="N51" s="26">
        <f t="shared" si="52"/>
        <v>500</v>
      </c>
      <c r="O51" s="26">
        <f ca="1">IFERROR(__xludf.DUMMYFUNCTION("ROUND(GOOGLEFINANCE(""Currency:EURKZT"")*K51)"),2541625)</f>
        <v>2541625</v>
      </c>
      <c r="P51" s="26">
        <f ca="1">IFERROR(__xludf.DUMMYFUNCTION("ROUND(GOOGLEFINANCE(""Currency:EURKZT"")*M51)"),238785)</f>
        <v>238785</v>
      </c>
      <c r="Q51" s="26">
        <f ca="1">IFERROR(__xludf.DUMMYFUNCTION("ROUND(GOOGLEFINANCE(""Currency:EURKZT"")*N51)"),238785)</f>
        <v>238785</v>
      </c>
      <c r="R51" s="26">
        <f t="shared" ca="1" si="4"/>
        <v>304995</v>
      </c>
      <c r="S51" s="26">
        <f t="shared" ca="1" si="5"/>
        <v>3324190</v>
      </c>
      <c r="T51" s="26">
        <f ca="1">IFERROR(__xludf.DUMMYFUNCTION("ROUND(GOOGLEFINANCE(""Currency:EURKZT"")*L51+S51)"),3807099)</f>
        <v>3807099</v>
      </c>
      <c r="U51" s="26">
        <f ca="1">IFERROR(__xludf.DUMMYFUNCTION("D51*GOOGLEFINANCE(""RUBKZT"")*1000/F51"),4618905.1760988)</f>
        <v>4618905.1760988003</v>
      </c>
      <c r="V51" s="27">
        <f t="shared" ca="1" si="6"/>
        <v>0.21323484787204122</v>
      </c>
    </row>
    <row r="52" spans="1:22" ht="12.75" customHeight="1" x14ac:dyDescent="0.2">
      <c r="A52" s="6" t="s">
        <v>79</v>
      </c>
      <c r="B52" s="6" t="s">
        <v>15</v>
      </c>
      <c r="C52" s="7">
        <v>112271</v>
      </c>
      <c r="D52" s="8">
        <v>92469.599999999991</v>
      </c>
      <c r="E52" s="9" t="s">
        <v>16</v>
      </c>
      <c r="F52" s="36">
        <v>208</v>
      </c>
      <c r="G52" s="25"/>
      <c r="H52" s="14">
        <f t="shared" si="0"/>
        <v>0.55000000000000004</v>
      </c>
      <c r="I52" s="25">
        <f ca="1">IFERROR(__xludf.DUMMYFUNCTION("ROUND(D52*GOOGLEFINANCE(""RUBKZT"")*H52)"),396874)</f>
        <v>396874</v>
      </c>
      <c r="J52" s="26">
        <f ca="1">IFERROR(__xludf.DUMMYFUNCTION("ROUND(I52*GOOGLEFINANCE(""KZTEUR""))"),831)</f>
        <v>831</v>
      </c>
      <c r="K52" s="26">
        <f t="shared" ca="1" si="1"/>
        <v>3995</v>
      </c>
      <c r="L52" s="26">
        <f t="shared" ca="1" si="2"/>
        <v>759.05</v>
      </c>
      <c r="M52" s="26">
        <f t="shared" ref="M52:N52" si="53">M$3</f>
        <v>500</v>
      </c>
      <c r="N52" s="26">
        <f t="shared" si="53"/>
        <v>500</v>
      </c>
      <c r="O52" s="26">
        <f ca="1">IFERROR(__xludf.DUMMYFUNCTION("ROUND(GOOGLEFINANCE(""Currency:EURKZT"")*K52)"),1907891)</f>
        <v>1907891</v>
      </c>
      <c r="P52" s="26">
        <f ca="1">IFERROR(__xludf.DUMMYFUNCTION("ROUND(GOOGLEFINANCE(""Currency:EURKZT"")*M52)"),238785)</f>
        <v>238785</v>
      </c>
      <c r="Q52" s="26">
        <f ca="1">IFERROR(__xludf.DUMMYFUNCTION("ROUND(GOOGLEFINANCE(""Currency:EURKZT"")*N52)"),238785)</f>
        <v>238785</v>
      </c>
      <c r="R52" s="26">
        <f t="shared" ca="1" si="4"/>
        <v>228947</v>
      </c>
      <c r="S52" s="26">
        <f t="shared" ca="1" si="5"/>
        <v>2614408</v>
      </c>
      <c r="T52" s="26">
        <f ca="1">IFERROR(__xludf.DUMMYFUNCTION("ROUND(GOOGLEFINANCE(""Currency:EURKZT"")*L52+S52)"),2976907)</f>
        <v>2976907</v>
      </c>
      <c r="U52" s="26">
        <f ca="1">IFERROR(__xludf.DUMMYFUNCTION("D52*GOOGLEFINANCE(""RUBKZT"")*1000/F52"),3469176.13805432)</f>
        <v>3469176.1380543201</v>
      </c>
      <c r="V52" s="27">
        <f t="shared" ca="1" si="6"/>
        <v>0.16536261900500088</v>
      </c>
    </row>
    <row r="53" spans="1:22" ht="12.75" customHeight="1" x14ac:dyDescent="0.2">
      <c r="A53" s="6" t="s">
        <v>80</v>
      </c>
      <c r="B53" s="6" t="s">
        <v>15</v>
      </c>
      <c r="C53" s="7">
        <v>112332</v>
      </c>
      <c r="D53" s="8">
        <v>104568</v>
      </c>
      <c r="E53" s="9" t="s">
        <v>16</v>
      </c>
      <c r="F53" s="36">
        <v>208</v>
      </c>
      <c r="G53" s="25"/>
      <c r="H53" s="14">
        <f t="shared" si="0"/>
        <v>0.55000000000000004</v>
      </c>
      <c r="I53" s="25">
        <f ca="1">IFERROR(__xludf.DUMMYFUNCTION("ROUND(D53*GOOGLEFINANCE(""RUBKZT"")*H53)"),448799)</f>
        <v>448799</v>
      </c>
      <c r="J53" s="26">
        <f ca="1">IFERROR(__xludf.DUMMYFUNCTION("ROUND(I53*GOOGLEFINANCE(""KZTEUR""))"),940)</f>
        <v>940</v>
      </c>
      <c r="K53" s="26">
        <f t="shared" ca="1" si="1"/>
        <v>4519</v>
      </c>
      <c r="L53" s="26">
        <f t="shared" ca="1" si="2"/>
        <v>858.61</v>
      </c>
      <c r="M53" s="26">
        <f t="shared" ref="M53:N53" si="54">M$3</f>
        <v>500</v>
      </c>
      <c r="N53" s="26">
        <f t="shared" si="54"/>
        <v>500</v>
      </c>
      <c r="O53" s="26">
        <f ca="1">IFERROR(__xludf.DUMMYFUNCTION("ROUND(GOOGLEFINANCE(""Currency:EURKZT"")*K53)"),2158137)</f>
        <v>2158137</v>
      </c>
      <c r="P53" s="26">
        <f ca="1">IFERROR(__xludf.DUMMYFUNCTION("ROUND(GOOGLEFINANCE(""Currency:EURKZT"")*M53)"),238785)</f>
        <v>238785</v>
      </c>
      <c r="Q53" s="26">
        <f ca="1">IFERROR(__xludf.DUMMYFUNCTION("ROUND(GOOGLEFINANCE(""Currency:EURKZT"")*N53)"),238785)</f>
        <v>238785</v>
      </c>
      <c r="R53" s="26">
        <f t="shared" ca="1" si="4"/>
        <v>258976</v>
      </c>
      <c r="S53" s="26">
        <f t="shared" ca="1" si="5"/>
        <v>2894683</v>
      </c>
      <c r="T53" s="26">
        <f ca="1">IFERROR(__xludf.DUMMYFUNCTION("ROUND(GOOGLEFINANCE(""Currency:EURKZT"")*L53+S53)"),3304729)</f>
        <v>3304729</v>
      </c>
      <c r="U53" s="26">
        <f ca="1">IFERROR(__xludf.DUMMYFUNCTION("D53*GOOGLEFINANCE(""RUBKZT"")*1000/F53"),3923071.04609584)</f>
        <v>3923071.0460958402</v>
      </c>
      <c r="V53" s="27">
        <f t="shared" ca="1" si="6"/>
        <v>0.18710824581859517</v>
      </c>
    </row>
    <row r="54" spans="1:22" ht="12.75" customHeight="1" x14ac:dyDescent="0.2">
      <c r="A54" s="6" t="s">
        <v>81</v>
      </c>
      <c r="B54" s="6" t="s">
        <v>15</v>
      </c>
      <c r="C54" s="7">
        <v>112333</v>
      </c>
      <c r="D54" s="8">
        <v>80425.2</v>
      </c>
      <c r="E54" s="9" t="s">
        <v>16</v>
      </c>
      <c r="F54" s="36">
        <v>208</v>
      </c>
      <c r="G54" s="25"/>
      <c r="H54" s="14">
        <f t="shared" si="0"/>
        <v>0.55000000000000004</v>
      </c>
      <c r="I54" s="25">
        <f ca="1">IFERROR(__xludf.DUMMYFUNCTION("ROUND(D54*GOOGLEFINANCE(""RUBKZT"")*H54)"),345180)</f>
        <v>345180</v>
      </c>
      <c r="J54" s="26">
        <f ca="1">IFERROR(__xludf.DUMMYFUNCTION("ROUND(I54*GOOGLEFINANCE(""KZTEUR""))"),723)</f>
        <v>723</v>
      </c>
      <c r="K54" s="26">
        <f t="shared" ca="1" si="1"/>
        <v>3476</v>
      </c>
      <c r="L54" s="26">
        <f t="shared" ca="1" si="2"/>
        <v>660.44</v>
      </c>
      <c r="M54" s="26">
        <f t="shared" ref="M54:N54" si="55">M$3</f>
        <v>500</v>
      </c>
      <c r="N54" s="26">
        <f t="shared" si="55"/>
        <v>500</v>
      </c>
      <c r="O54" s="26">
        <f ca="1">IFERROR(__xludf.DUMMYFUNCTION("ROUND(GOOGLEFINANCE(""Currency:EURKZT"")*K54)"),1660032)</f>
        <v>1660032</v>
      </c>
      <c r="P54" s="26">
        <f ca="1">IFERROR(__xludf.DUMMYFUNCTION("ROUND(GOOGLEFINANCE(""Currency:EURKZT"")*M54)"),238785)</f>
        <v>238785</v>
      </c>
      <c r="Q54" s="26">
        <f ca="1">IFERROR(__xludf.DUMMYFUNCTION("ROUND(GOOGLEFINANCE(""Currency:EURKZT"")*N54)"),238785)</f>
        <v>238785</v>
      </c>
      <c r="R54" s="26">
        <f t="shared" ca="1" si="4"/>
        <v>199204</v>
      </c>
      <c r="S54" s="26">
        <f t="shared" ca="1" si="5"/>
        <v>2336806</v>
      </c>
      <c r="T54" s="26">
        <f ca="1">IFERROR(__xludf.DUMMYFUNCTION("ROUND(GOOGLEFINANCE(""Currency:EURKZT"")*L54+S54)"),2652212)</f>
        <v>2652212</v>
      </c>
      <c r="U54" s="26">
        <f ca="1">IFERROR(__xludf.DUMMYFUNCTION("D54*GOOGLEFINANCE(""RUBKZT"")*1000/F54"),3017307.14459937)</f>
        <v>3017307.1445993702</v>
      </c>
      <c r="V54" s="27">
        <f t="shared" ca="1" si="6"/>
        <v>0.13765684817027077</v>
      </c>
    </row>
    <row r="55" spans="1:22" ht="12.75" customHeight="1" x14ac:dyDescent="0.2">
      <c r="A55" s="6" t="s">
        <v>82</v>
      </c>
      <c r="B55" s="6" t="s">
        <v>15</v>
      </c>
      <c r="C55" s="7">
        <v>112339</v>
      </c>
      <c r="D55" s="8">
        <v>82160.399999999994</v>
      </c>
      <c r="E55" s="9" t="s">
        <v>16</v>
      </c>
      <c r="F55" s="36">
        <v>208</v>
      </c>
      <c r="G55" s="25"/>
      <c r="H55" s="14">
        <f t="shared" si="0"/>
        <v>0.55000000000000004</v>
      </c>
      <c r="I55" s="25">
        <f ca="1">IFERROR(__xludf.DUMMYFUNCTION("ROUND(D55*GOOGLEFINANCE(""RUBKZT"")*H55)"),352627)</f>
        <v>352627</v>
      </c>
      <c r="J55" s="26">
        <f ca="1">IFERROR(__xludf.DUMMYFUNCTION("ROUND(I55*GOOGLEFINANCE(""KZTEUR""))"),739)</f>
        <v>739</v>
      </c>
      <c r="K55" s="26">
        <f t="shared" ca="1" si="1"/>
        <v>3553</v>
      </c>
      <c r="L55" s="26">
        <f t="shared" ca="1" si="2"/>
        <v>675.07</v>
      </c>
      <c r="M55" s="26">
        <f t="shared" ref="M55:N55" si="56">M$3</f>
        <v>500</v>
      </c>
      <c r="N55" s="26">
        <f t="shared" si="56"/>
        <v>500</v>
      </c>
      <c r="O55" s="26">
        <f ca="1">IFERROR(__xludf.DUMMYFUNCTION("ROUND(GOOGLEFINANCE(""Currency:EURKZT"")*K55)"),1696805)</f>
        <v>1696805</v>
      </c>
      <c r="P55" s="26">
        <f ca="1">IFERROR(__xludf.DUMMYFUNCTION("ROUND(GOOGLEFINANCE(""Currency:EURKZT"")*M55)"),238785)</f>
        <v>238785</v>
      </c>
      <c r="Q55" s="26">
        <f ca="1">IFERROR(__xludf.DUMMYFUNCTION("ROUND(GOOGLEFINANCE(""Currency:EURKZT"")*N55)"),238785)</f>
        <v>238785</v>
      </c>
      <c r="R55" s="26">
        <f t="shared" ca="1" si="4"/>
        <v>203617</v>
      </c>
      <c r="S55" s="26">
        <f t="shared" ca="1" si="5"/>
        <v>2377992</v>
      </c>
      <c r="T55" s="26">
        <f ca="1">IFERROR(__xludf.DUMMYFUNCTION("ROUND(GOOGLEFINANCE(""Currency:EURKZT"")*L55+S55)"),2700385)</f>
        <v>2700385</v>
      </c>
      <c r="U55" s="26">
        <f ca="1">IFERROR(__xludf.DUMMYFUNCTION("D55*GOOGLEFINANCE(""RUBKZT"")*1000/F55"),3082406.53331471)</f>
        <v>3082406.53331471</v>
      </c>
      <c r="V55" s="27">
        <f t="shared" ca="1" si="6"/>
        <v>0.14146928431120379</v>
      </c>
    </row>
    <row r="56" spans="1:22" ht="12.75" customHeight="1" x14ac:dyDescent="0.2">
      <c r="A56" s="6" t="s">
        <v>83</v>
      </c>
      <c r="B56" s="6" t="s">
        <v>15</v>
      </c>
      <c r="C56" s="7">
        <v>112354</v>
      </c>
      <c r="D56" s="8">
        <v>140662.79999999999</v>
      </c>
      <c r="E56" s="9" t="s">
        <v>16</v>
      </c>
      <c r="F56" s="36">
        <v>208</v>
      </c>
      <c r="G56" s="25"/>
      <c r="H56" s="14">
        <f t="shared" si="0"/>
        <v>0.55000000000000004</v>
      </c>
      <c r="I56" s="25">
        <f ca="1">IFERROR(__xludf.DUMMYFUNCTION("ROUND(D56*GOOGLEFINANCE(""RUBKZT"")*H56)"),603716)</f>
        <v>603716</v>
      </c>
      <c r="J56" s="26">
        <f ca="1">IFERROR(__xludf.DUMMYFUNCTION("ROUND(I56*GOOGLEFINANCE(""KZTEUR""))"),1264)</f>
        <v>1264</v>
      </c>
      <c r="K56" s="26">
        <f t="shared" ca="1" si="1"/>
        <v>6077</v>
      </c>
      <c r="L56" s="26">
        <f t="shared" ca="1" si="2"/>
        <v>1154.6300000000001</v>
      </c>
      <c r="M56" s="26">
        <f t="shared" ref="M56:N56" si="57">M$3</f>
        <v>500</v>
      </c>
      <c r="N56" s="26">
        <f t="shared" si="57"/>
        <v>500</v>
      </c>
      <c r="O56" s="26">
        <f ca="1">IFERROR(__xludf.DUMMYFUNCTION("ROUND(GOOGLEFINANCE(""Currency:EURKZT"")*K56)"),2902191)</f>
        <v>2902191</v>
      </c>
      <c r="P56" s="26">
        <f ca="1">IFERROR(__xludf.DUMMYFUNCTION("ROUND(GOOGLEFINANCE(""Currency:EURKZT"")*M56)"),238785)</f>
        <v>238785</v>
      </c>
      <c r="Q56" s="26">
        <f ca="1">IFERROR(__xludf.DUMMYFUNCTION("ROUND(GOOGLEFINANCE(""Currency:EURKZT"")*N56)"),238785)</f>
        <v>238785</v>
      </c>
      <c r="R56" s="26">
        <f t="shared" ca="1" si="4"/>
        <v>348263</v>
      </c>
      <c r="S56" s="26">
        <f t="shared" ca="1" si="5"/>
        <v>3728024</v>
      </c>
      <c r="T56" s="26">
        <f ca="1">IFERROR(__xludf.DUMMYFUNCTION("ROUND(GOOGLEFINANCE(""Currency:EURKZT"")*L56+S56)"),4279440)</f>
        <v>4279440</v>
      </c>
      <c r="U56" s="26">
        <f ca="1">IFERROR(__xludf.DUMMYFUNCTION("D56*GOOGLEFINANCE(""RUBKZT"")*1000/F56"),5277237.376088)</f>
        <v>5277237.3760879999</v>
      </c>
      <c r="V56" s="27">
        <f t="shared" ca="1" si="6"/>
        <v>0.23316073507000915</v>
      </c>
    </row>
    <row r="57" spans="1:22" ht="12.75" customHeight="1" x14ac:dyDescent="0.2">
      <c r="A57" s="6" t="s">
        <v>84</v>
      </c>
      <c r="B57" s="6" t="s">
        <v>15</v>
      </c>
      <c r="C57" s="7">
        <v>112358</v>
      </c>
      <c r="D57" s="8">
        <v>137898</v>
      </c>
      <c r="E57" s="9" t="s">
        <v>16</v>
      </c>
      <c r="F57" s="36">
        <v>208</v>
      </c>
      <c r="G57" s="25"/>
      <c r="H57" s="14">
        <f t="shared" si="0"/>
        <v>0.55000000000000004</v>
      </c>
      <c r="I57" s="25">
        <f ca="1">IFERROR(__xludf.DUMMYFUNCTION("ROUND(D57*GOOGLEFINANCE(""RUBKZT"")*H57)"),591850)</f>
        <v>591850</v>
      </c>
      <c r="J57" s="26">
        <f ca="1">IFERROR(__xludf.DUMMYFUNCTION("ROUND(I57*GOOGLEFINANCE(""KZTEUR""))"),1240)</f>
        <v>1240</v>
      </c>
      <c r="K57" s="26">
        <f t="shared" ca="1" si="1"/>
        <v>5962</v>
      </c>
      <c r="L57" s="26">
        <f t="shared" ca="1" si="2"/>
        <v>1132.78</v>
      </c>
      <c r="M57" s="26">
        <f t="shared" ref="M57:N57" si="58">M$3</f>
        <v>500</v>
      </c>
      <c r="N57" s="26">
        <f t="shared" si="58"/>
        <v>500</v>
      </c>
      <c r="O57" s="26">
        <f ca="1">IFERROR(__xludf.DUMMYFUNCTION("ROUND(GOOGLEFINANCE(""Currency:EURKZT"")*K57)"),2847270)</f>
        <v>2847270</v>
      </c>
      <c r="P57" s="26">
        <f ca="1">IFERROR(__xludf.DUMMYFUNCTION("ROUND(GOOGLEFINANCE(""Currency:EURKZT"")*M57)"),238785)</f>
        <v>238785</v>
      </c>
      <c r="Q57" s="26">
        <f ca="1">IFERROR(__xludf.DUMMYFUNCTION("ROUND(GOOGLEFINANCE(""Currency:EURKZT"")*N57)"),238785)</f>
        <v>238785</v>
      </c>
      <c r="R57" s="26">
        <f t="shared" ca="1" si="4"/>
        <v>341672</v>
      </c>
      <c r="S57" s="26">
        <f t="shared" ca="1" si="5"/>
        <v>3666512</v>
      </c>
      <c r="T57" s="26">
        <f ca="1">IFERROR(__xludf.DUMMYFUNCTION("ROUND(GOOGLEFINANCE(""Currency:EURKZT"")*L57+S57)"),4207493)</f>
        <v>4207493</v>
      </c>
      <c r="U57" s="26">
        <f ca="1">IFERROR(__xludf.DUMMYFUNCTION("D57*GOOGLEFINANCE(""RUBKZT"")*1000/F57"),5173510.54925526)</f>
        <v>5173510.5492552603</v>
      </c>
      <c r="V57" s="27">
        <f t="shared" ca="1" si="6"/>
        <v>0.22959457074682246</v>
      </c>
    </row>
    <row r="58" spans="1:22" ht="12.75" customHeight="1" x14ac:dyDescent="0.2">
      <c r="A58" s="6" t="s">
        <v>85</v>
      </c>
      <c r="B58" s="6" t="s">
        <v>15</v>
      </c>
      <c r="C58" s="7">
        <v>112359</v>
      </c>
      <c r="D58" s="8">
        <v>138861.6</v>
      </c>
      <c r="E58" s="9" t="s">
        <v>16</v>
      </c>
      <c r="F58" s="36">
        <v>208</v>
      </c>
      <c r="G58" s="25"/>
      <c r="H58" s="14">
        <f t="shared" si="0"/>
        <v>0.55000000000000004</v>
      </c>
      <c r="I58" s="25">
        <f ca="1">IFERROR(__xludf.DUMMYFUNCTION("ROUND(D58*GOOGLEFINANCE(""RUBKZT"")*H58)"),595985)</f>
        <v>595985</v>
      </c>
      <c r="J58" s="26">
        <f ca="1">IFERROR(__xludf.DUMMYFUNCTION("ROUND(I58*GOOGLEFINANCE(""KZTEUR""))"),1248)</f>
        <v>1248</v>
      </c>
      <c r="K58" s="26">
        <f t="shared" ca="1" si="1"/>
        <v>6000</v>
      </c>
      <c r="L58" s="26">
        <f t="shared" ca="1" si="2"/>
        <v>1140</v>
      </c>
      <c r="M58" s="26">
        <f t="shared" ref="M58:N58" si="59">M$3</f>
        <v>500</v>
      </c>
      <c r="N58" s="26">
        <f t="shared" si="59"/>
        <v>500</v>
      </c>
      <c r="O58" s="26">
        <f ca="1">IFERROR(__xludf.DUMMYFUNCTION("ROUND(GOOGLEFINANCE(""Currency:EURKZT"")*K58)"),2865418)</f>
        <v>2865418</v>
      </c>
      <c r="P58" s="26">
        <f ca="1">IFERROR(__xludf.DUMMYFUNCTION("ROUND(GOOGLEFINANCE(""Currency:EURKZT"")*M58)"),238785)</f>
        <v>238785</v>
      </c>
      <c r="Q58" s="26">
        <f ca="1">IFERROR(__xludf.DUMMYFUNCTION("ROUND(GOOGLEFINANCE(""Currency:EURKZT"")*N58)"),238785)</f>
        <v>238785</v>
      </c>
      <c r="R58" s="26">
        <f t="shared" ca="1" si="4"/>
        <v>343850</v>
      </c>
      <c r="S58" s="26">
        <f t="shared" ca="1" si="5"/>
        <v>3686838</v>
      </c>
      <c r="T58" s="26">
        <f ca="1">IFERROR(__xludf.DUMMYFUNCTION("ROUND(GOOGLEFINANCE(""Currency:EURKZT"")*L58+S58)"),4231267)</f>
        <v>4231267</v>
      </c>
      <c r="U58" s="26">
        <f ca="1">IFERROR(__xludf.DUMMYFUNCTION("D58*GOOGLEFINANCE(""RUBKZT"")*1000/F58"),5209661.86954463)</f>
        <v>5209661.8695446299</v>
      </c>
      <c r="V58" s="27">
        <f t="shared" ca="1" si="6"/>
        <v>0.23122976393232333</v>
      </c>
    </row>
    <row r="59" spans="1:22" ht="12.75" customHeight="1" x14ac:dyDescent="0.2">
      <c r="A59" s="6" t="s">
        <v>46</v>
      </c>
      <c r="B59" s="6" t="s">
        <v>15</v>
      </c>
      <c r="C59" s="7">
        <v>112371</v>
      </c>
      <c r="D59" s="8">
        <v>267361.2</v>
      </c>
      <c r="E59" s="9" t="s">
        <v>16</v>
      </c>
      <c r="F59" s="36">
        <v>208</v>
      </c>
      <c r="G59" s="25"/>
      <c r="H59" s="14">
        <f t="shared" si="0"/>
        <v>0.55000000000000004</v>
      </c>
      <c r="I59" s="25">
        <f ca="1">IFERROR(__xludf.DUMMYFUNCTION("ROUND(D59*GOOGLEFINANCE(""RUBKZT"")*H59)"),1147498)</f>
        <v>1147498</v>
      </c>
      <c r="J59" s="26">
        <f ca="1">IFERROR(__xludf.DUMMYFUNCTION("ROUND(I59*GOOGLEFINANCE(""KZTEUR""))"),2403)</f>
        <v>2403</v>
      </c>
      <c r="K59" s="26">
        <f t="shared" ca="1" si="1"/>
        <v>11553</v>
      </c>
      <c r="L59" s="26">
        <f t="shared" ca="1" si="2"/>
        <v>2195.0700000000002</v>
      </c>
      <c r="M59" s="26">
        <f t="shared" ref="M59:N59" si="60">M$3</f>
        <v>500</v>
      </c>
      <c r="N59" s="26">
        <f t="shared" si="60"/>
        <v>500</v>
      </c>
      <c r="O59" s="26">
        <f ca="1">IFERROR(__xludf.DUMMYFUNCTION("ROUND(GOOGLEFINANCE(""Currency:EURKZT"")*K59)"),5517362)</f>
        <v>5517362</v>
      </c>
      <c r="P59" s="26">
        <f ca="1">IFERROR(__xludf.DUMMYFUNCTION("ROUND(GOOGLEFINANCE(""Currency:EURKZT"")*M59)"),238785)</f>
        <v>238785</v>
      </c>
      <c r="Q59" s="26">
        <f ca="1">IFERROR(__xludf.DUMMYFUNCTION("ROUND(GOOGLEFINANCE(""Currency:EURKZT"")*N59)"),238785)</f>
        <v>238785</v>
      </c>
      <c r="R59" s="26">
        <f t="shared" ca="1" si="4"/>
        <v>662083</v>
      </c>
      <c r="S59" s="26">
        <f t="shared" ca="1" si="5"/>
        <v>6657015</v>
      </c>
      <c r="T59" s="26">
        <f ca="1">IFERROR(__xludf.DUMMYFUNCTION("ROUND(GOOGLEFINANCE(""Currency:EURKZT"")*L59+S59)"),7705314)</f>
        <v>7705314</v>
      </c>
      <c r="U59" s="26">
        <f ca="1">IFERROR(__xludf.DUMMYFUNCTION("D59*GOOGLEFINANCE(""RUBKZT"")*1000/F59"),10030573.2400872)</f>
        <v>10030573.2400872</v>
      </c>
      <c r="V59" s="27">
        <f t="shared" ca="1" si="6"/>
        <v>0.30177345661542149</v>
      </c>
    </row>
    <row r="60" spans="1:22" ht="12.75" customHeight="1" x14ac:dyDescent="0.2">
      <c r="A60" s="6" t="s">
        <v>47</v>
      </c>
      <c r="B60" s="6" t="s">
        <v>15</v>
      </c>
      <c r="C60" s="7">
        <v>112373</v>
      </c>
      <c r="D60" s="8">
        <v>267361.2</v>
      </c>
      <c r="E60" s="9" t="s">
        <v>16</v>
      </c>
      <c r="F60" s="36">
        <v>208</v>
      </c>
      <c r="G60" s="25"/>
      <c r="H60" s="14">
        <f t="shared" si="0"/>
        <v>0.55000000000000004</v>
      </c>
      <c r="I60" s="25">
        <f ca="1">IFERROR(__xludf.DUMMYFUNCTION("ROUND(D60*GOOGLEFINANCE(""RUBKZT"")*H60)"),1147498)</f>
        <v>1147498</v>
      </c>
      <c r="J60" s="26">
        <f ca="1">IFERROR(__xludf.DUMMYFUNCTION("ROUND(I60*GOOGLEFINANCE(""KZTEUR""))"),2403)</f>
        <v>2403</v>
      </c>
      <c r="K60" s="26">
        <f t="shared" ca="1" si="1"/>
        <v>11553</v>
      </c>
      <c r="L60" s="26">
        <f t="shared" ca="1" si="2"/>
        <v>2195.0700000000002</v>
      </c>
      <c r="M60" s="26">
        <f t="shared" ref="M60:N60" si="61">M$3</f>
        <v>500</v>
      </c>
      <c r="N60" s="26">
        <f t="shared" si="61"/>
        <v>500</v>
      </c>
      <c r="O60" s="26">
        <f ca="1">IFERROR(__xludf.DUMMYFUNCTION("ROUND(GOOGLEFINANCE(""Currency:EURKZT"")*K60)"),5517362)</f>
        <v>5517362</v>
      </c>
      <c r="P60" s="26">
        <f ca="1">IFERROR(__xludf.DUMMYFUNCTION("ROUND(GOOGLEFINANCE(""Currency:EURKZT"")*M60)"),238785)</f>
        <v>238785</v>
      </c>
      <c r="Q60" s="26">
        <f ca="1">IFERROR(__xludf.DUMMYFUNCTION("ROUND(GOOGLEFINANCE(""Currency:EURKZT"")*N60)"),238785)</f>
        <v>238785</v>
      </c>
      <c r="R60" s="26">
        <f t="shared" ca="1" si="4"/>
        <v>662083</v>
      </c>
      <c r="S60" s="26">
        <f t="shared" ca="1" si="5"/>
        <v>6657015</v>
      </c>
      <c r="T60" s="26">
        <f ca="1">IFERROR(__xludf.DUMMYFUNCTION("ROUND(GOOGLEFINANCE(""Currency:EURKZT"")*L60+S60)"),7705314)</f>
        <v>7705314</v>
      </c>
      <c r="U60" s="26">
        <f ca="1">IFERROR(__xludf.DUMMYFUNCTION("D60*GOOGLEFINANCE(""RUBKZT"")*1000/F60"),10030573.2400872)</f>
        <v>10030573.2400872</v>
      </c>
      <c r="V60" s="27">
        <f t="shared" ca="1" si="6"/>
        <v>0.30177345661542149</v>
      </c>
    </row>
    <row r="61" spans="1:22" ht="12.75" customHeight="1" x14ac:dyDescent="0.2">
      <c r="A61" s="6" t="s">
        <v>86</v>
      </c>
      <c r="B61" s="6" t="s">
        <v>15</v>
      </c>
      <c r="C61" s="7">
        <v>112379</v>
      </c>
      <c r="D61" s="8">
        <v>106435.2</v>
      </c>
      <c r="E61" s="9" t="s">
        <v>16</v>
      </c>
      <c r="F61" s="36">
        <v>208</v>
      </c>
      <c r="G61" s="25"/>
      <c r="H61" s="14">
        <f t="shared" si="0"/>
        <v>0.55000000000000004</v>
      </c>
      <c r="I61" s="25">
        <f ca="1">IFERROR(__xludf.DUMMYFUNCTION("ROUND(D61*GOOGLEFINANCE(""RUBKZT"")*H61)"),456813)</f>
        <v>456813</v>
      </c>
      <c r="J61" s="26">
        <f ca="1">IFERROR(__xludf.DUMMYFUNCTION("ROUND(I61*GOOGLEFINANCE(""KZTEUR""))"),957)</f>
        <v>957</v>
      </c>
      <c r="K61" s="26">
        <f t="shared" ca="1" si="1"/>
        <v>4601</v>
      </c>
      <c r="L61" s="26">
        <f t="shared" ca="1" si="2"/>
        <v>874.19</v>
      </c>
      <c r="M61" s="26">
        <f t="shared" ref="M61:N61" si="62">M$3</f>
        <v>500</v>
      </c>
      <c r="N61" s="26">
        <f t="shared" si="62"/>
        <v>500</v>
      </c>
      <c r="O61" s="26">
        <f ca="1">IFERROR(__xludf.DUMMYFUNCTION("ROUND(GOOGLEFINANCE(""Currency:EURKZT"")*K61)"),2197298)</f>
        <v>2197298</v>
      </c>
      <c r="P61" s="26">
        <f ca="1">IFERROR(__xludf.DUMMYFUNCTION("ROUND(GOOGLEFINANCE(""Currency:EURKZT"")*M61)"),238785)</f>
        <v>238785</v>
      </c>
      <c r="Q61" s="26">
        <f ca="1">IFERROR(__xludf.DUMMYFUNCTION("ROUND(GOOGLEFINANCE(""Currency:EURKZT"")*N61)"),238785)</f>
        <v>238785</v>
      </c>
      <c r="R61" s="26">
        <f t="shared" ca="1" si="4"/>
        <v>263676</v>
      </c>
      <c r="S61" s="26">
        <f t="shared" ca="1" si="5"/>
        <v>2938544</v>
      </c>
      <c r="T61" s="26">
        <f ca="1">IFERROR(__xludf.DUMMYFUNCTION("ROUND(GOOGLEFINANCE(""Currency:EURKZT"")*L61+S61)"),3356031)</f>
        <v>3356031</v>
      </c>
      <c r="U61" s="26">
        <f ca="1">IFERROR(__xludf.DUMMYFUNCTION("D61*GOOGLEFINANCE(""RUBKZT"")*1000/F61"),3993122.67046726)</f>
        <v>3993122.6704672598</v>
      </c>
      <c r="V61" s="27">
        <f t="shared" ca="1" si="6"/>
        <v>0.18983485863725927</v>
      </c>
    </row>
    <row r="62" spans="1:22" ht="12.75" customHeight="1" x14ac:dyDescent="0.2">
      <c r="A62" s="6" t="s">
        <v>87</v>
      </c>
      <c r="B62" s="6" t="s">
        <v>15</v>
      </c>
      <c r="C62" s="7">
        <v>112380</v>
      </c>
      <c r="D62" s="8">
        <v>110942.39999999999</v>
      </c>
      <c r="E62" s="9" t="s">
        <v>16</v>
      </c>
      <c r="F62" s="36">
        <v>208</v>
      </c>
      <c r="G62" s="25"/>
      <c r="H62" s="14">
        <f t="shared" si="0"/>
        <v>0.55000000000000004</v>
      </c>
      <c r="I62" s="25">
        <f ca="1">IFERROR(__xludf.DUMMYFUNCTION("ROUND(D62*GOOGLEFINANCE(""RUBKZT"")*H62)"),476158)</f>
        <v>476158</v>
      </c>
      <c r="J62" s="26">
        <f ca="1">IFERROR(__xludf.DUMMYFUNCTION("ROUND(I62*GOOGLEFINANCE(""KZTEUR""))"),997)</f>
        <v>997</v>
      </c>
      <c r="K62" s="26">
        <f t="shared" ca="1" si="1"/>
        <v>4793</v>
      </c>
      <c r="L62" s="26">
        <f t="shared" ca="1" si="2"/>
        <v>910.67</v>
      </c>
      <c r="M62" s="26">
        <f t="shared" ref="M62:N62" si="63">M$3</f>
        <v>500</v>
      </c>
      <c r="N62" s="26">
        <f t="shared" si="63"/>
        <v>500</v>
      </c>
      <c r="O62" s="26">
        <f ca="1">IFERROR(__xludf.DUMMYFUNCTION("ROUND(GOOGLEFINANCE(""Currency:EURKZT"")*K62)"),2288991)</f>
        <v>2288991</v>
      </c>
      <c r="P62" s="26">
        <f ca="1">IFERROR(__xludf.DUMMYFUNCTION("ROUND(GOOGLEFINANCE(""Currency:EURKZT"")*M62)"),238785)</f>
        <v>238785</v>
      </c>
      <c r="Q62" s="26">
        <f ca="1">IFERROR(__xludf.DUMMYFUNCTION("ROUND(GOOGLEFINANCE(""Currency:EURKZT"")*N62)"),238785)</f>
        <v>238785</v>
      </c>
      <c r="R62" s="26">
        <f t="shared" ca="1" si="4"/>
        <v>274679</v>
      </c>
      <c r="S62" s="26">
        <f t="shared" ca="1" si="5"/>
        <v>3041240</v>
      </c>
      <c r="T62" s="26">
        <f ca="1">IFERROR(__xludf.DUMMYFUNCTION("ROUND(GOOGLEFINANCE(""Currency:EURKZT"")*L62+S62)"),3476148)</f>
        <v>3476148</v>
      </c>
      <c r="U62" s="26">
        <f ca="1">IFERROR(__xludf.DUMMYFUNCTION("D62*GOOGLEFINANCE(""RUBKZT"")*1000/F62"),4162219.00796021)</f>
        <v>4162219.0079602101</v>
      </c>
      <c r="V62" s="27">
        <f t="shared" ca="1" si="6"/>
        <v>0.19736530434268337</v>
      </c>
    </row>
    <row r="63" spans="1:22" ht="12.75" customHeight="1" x14ac:dyDescent="0.2">
      <c r="A63" s="6" t="s">
        <v>88</v>
      </c>
      <c r="B63" s="6" t="s">
        <v>15</v>
      </c>
      <c r="C63" s="7">
        <v>112401</v>
      </c>
      <c r="D63" s="8">
        <v>108523.2</v>
      </c>
      <c r="E63" s="9" t="s">
        <v>16</v>
      </c>
      <c r="F63" s="36">
        <v>208</v>
      </c>
      <c r="G63" s="25"/>
      <c r="H63" s="14">
        <f t="shared" si="0"/>
        <v>0.55000000000000004</v>
      </c>
      <c r="I63" s="25">
        <f ca="1">IFERROR(__xludf.DUMMYFUNCTION("ROUND(D63*GOOGLEFINANCE(""RUBKZT"")*H63)"),465775)</f>
        <v>465775</v>
      </c>
      <c r="J63" s="26">
        <f ca="1">IFERROR(__xludf.DUMMYFUNCTION("ROUND(I63*GOOGLEFINANCE(""KZTEUR""))"),975)</f>
        <v>975</v>
      </c>
      <c r="K63" s="26">
        <f t="shared" ca="1" si="1"/>
        <v>4688</v>
      </c>
      <c r="L63" s="26">
        <f t="shared" ca="1" si="2"/>
        <v>890.72</v>
      </c>
      <c r="M63" s="26">
        <f t="shared" ref="M63:N63" si="64">M$3</f>
        <v>500</v>
      </c>
      <c r="N63" s="26">
        <f t="shared" si="64"/>
        <v>500</v>
      </c>
      <c r="O63" s="26">
        <f ca="1">IFERROR(__xludf.DUMMYFUNCTION("ROUND(GOOGLEFINANCE(""Currency:EURKZT"")*K63)"),2238846)</f>
        <v>2238846</v>
      </c>
      <c r="P63" s="26">
        <f ca="1">IFERROR(__xludf.DUMMYFUNCTION("ROUND(GOOGLEFINANCE(""Currency:EURKZT"")*M63)"),238785)</f>
        <v>238785</v>
      </c>
      <c r="Q63" s="26">
        <f ca="1">IFERROR(__xludf.DUMMYFUNCTION("ROUND(GOOGLEFINANCE(""Currency:EURKZT"")*N63)"),238785)</f>
        <v>238785</v>
      </c>
      <c r="R63" s="26">
        <f t="shared" ca="1" si="4"/>
        <v>268662</v>
      </c>
      <c r="S63" s="26">
        <f t="shared" ca="1" si="5"/>
        <v>2985078</v>
      </c>
      <c r="T63" s="26">
        <f ca="1">IFERROR(__xludf.DUMMYFUNCTION("ROUND(GOOGLEFINANCE(""Currency:EURKZT"")*L63+S63)"),3410459)</f>
        <v>3410459</v>
      </c>
      <c r="U63" s="26">
        <f ca="1">IFERROR(__xludf.DUMMYFUNCTION("D63*GOOGLEFINANCE(""RUBKZT"")*1000/F63"),4071458.03448156)</f>
        <v>4071458.0344815599</v>
      </c>
      <c r="V63" s="27">
        <f t="shared" ca="1" si="6"/>
        <v>0.19381527075433538</v>
      </c>
    </row>
    <row r="64" spans="1:22" ht="12.75" customHeight="1" x14ac:dyDescent="0.2">
      <c r="A64" s="6" t="s">
        <v>89</v>
      </c>
      <c r="B64" s="6" t="s">
        <v>15</v>
      </c>
      <c r="C64" s="7">
        <v>112403</v>
      </c>
      <c r="D64" s="8">
        <v>100129.2</v>
      </c>
      <c r="E64" s="9" t="s">
        <v>16</v>
      </c>
      <c r="F64" s="36">
        <v>208</v>
      </c>
      <c r="G64" s="25"/>
      <c r="H64" s="14">
        <f t="shared" si="0"/>
        <v>0.55000000000000004</v>
      </c>
      <c r="I64" s="25">
        <f ca="1">IFERROR(__xludf.DUMMYFUNCTION("ROUND(D64*GOOGLEFINANCE(""RUBKZT"")*H64)"),429748)</f>
        <v>429748</v>
      </c>
      <c r="J64" s="26">
        <f ca="1">IFERROR(__xludf.DUMMYFUNCTION("ROUND(I64*GOOGLEFINANCE(""KZTEUR""))"),900)</f>
        <v>900</v>
      </c>
      <c r="K64" s="26">
        <f t="shared" ca="1" si="1"/>
        <v>4327</v>
      </c>
      <c r="L64" s="26">
        <f t="shared" ca="1" si="2"/>
        <v>822.13</v>
      </c>
      <c r="M64" s="26">
        <f t="shared" ref="M64:N64" si="65">M$3</f>
        <v>500</v>
      </c>
      <c r="N64" s="26">
        <f t="shared" si="65"/>
        <v>500</v>
      </c>
      <c r="O64" s="26">
        <f ca="1">IFERROR(__xludf.DUMMYFUNCTION("ROUND(GOOGLEFINANCE(""Currency:EURKZT"")*K64)"),2066444)</f>
        <v>2066444</v>
      </c>
      <c r="P64" s="26">
        <f ca="1">IFERROR(__xludf.DUMMYFUNCTION("ROUND(GOOGLEFINANCE(""Currency:EURKZT"")*M64)"),238785)</f>
        <v>238785</v>
      </c>
      <c r="Q64" s="26">
        <f ca="1">IFERROR(__xludf.DUMMYFUNCTION("ROUND(GOOGLEFINANCE(""Currency:EURKZT"")*N64)"),238785)</f>
        <v>238785</v>
      </c>
      <c r="R64" s="26">
        <f t="shared" ca="1" si="4"/>
        <v>247973</v>
      </c>
      <c r="S64" s="26">
        <f t="shared" ca="1" si="5"/>
        <v>2791987</v>
      </c>
      <c r="T64" s="26">
        <f ca="1">IFERROR(__xludf.DUMMYFUNCTION("ROUND(GOOGLEFINANCE(""Currency:EURKZT"")*L64+S64)"),3184611)</f>
        <v>3184611</v>
      </c>
      <c r="U64" s="26">
        <f ca="1">IFERROR(__xludf.DUMMYFUNCTION("D64*GOOGLEFINANCE(""RUBKZT"")*1000/F64"),3756540.86707922)</f>
        <v>3756540.8670792198</v>
      </c>
      <c r="V64" s="27">
        <f t="shared" ca="1" si="6"/>
        <v>0.17959175141931613</v>
      </c>
    </row>
    <row r="65" spans="1:22" ht="12.75" customHeight="1" x14ac:dyDescent="0.2">
      <c r="A65" s="6" t="s">
        <v>90</v>
      </c>
      <c r="B65" s="6" t="s">
        <v>15</v>
      </c>
      <c r="C65" s="7">
        <v>112404</v>
      </c>
      <c r="D65" s="8">
        <v>100749.59999999999</v>
      </c>
      <c r="E65" s="9" t="s">
        <v>16</v>
      </c>
      <c r="F65" s="36">
        <v>208</v>
      </c>
      <c r="G65" s="25"/>
      <c r="H65" s="14">
        <f t="shared" si="0"/>
        <v>0.55000000000000004</v>
      </c>
      <c r="I65" s="25">
        <f ca="1">IFERROR(__xludf.DUMMYFUNCTION("ROUND(D65*GOOGLEFINANCE(""RUBKZT"")*H65)"),432411)</f>
        <v>432411</v>
      </c>
      <c r="J65" s="26">
        <f ca="1">IFERROR(__xludf.DUMMYFUNCTION("ROUND(I65*GOOGLEFINANCE(""KZTEUR""))"),906)</f>
        <v>906</v>
      </c>
      <c r="K65" s="26">
        <f t="shared" ca="1" si="1"/>
        <v>4356</v>
      </c>
      <c r="L65" s="26">
        <f t="shared" ca="1" si="2"/>
        <v>827.64</v>
      </c>
      <c r="M65" s="26">
        <f t="shared" ref="M65:N65" si="66">M$3</f>
        <v>500</v>
      </c>
      <c r="N65" s="26">
        <f t="shared" si="66"/>
        <v>500</v>
      </c>
      <c r="O65" s="26">
        <f ca="1">IFERROR(__xludf.DUMMYFUNCTION("ROUND(GOOGLEFINANCE(""Currency:EURKZT"")*K65)"),2080293)</f>
        <v>2080293</v>
      </c>
      <c r="P65" s="26">
        <f ca="1">IFERROR(__xludf.DUMMYFUNCTION("ROUND(GOOGLEFINANCE(""Currency:EURKZT"")*M65)"),238785)</f>
        <v>238785</v>
      </c>
      <c r="Q65" s="26">
        <f ca="1">IFERROR(__xludf.DUMMYFUNCTION("ROUND(GOOGLEFINANCE(""Currency:EURKZT"")*N65)"),238785)</f>
        <v>238785</v>
      </c>
      <c r="R65" s="26">
        <f t="shared" ca="1" si="4"/>
        <v>249635</v>
      </c>
      <c r="S65" s="26">
        <f t="shared" ca="1" si="5"/>
        <v>2807498</v>
      </c>
      <c r="T65" s="26">
        <f ca="1">IFERROR(__xludf.DUMMYFUNCTION("ROUND(GOOGLEFINANCE(""Currency:EURKZT"")*L65+S65)"),3202754)</f>
        <v>3202754</v>
      </c>
      <c r="U65" s="26">
        <f ca="1">IFERROR(__xludf.DUMMYFUNCTION("D65*GOOGLEFINANCE(""RUBKZT"")*1000/F65"),3779816.37466278)</f>
        <v>3779816.3746627802</v>
      </c>
      <c r="V65" s="27">
        <f t="shared" ca="1" si="6"/>
        <v>0.18017692731404916</v>
      </c>
    </row>
    <row r="66" spans="1:22" ht="12.75" customHeight="1" x14ac:dyDescent="0.2">
      <c r="A66" s="6" t="s">
        <v>91</v>
      </c>
      <c r="B66" s="6" t="s">
        <v>15</v>
      </c>
      <c r="C66" s="7">
        <v>112405</v>
      </c>
      <c r="D66" s="8">
        <v>117678</v>
      </c>
      <c r="E66" s="9" t="s">
        <v>16</v>
      </c>
      <c r="F66" s="36">
        <v>208</v>
      </c>
      <c r="G66" s="25"/>
      <c r="H66" s="14">
        <f t="shared" si="0"/>
        <v>0.55000000000000004</v>
      </c>
      <c r="I66" s="25">
        <f ca="1">IFERROR(__xludf.DUMMYFUNCTION("ROUND(D66*GOOGLEFINANCE(""RUBKZT"")*H66)"),505067)</f>
        <v>505067</v>
      </c>
      <c r="J66" s="26">
        <f ca="1">IFERROR(__xludf.DUMMYFUNCTION("ROUND(I66*GOOGLEFINANCE(""KZTEUR""))"),1058)</f>
        <v>1058</v>
      </c>
      <c r="K66" s="26">
        <f t="shared" ca="1" si="1"/>
        <v>5087</v>
      </c>
      <c r="L66" s="26">
        <f t="shared" ca="1" si="2"/>
        <v>966.53</v>
      </c>
      <c r="M66" s="26">
        <f t="shared" ref="M66:N66" si="67">M$3</f>
        <v>500</v>
      </c>
      <c r="N66" s="26">
        <f t="shared" si="67"/>
        <v>500</v>
      </c>
      <c r="O66" s="26">
        <f ca="1">IFERROR(__xludf.DUMMYFUNCTION("ROUND(GOOGLEFINANCE(""Currency:EURKZT"")*K66)"),2429397)</f>
        <v>2429397</v>
      </c>
      <c r="P66" s="26">
        <f ca="1">IFERROR(__xludf.DUMMYFUNCTION("ROUND(GOOGLEFINANCE(""Currency:EURKZT"")*M66)"),238785)</f>
        <v>238785</v>
      </c>
      <c r="Q66" s="26">
        <f ca="1">IFERROR(__xludf.DUMMYFUNCTION("ROUND(GOOGLEFINANCE(""Currency:EURKZT"")*N66)"),238785)</f>
        <v>238785</v>
      </c>
      <c r="R66" s="26">
        <f t="shared" ca="1" si="4"/>
        <v>291528</v>
      </c>
      <c r="S66" s="26">
        <f t="shared" ca="1" si="5"/>
        <v>3198495</v>
      </c>
      <c r="T66" s="26">
        <f ca="1">IFERROR(__xludf.DUMMYFUNCTION("ROUND(GOOGLEFINANCE(""Currency:EURKZT"")*L66+S66)"),3660080)</f>
        <v>3660080</v>
      </c>
      <c r="U66" s="26">
        <f ca="1">IFERROR(__xludf.DUMMYFUNCTION("D66*GOOGLEFINANCE(""RUBKZT"")*1000/F66"),4414918.08739257)</f>
        <v>4414918.0873925705</v>
      </c>
      <c r="V66" s="27">
        <f t="shared" ca="1" si="6"/>
        <v>0.2062354067103917</v>
      </c>
    </row>
    <row r="67" spans="1:22" ht="12.75" customHeight="1" x14ac:dyDescent="0.2">
      <c r="A67" s="6" t="s">
        <v>92</v>
      </c>
      <c r="B67" s="6" t="s">
        <v>15</v>
      </c>
      <c r="C67" s="7">
        <v>112407</v>
      </c>
      <c r="D67" s="8">
        <v>104694</v>
      </c>
      <c r="E67" s="9" t="s">
        <v>16</v>
      </c>
      <c r="F67" s="36">
        <v>208</v>
      </c>
      <c r="G67" s="25"/>
      <c r="H67" s="14">
        <f t="shared" si="0"/>
        <v>0.55000000000000004</v>
      </c>
      <c r="I67" s="25">
        <f ca="1">IFERROR(__xludf.DUMMYFUNCTION("ROUND(D67*GOOGLEFINANCE(""RUBKZT"")*H67)"),449340)</f>
        <v>449340</v>
      </c>
      <c r="J67" s="26">
        <f ca="1">IFERROR(__xludf.DUMMYFUNCTION("ROUND(I67*GOOGLEFINANCE(""KZTEUR""))"),941)</f>
        <v>941</v>
      </c>
      <c r="K67" s="26">
        <f t="shared" ca="1" si="1"/>
        <v>4524</v>
      </c>
      <c r="L67" s="26">
        <f t="shared" ca="1" si="2"/>
        <v>859.56000000000006</v>
      </c>
      <c r="M67" s="26">
        <f t="shared" ref="M67:N67" si="68">M$3</f>
        <v>500</v>
      </c>
      <c r="N67" s="26">
        <f t="shared" si="68"/>
        <v>500</v>
      </c>
      <c r="O67" s="26">
        <f ca="1">IFERROR(__xludf.DUMMYFUNCTION("ROUND(GOOGLEFINANCE(""Currency:EURKZT"")*K67)"),2160525)</f>
        <v>2160525</v>
      </c>
      <c r="P67" s="26">
        <f ca="1">IFERROR(__xludf.DUMMYFUNCTION("ROUND(GOOGLEFINANCE(""Currency:EURKZT"")*M67)"),238785)</f>
        <v>238785</v>
      </c>
      <c r="Q67" s="26">
        <f ca="1">IFERROR(__xludf.DUMMYFUNCTION("ROUND(GOOGLEFINANCE(""Currency:EURKZT"")*N67)"),238785)</f>
        <v>238785</v>
      </c>
      <c r="R67" s="26">
        <f t="shared" ca="1" si="4"/>
        <v>259263</v>
      </c>
      <c r="S67" s="26">
        <f t="shared" ca="1" si="5"/>
        <v>2897358</v>
      </c>
      <c r="T67" s="26">
        <f ca="1">IFERROR(__xludf.DUMMYFUNCTION("ROUND(GOOGLEFINANCE(""Currency:EURKZT"")*L67+S67)"),3307858)</f>
        <v>3307858</v>
      </c>
      <c r="U67" s="26">
        <f ca="1">IFERROR(__xludf.DUMMYFUNCTION("D67*GOOGLEFINANCE(""RUBKZT"")*1000/F67"),3927798.18013119)</f>
        <v>3927798.18013119</v>
      </c>
      <c r="V67" s="27">
        <f t="shared" ca="1" si="6"/>
        <v>0.18741438723524104</v>
      </c>
    </row>
    <row r="68" spans="1:22" ht="12.75" customHeight="1" x14ac:dyDescent="0.2">
      <c r="A68" s="6" t="s">
        <v>93</v>
      </c>
      <c r="B68" s="6" t="s">
        <v>15</v>
      </c>
      <c r="C68" s="7">
        <v>112417</v>
      </c>
      <c r="D68" s="8">
        <v>94410</v>
      </c>
      <c r="E68" s="9" t="s">
        <v>16</v>
      </c>
      <c r="F68" s="36">
        <v>208</v>
      </c>
      <c r="G68" s="25"/>
      <c r="H68" s="14">
        <f t="shared" si="0"/>
        <v>0.55000000000000004</v>
      </c>
      <c r="I68" s="25">
        <f ca="1">IFERROR(__xludf.DUMMYFUNCTION("ROUND(D68*GOOGLEFINANCE(""RUBKZT"")*H68)"),405202)</f>
        <v>405202</v>
      </c>
      <c r="J68" s="26">
        <f ca="1">IFERROR(__xludf.DUMMYFUNCTION("ROUND(I68*GOOGLEFINANCE(""KZTEUR""))"),849)</f>
        <v>849</v>
      </c>
      <c r="K68" s="26">
        <f t="shared" ca="1" si="1"/>
        <v>4082</v>
      </c>
      <c r="L68" s="26">
        <f t="shared" ca="1" si="2"/>
        <v>775.58</v>
      </c>
      <c r="M68" s="26">
        <f t="shared" ref="M68:N68" si="69">M$3</f>
        <v>500</v>
      </c>
      <c r="N68" s="26">
        <f t="shared" si="69"/>
        <v>500</v>
      </c>
      <c r="O68" s="26">
        <f ca="1">IFERROR(__xludf.DUMMYFUNCTION("ROUND(GOOGLEFINANCE(""Currency:EURKZT"")*K68)"),1949439)</f>
        <v>1949439</v>
      </c>
      <c r="P68" s="26">
        <f ca="1">IFERROR(__xludf.DUMMYFUNCTION("ROUND(GOOGLEFINANCE(""Currency:EURKZT"")*M68)"),238785)</f>
        <v>238785</v>
      </c>
      <c r="Q68" s="26">
        <f ca="1">IFERROR(__xludf.DUMMYFUNCTION("ROUND(GOOGLEFINANCE(""Currency:EURKZT"")*N68)"),238785)</f>
        <v>238785</v>
      </c>
      <c r="R68" s="26">
        <f t="shared" ca="1" si="4"/>
        <v>233933</v>
      </c>
      <c r="S68" s="26">
        <f t="shared" ca="1" si="5"/>
        <v>2660942</v>
      </c>
      <c r="T68" s="26">
        <f ca="1">IFERROR(__xludf.DUMMYFUNCTION("ROUND(GOOGLEFINANCE(""Currency:EURKZT"")*L68+S68)"),3031335)</f>
        <v>3031335</v>
      </c>
      <c r="U68" s="26">
        <f ca="1">IFERROR(__xludf.DUMMYFUNCTION("D68*GOOGLEFINANCE(""RUBKZT"")*1000/F68"),3541974.00219865)</f>
        <v>3541974.00219865</v>
      </c>
      <c r="V68" s="27">
        <f t="shared" ca="1" si="6"/>
        <v>0.16845350388480654</v>
      </c>
    </row>
    <row r="69" spans="1:22" ht="12.75" customHeight="1" x14ac:dyDescent="0.2">
      <c r="A69" s="6" t="s">
        <v>94</v>
      </c>
      <c r="B69" s="6" t="s">
        <v>15</v>
      </c>
      <c r="C69" s="7">
        <v>112427</v>
      </c>
      <c r="D69" s="8">
        <v>139494</v>
      </c>
      <c r="E69" s="9" t="s">
        <v>16</v>
      </c>
      <c r="F69" s="36">
        <v>208</v>
      </c>
      <c r="G69" s="25"/>
      <c r="H69" s="14">
        <f t="shared" si="0"/>
        <v>0.55000000000000004</v>
      </c>
      <c r="I69" s="25">
        <f ca="1">IFERROR(__xludf.DUMMYFUNCTION("ROUND(D69*GOOGLEFINANCE(""RUBKZT"")*H69)"),598700)</f>
        <v>598700</v>
      </c>
      <c r="J69" s="26">
        <f ca="1">IFERROR(__xludf.DUMMYFUNCTION("ROUND(I69*GOOGLEFINANCE(""KZTEUR""))"),1254)</f>
        <v>1254</v>
      </c>
      <c r="K69" s="26">
        <f t="shared" ca="1" si="1"/>
        <v>6029</v>
      </c>
      <c r="L69" s="26">
        <f t="shared" ca="1" si="2"/>
        <v>1145.51</v>
      </c>
      <c r="M69" s="26">
        <f t="shared" ref="M69:N69" si="70">M$3</f>
        <v>500</v>
      </c>
      <c r="N69" s="26">
        <f t="shared" si="70"/>
        <v>500</v>
      </c>
      <c r="O69" s="26">
        <f ca="1">IFERROR(__xludf.DUMMYFUNCTION("ROUND(GOOGLEFINANCE(""Currency:EURKZT"")*K69)"),2879267)</f>
        <v>2879267</v>
      </c>
      <c r="P69" s="26">
        <f ca="1">IFERROR(__xludf.DUMMYFUNCTION("ROUND(GOOGLEFINANCE(""Currency:EURKZT"")*M69)"),238785)</f>
        <v>238785</v>
      </c>
      <c r="Q69" s="26">
        <f ca="1">IFERROR(__xludf.DUMMYFUNCTION("ROUND(GOOGLEFINANCE(""Currency:EURKZT"")*N69)"),238785)</f>
        <v>238785</v>
      </c>
      <c r="R69" s="26">
        <f t="shared" ca="1" si="4"/>
        <v>345512</v>
      </c>
      <c r="S69" s="26">
        <f t="shared" ca="1" si="5"/>
        <v>3702349</v>
      </c>
      <c r="T69" s="26">
        <f ca="1">IFERROR(__xludf.DUMMYFUNCTION("ROUND(GOOGLEFINANCE(""Currency:EURKZT"")*L69+S69)"),4249410)</f>
        <v>4249410</v>
      </c>
      <c r="U69" s="26">
        <f ca="1">IFERROR(__xludf.DUMMYFUNCTION("D69*GOOGLEFINANCE(""RUBKZT"")*1000/F69"),5233387.58036965)</f>
        <v>5233387.5803696504</v>
      </c>
      <c r="V69" s="27">
        <f t="shared" ca="1" si="6"/>
        <v>0.231556282017892</v>
      </c>
    </row>
    <row r="70" spans="1:22" ht="12.75" customHeight="1" x14ac:dyDescent="0.2">
      <c r="A70" s="6" t="s">
        <v>95</v>
      </c>
      <c r="B70" s="6" t="s">
        <v>15</v>
      </c>
      <c r="C70" s="7">
        <v>112429</v>
      </c>
      <c r="D70" s="8">
        <v>112694.39999999999</v>
      </c>
      <c r="E70" s="9" t="s">
        <v>16</v>
      </c>
      <c r="F70" s="36">
        <v>208</v>
      </c>
      <c r="G70" s="25"/>
      <c r="H70" s="14">
        <f t="shared" si="0"/>
        <v>0.55000000000000004</v>
      </c>
      <c r="I70" s="25">
        <f ca="1">IFERROR(__xludf.DUMMYFUNCTION("ROUND(D70*GOOGLEFINANCE(""RUBKZT"")*H70)"),483677)</f>
        <v>483677</v>
      </c>
      <c r="J70" s="26">
        <f ca="1">IFERROR(__xludf.DUMMYFUNCTION("ROUND(I70*GOOGLEFINANCE(""KZTEUR""))"),1013)</f>
        <v>1013</v>
      </c>
      <c r="K70" s="26">
        <f t="shared" ca="1" si="1"/>
        <v>4870</v>
      </c>
      <c r="L70" s="26">
        <f t="shared" ca="1" si="2"/>
        <v>925.3</v>
      </c>
      <c r="M70" s="26">
        <f t="shared" ref="M70:N70" si="71">M$3</f>
        <v>500</v>
      </c>
      <c r="N70" s="26">
        <f t="shared" si="71"/>
        <v>500</v>
      </c>
      <c r="O70" s="26">
        <f ca="1">IFERROR(__xludf.DUMMYFUNCTION("ROUND(GOOGLEFINANCE(""Currency:EURKZT"")*K70)"),2325764)</f>
        <v>2325764</v>
      </c>
      <c r="P70" s="26">
        <f ca="1">IFERROR(__xludf.DUMMYFUNCTION("ROUND(GOOGLEFINANCE(""Currency:EURKZT"")*M70)"),238785)</f>
        <v>238785</v>
      </c>
      <c r="Q70" s="26">
        <f ca="1">IFERROR(__xludf.DUMMYFUNCTION("ROUND(GOOGLEFINANCE(""Currency:EURKZT"")*N70)"),238785)</f>
        <v>238785</v>
      </c>
      <c r="R70" s="26">
        <f t="shared" ca="1" si="4"/>
        <v>279092</v>
      </c>
      <c r="S70" s="26">
        <f t="shared" ca="1" si="5"/>
        <v>3082426</v>
      </c>
      <c r="T70" s="26">
        <f ca="1">IFERROR(__xludf.DUMMYFUNCTION("ROUND(GOOGLEFINANCE(""Currency:EURKZT"")*L70+S70)"),3524321)</f>
        <v>3524321</v>
      </c>
      <c r="U70" s="26">
        <f ca="1">IFERROR(__xludf.DUMMYFUNCTION("D70*GOOGLEFINANCE(""RUBKZT"")*1000/F70"),4227948.6812136)</f>
        <v>4227948.6812135996</v>
      </c>
      <c r="V70" s="27">
        <f t="shared" ca="1" si="6"/>
        <v>0.19964914694592226</v>
      </c>
    </row>
    <row r="71" spans="1:22" ht="12.75" customHeight="1" x14ac:dyDescent="0.2">
      <c r="A71" s="6" t="s">
        <v>96</v>
      </c>
      <c r="B71" s="6" t="s">
        <v>15</v>
      </c>
      <c r="C71" s="7">
        <v>112440</v>
      </c>
      <c r="D71" s="8">
        <v>98154</v>
      </c>
      <c r="E71" s="9" t="s">
        <v>16</v>
      </c>
      <c r="F71" s="36">
        <v>208</v>
      </c>
      <c r="G71" s="25"/>
      <c r="H71" s="14">
        <f t="shared" si="0"/>
        <v>0.55000000000000004</v>
      </c>
      <c r="I71" s="25">
        <f ca="1">IFERROR(__xludf.DUMMYFUNCTION("ROUND(D71*GOOGLEFINANCE(""RUBKZT"")*H71)"),421271)</f>
        <v>421271</v>
      </c>
      <c r="J71" s="26">
        <f ca="1">IFERROR(__xludf.DUMMYFUNCTION("ROUND(I71*GOOGLEFINANCE(""KZTEUR""))"),882)</f>
        <v>882</v>
      </c>
      <c r="K71" s="26">
        <f t="shared" ca="1" si="1"/>
        <v>4240</v>
      </c>
      <c r="L71" s="26">
        <f t="shared" ca="1" si="2"/>
        <v>805.6</v>
      </c>
      <c r="M71" s="26">
        <f t="shared" ref="M71:N71" si="72">M$3</f>
        <v>500</v>
      </c>
      <c r="N71" s="26">
        <f t="shared" si="72"/>
        <v>500</v>
      </c>
      <c r="O71" s="26">
        <f ca="1">IFERROR(__xludf.DUMMYFUNCTION("ROUND(GOOGLEFINANCE(""Currency:EURKZT"")*K71)"),2024895)</f>
        <v>2024895</v>
      </c>
      <c r="P71" s="26">
        <f ca="1">IFERROR(__xludf.DUMMYFUNCTION("ROUND(GOOGLEFINANCE(""Currency:EURKZT"")*M71)"),238785)</f>
        <v>238785</v>
      </c>
      <c r="Q71" s="26">
        <f ca="1">IFERROR(__xludf.DUMMYFUNCTION("ROUND(GOOGLEFINANCE(""Currency:EURKZT"")*N71)"),238785)</f>
        <v>238785</v>
      </c>
      <c r="R71" s="26">
        <f t="shared" ca="1" si="4"/>
        <v>242987</v>
      </c>
      <c r="S71" s="26">
        <f t="shared" ca="1" si="5"/>
        <v>2745452</v>
      </c>
      <c r="T71" s="26">
        <f ca="1">IFERROR(__xludf.DUMMYFUNCTION("ROUND(GOOGLEFINANCE(""Currency:EURKZT"")*L71+S71)"),3130182)</f>
        <v>3130182</v>
      </c>
      <c r="U71" s="26">
        <f ca="1">IFERROR(__xludf.DUMMYFUNCTION("D71*GOOGLEFINANCE(""RUBKZT"")*1000/F71"),3682437.41353465)</f>
        <v>3682437.4135346501</v>
      </c>
      <c r="V71" s="27">
        <f t="shared" ca="1" si="6"/>
        <v>0.17642917042352493</v>
      </c>
    </row>
    <row r="72" spans="1:22" ht="12.75" customHeight="1" x14ac:dyDescent="0.2">
      <c r="A72" s="6" t="s">
        <v>97</v>
      </c>
      <c r="B72" s="6" t="s">
        <v>15</v>
      </c>
      <c r="C72" s="7">
        <v>112442</v>
      </c>
      <c r="D72" s="8">
        <v>298166.39999999997</v>
      </c>
      <c r="E72" s="9" t="s">
        <v>16</v>
      </c>
      <c r="F72" s="36">
        <v>208</v>
      </c>
      <c r="G72" s="25"/>
      <c r="H72" s="14">
        <f t="shared" si="0"/>
        <v>0.55000000000000004</v>
      </c>
      <c r="I72" s="25">
        <f ca="1">IFERROR(__xludf.DUMMYFUNCTION("ROUND(D72*GOOGLEFINANCE(""RUBKZT"")*H72)"),1279712)</f>
        <v>1279712</v>
      </c>
      <c r="J72" s="26">
        <f ca="1">IFERROR(__xludf.DUMMYFUNCTION("ROUND(I72*GOOGLEFINANCE(""KZTEUR""))"),2680)</f>
        <v>2680</v>
      </c>
      <c r="K72" s="26">
        <f t="shared" ca="1" si="1"/>
        <v>12885</v>
      </c>
      <c r="L72" s="26">
        <f t="shared" ca="1" si="2"/>
        <v>2448.15</v>
      </c>
      <c r="M72" s="26">
        <f t="shared" ref="M72:N72" si="73">M$3</f>
        <v>500</v>
      </c>
      <c r="N72" s="26">
        <f t="shared" si="73"/>
        <v>500</v>
      </c>
      <c r="O72" s="26">
        <f ca="1">IFERROR(__xludf.DUMMYFUNCTION("ROUND(GOOGLEFINANCE(""Currency:EURKZT"")*K72)"),6153484)</f>
        <v>6153484</v>
      </c>
      <c r="P72" s="26">
        <f ca="1">IFERROR(__xludf.DUMMYFUNCTION("ROUND(GOOGLEFINANCE(""Currency:EURKZT"")*M72)"),238785)</f>
        <v>238785</v>
      </c>
      <c r="Q72" s="26">
        <f ca="1">IFERROR(__xludf.DUMMYFUNCTION("ROUND(GOOGLEFINANCE(""Currency:EURKZT"")*N72)"),238785)</f>
        <v>238785</v>
      </c>
      <c r="R72" s="26">
        <f t="shared" ca="1" si="4"/>
        <v>738418</v>
      </c>
      <c r="S72" s="26">
        <f t="shared" ca="1" si="5"/>
        <v>7369472</v>
      </c>
      <c r="T72" s="26">
        <f ca="1">IFERROR(__xludf.DUMMYFUNCTION("ROUND(GOOGLEFINANCE(""Currency:EURKZT"")*L72+S72)"),8538634)</f>
        <v>8538634</v>
      </c>
      <c r="U72" s="26">
        <f ca="1">IFERROR(__xludf.DUMMYFUNCTION("D72*GOOGLEFINANCE(""RUBKZT"")*1000/F72"),11186289.9812431)</f>
        <v>11186289.9812431</v>
      </c>
      <c r="V72" s="27">
        <f t="shared" ca="1" si="6"/>
        <v>0.31007957259241936</v>
      </c>
    </row>
    <row r="73" spans="1:22" ht="12.75" customHeight="1" x14ac:dyDescent="0.2">
      <c r="A73" s="6" t="s">
        <v>98</v>
      </c>
      <c r="B73" s="6" t="s">
        <v>15</v>
      </c>
      <c r="C73" s="7">
        <v>112445</v>
      </c>
      <c r="D73" s="8">
        <v>170877.6</v>
      </c>
      <c r="E73" s="9" t="s">
        <v>16</v>
      </c>
      <c r="F73" s="36">
        <v>208</v>
      </c>
      <c r="G73" s="25"/>
      <c r="H73" s="14">
        <f t="shared" si="0"/>
        <v>0.55000000000000004</v>
      </c>
      <c r="I73" s="25">
        <f ca="1">IFERROR(__xludf.DUMMYFUNCTION("ROUND(D73*GOOGLEFINANCE(""RUBKZT"")*H73)"),733396)</f>
        <v>733396</v>
      </c>
      <c r="J73" s="26">
        <f ca="1">IFERROR(__xludf.DUMMYFUNCTION("ROUND(I73*GOOGLEFINANCE(""KZTEUR""))"),1536)</f>
        <v>1536</v>
      </c>
      <c r="K73" s="26">
        <f t="shared" ca="1" si="1"/>
        <v>7385</v>
      </c>
      <c r="L73" s="26">
        <f t="shared" ca="1" si="2"/>
        <v>1403.15</v>
      </c>
      <c r="M73" s="26">
        <f t="shared" ref="M73:N73" si="74">M$3</f>
        <v>500</v>
      </c>
      <c r="N73" s="26">
        <f t="shared" si="74"/>
        <v>500</v>
      </c>
      <c r="O73" s="26">
        <f ca="1">IFERROR(__xludf.DUMMYFUNCTION("ROUND(GOOGLEFINANCE(""Currency:EURKZT"")*K73)"),3526852)</f>
        <v>3526852</v>
      </c>
      <c r="P73" s="26">
        <f ca="1">IFERROR(__xludf.DUMMYFUNCTION("ROUND(GOOGLEFINANCE(""Currency:EURKZT"")*M73)"),238785)</f>
        <v>238785</v>
      </c>
      <c r="Q73" s="26">
        <f ca="1">IFERROR(__xludf.DUMMYFUNCTION("ROUND(GOOGLEFINANCE(""Currency:EURKZT"")*N73)"),238785)</f>
        <v>238785</v>
      </c>
      <c r="R73" s="26">
        <f t="shared" ca="1" si="4"/>
        <v>423222</v>
      </c>
      <c r="S73" s="26">
        <f t="shared" ca="1" si="5"/>
        <v>4427644</v>
      </c>
      <c r="T73" s="26">
        <f ca="1">IFERROR(__xludf.DUMMYFUNCTION("ROUND(GOOGLEFINANCE(""Currency:EURKZT"")*L73+S73)"),5097746)</f>
        <v>5097746</v>
      </c>
      <c r="U73" s="26">
        <f ca="1">IFERROR(__xludf.DUMMYFUNCTION("D73*GOOGLEFINANCE(""RUBKZT"")*1000/F73"),6410804.11776401)</f>
        <v>6410804.1177640101</v>
      </c>
      <c r="V73" s="27">
        <f t="shared" ca="1" si="6"/>
        <v>0.25757621461799196</v>
      </c>
    </row>
    <row r="74" spans="1:22" ht="12.75" customHeight="1" x14ac:dyDescent="0.2">
      <c r="A74" s="6" t="s">
        <v>99</v>
      </c>
      <c r="B74" s="6" t="s">
        <v>15</v>
      </c>
      <c r="C74" s="7">
        <v>112451</v>
      </c>
      <c r="D74" s="8">
        <v>137131.19999999998</v>
      </c>
      <c r="E74" s="9" t="s">
        <v>16</v>
      </c>
      <c r="F74" s="36">
        <v>208</v>
      </c>
      <c r="G74" s="25"/>
      <c r="H74" s="14">
        <f t="shared" si="0"/>
        <v>0.55000000000000004</v>
      </c>
      <c r="I74" s="25">
        <f ca="1">IFERROR(__xludf.DUMMYFUNCTION("ROUND(D74*GOOGLEFINANCE(""RUBKZT"")*H74)"),588559)</f>
        <v>588559</v>
      </c>
      <c r="J74" s="26">
        <f ca="1">IFERROR(__xludf.DUMMYFUNCTION("ROUND(I74*GOOGLEFINANCE(""KZTEUR""))"),1233)</f>
        <v>1233</v>
      </c>
      <c r="K74" s="26">
        <f t="shared" ca="1" si="1"/>
        <v>5928</v>
      </c>
      <c r="L74" s="26">
        <f t="shared" ca="1" si="2"/>
        <v>1126.32</v>
      </c>
      <c r="M74" s="26">
        <f t="shared" ref="M74:N74" si="75">M$3</f>
        <v>500</v>
      </c>
      <c r="N74" s="26">
        <f t="shared" si="75"/>
        <v>500</v>
      </c>
      <c r="O74" s="26">
        <f ca="1">IFERROR(__xludf.DUMMYFUNCTION("ROUND(GOOGLEFINANCE(""Currency:EURKZT"")*K74)"),2831033)</f>
        <v>2831033</v>
      </c>
      <c r="P74" s="26">
        <f ca="1">IFERROR(__xludf.DUMMYFUNCTION("ROUND(GOOGLEFINANCE(""Currency:EURKZT"")*M74)"),238785)</f>
        <v>238785</v>
      </c>
      <c r="Q74" s="26">
        <f ca="1">IFERROR(__xludf.DUMMYFUNCTION("ROUND(GOOGLEFINANCE(""Currency:EURKZT"")*N74)"),238785)</f>
        <v>238785</v>
      </c>
      <c r="R74" s="26">
        <f t="shared" ca="1" si="4"/>
        <v>339724</v>
      </c>
      <c r="S74" s="26">
        <f t="shared" ca="1" si="5"/>
        <v>3648327</v>
      </c>
      <c r="T74" s="26">
        <f ca="1">IFERROR(__xludf.DUMMYFUNCTION("ROUND(GOOGLEFINANCE(""Currency:EURKZT"")*L74+S74)"),4186223)</f>
        <v>4186223</v>
      </c>
      <c r="U74" s="26">
        <f ca="1">IFERROR(__xludf.DUMMYFUNCTION("D74*GOOGLEFINANCE(""RUBKZT"")*1000/F74"),5144742.56212587)</f>
        <v>5144742.56212587</v>
      </c>
      <c r="V74" s="27">
        <f t="shared" ca="1" si="6"/>
        <v>0.22897001954407828</v>
      </c>
    </row>
    <row r="75" spans="1:22" ht="12.75" customHeight="1" x14ac:dyDescent="0.2">
      <c r="A75" s="6" t="s">
        <v>100</v>
      </c>
      <c r="B75" s="6" t="s">
        <v>15</v>
      </c>
      <c r="C75" s="7">
        <v>112452</v>
      </c>
      <c r="D75" s="8">
        <v>142436.4</v>
      </c>
      <c r="E75" s="9" t="s">
        <v>16</v>
      </c>
      <c r="F75" s="36">
        <v>208</v>
      </c>
      <c r="G75" s="25"/>
      <c r="H75" s="14">
        <f t="shared" si="0"/>
        <v>0.55000000000000004</v>
      </c>
      <c r="I75" s="25">
        <f ca="1">IFERROR(__xludf.DUMMYFUNCTION("ROUND(D75*GOOGLEFINANCE(""RUBKZT"")*H75)"),611328)</f>
        <v>611328</v>
      </c>
      <c r="J75" s="26">
        <f ca="1">IFERROR(__xludf.DUMMYFUNCTION("ROUND(I75*GOOGLEFINANCE(""KZTEUR""))"),1280)</f>
        <v>1280</v>
      </c>
      <c r="K75" s="26">
        <f t="shared" ca="1" si="1"/>
        <v>6154</v>
      </c>
      <c r="L75" s="26">
        <f t="shared" ca="1" si="2"/>
        <v>1169.26</v>
      </c>
      <c r="M75" s="26">
        <f t="shared" ref="M75:N75" si="76">M$3</f>
        <v>500</v>
      </c>
      <c r="N75" s="26">
        <f t="shared" si="76"/>
        <v>500</v>
      </c>
      <c r="O75" s="26">
        <f ca="1">IFERROR(__xludf.DUMMYFUNCTION("ROUND(GOOGLEFINANCE(""Currency:EURKZT"")*K75)"),2938963)</f>
        <v>2938963</v>
      </c>
      <c r="P75" s="26">
        <f ca="1">IFERROR(__xludf.DUMMYFUNCTION("ROUND(GOOGLEFINANCE(""Currency:EURKZT"")*M75)"),238785)</f>
        <v>238785</v>
      </c>
      <c r="Q75" s="26">
        <f ca="1">IFERROR(__xludf.DUMMYFUNCTION("ROUND(GOOGLEFINANCE(""Currency:EURKZT"")*N75)"),238785)</f>
        <v>238785</v>
      </c>
      <c r="R75" s="26">
        <f t="shared" ca="1" si="4"/>
        <v>352676</v>
      </c>
      <c r="S75" s="26">
        <f t="shared" ca="1" si="5"/>
        <v>3769209</v>
      </c>
      <c r="T75" s="26">
        <f ca="1">IFERROR(__xludf.DUMMYFUNCTION("ROUND(GOOGLEFINANCE(""Currency:EURKZT"")*L75+S75)"),4327612)</f>
        <v>4327612</v>
      </c>
      <c r="U75" s="26">
        <f ca="1">IFERROR(__xludf.DUMMYFUNCTION("D75*GOOGLEFINANCE(""RUBKZT"")*1000/F75"),5343777.41517602)</f>
        <v>5343777.41517602</v>
      </c>
      <c r="V75" s="27">
        <f t="shared" ca="1" si="6"/>
        <v>0.23480973229023766</v>
      </c>
    </row>
    <row r="76" spans="1:22" ht="12.75" customHeight="1" x14ac:dyDescent="0.2">
      <c r="A76" s="6" t="s">
        <v>101</v>
      </c>
      <c r="B76" s="6" t="s">
        <v>15</v>
      </c>
      <c r="C76" s="7">
        <v>112461</v>
      </c>
      <c r="D76" s="8">
        <v>273844.8</v>
      </c>
      <c r="E76" s="9" t="s">
        <v>16</v>
      </c>
      <c r="F76" s="36">
        <v>208</v>
      </c>
      <c r="G76" s="25"/>
      <c r="H76" s="14">
        <f t="shared" si="0"/>
        <v>0.55000000000000004</v>
      </c>
      <c r="I76" s="25">
        <f ca="1">IFERROR(__xludf.DUMMYFUNCTION("ROUND(D76*GOOGLEFINANCE(""RUBKZT"")*H76)"),1175325)</f>
        <v>1175325</v>
      </c>
      <c r="J76" s="26">
        <f ca="1">IFERROR(__xludf.DUMMYFUNCTION("ROUND(I76*GOOGLEFINANCE(""KZTEUR""))"),2462)</f>
        <v>2462</v>
      </c>
      <c r="K76" s="26">
        <f t="shared" ca="1" si="1"/>
        <v>11837</v>
      </c>
      <c r="L76" s="26">
        <f t="shared" ca="1" si="2"/>
        <v>2249.0300000000002</v>
      </c>
      <c r="M76" s="26">
        <f t="shared" ref="M76:N76" si="77">M$3</f>
        <v>500</v>
      </c>
      <c r="N76" s="26">
        <f t="shared" si="77"/>
        <v>500</v>
      </c>
      <c r="O76" s="26">
        <f ca="1">IFERROR(__xludf.DUMMYFUNCTION("ROUND(GOOGLEFINANCE(""Currency:EURKZT"")*K76)"),5652992)</f>
        <v>5652992</v>
      </c>
      <c r="P76" s="26">
        <f ca="1">IFERROR(__xludf.DUMMYFUNCTION("ROUND(GOOGLEFINANCE(""Currency:EURKZT"")*M76)"),238785)</f>
        <v>238785</v>
      </c>
      <c r="Q76" s="26">
        <f ca="1">IFERROR(__xludf.DUMMYFUNCTION("ROUND(GOOGLEFINANCE(""Currency:EURKZT"")*N76)"),238785)</f>
        <v>238785</v>
      </c>
      <c r="R76" s="26">
        <f t="shared" ca="1" si="4"/>
        <v>678359</v>
      </c>
      <c r="S76" s="26">
        <f t="shared" ca="1" si="5"/>
        <v>6808921</v>
      </c>
      <c r="T76" s="26">
        <f ca="1">IFERROR(__xludf.DUMMYFUNCTION("ROUND(GOOGLEFINANCE(""Currency:EURKZT"")*L76+S76)"),7882989)</f>
        <v>7882989</v>
      </c>
      <c r="U76" s="26">
        <f ca="1">IFERROR(__xludf.DUMMYFUNCTION("D76*GOOGLEFINANCE(""RUBKZT"")*1000/F76"),10273818.0514488)</f>
        <v>10273818.0514488</v>
      </c>
      <c r="V76" s="27">
        <f t="shared" ca="1" si="6"/>
        <v>0.30328965972790267</v>
      </c>
    </row>
    <row r="77" spans="1:22" ht="12.75" customHeight="1" x14ac:dyDescent="0.2">
      <c r="A77" s="6" t="s">
        <v>102</v>
      </c>
      <c r="B77" s="6" t="s">
        <v>15</v>
      </c>
      <c r="C77" s="7">
        <v>112462</v>
      </c>
      <c r="D77" s="8">
        <v>278094</v>
      </c>
      <c r="E77" s="9" t="s">
        <v>16</v>
      </c>
      <c r="F77" s="36">
        <v>208</v>
      </c>
      <c r="G77" s="25"/>
      <c r="H77" s="14">
        <f t="shared" si="0"/>
        <v>0.55000000000000004</v>
      </c>
      <c r="I77" s="25">
        <f ca="1">IFERROR(__xludf.DUMMYFUNCTION("ROUND(D77*GOOGLEFINANCE(""RUBKZT"")*H77)"),1193562)</f>
        <v>1193562</v>
      </c>
      <c r="J77" s="26">
        <f ca="1">IFERROR(__xludf.DUMMYFUNCTION("ROUND(I77*GOOGLEFINANCE(""KZTEUR""))"),2500)</f>
        <v>2500</v>
      </c>
      <c r="K77" s="26">
        <f t="shared" ca="1" si="1"/>
        <v>12019</v>
      </c>
      <c r="L77" s="26">
        <f t="shared" ca="1" si="2"/>
        <v>2283.61</v>
      </c>
      <c r="M77" s="26">
        <f t="shared" ref="M77:N77" si="78">M$3</f>
        <v>500</v>
      </c>
      <c r="N77" s="26">
        <f t="shared" si="78"/>
        <v>500</v>
      </c>
      <c r="O77" s="26">
        <f ca="1">IFERROR(__xludf.DUMMYFUNCTION("ROUND(GOOGLEFINANCE(""Currency:EURKZT"")*K77)"),5739909)</f>
        <v>5739909</v>
      </c>
      <c r="P77" s="26">
        <f ca="1">IFERROR(__xludf.DUMMYFUNCTION("ROUND(GOOGLEFINANCE(""Currency:EURKZT"")*M77)"),238785)</f>
        <v>238785</v>
      </c>
      <c r="Q77" s="26">
        <f ca="1">IFERROR(__xludf.DUMMYFUNCTION("ROUND(GOOGLEFINANCE(""Currency:EURKZT"")*N77)"),238785)</f>
        <v>238785</v>
      </c>
      <c r="R77" s="26">
        <f t="shared" ca="1" si="4"/>
        <v>688789</v>
      </c>
      <c r="S77" s="26">
        <f t="shared" ca="1" si="5"/>
        <v>6906268</v>
      </c>
      <c r="T77" s="26">
        <f ca="1">IFERROR(__xludf.DUMMYFUNCTION("ROUND(GOOGLEFINANCE(""Currency:EURKZT"")*L77+S77)"),7996851)</f>
        <v>7996851</v>
      </c>
      <c r="U77" s="26">
        <f ca="1">IFERROR(__xludf.DUMMYFUNCTION("D77*GOOGLEFINANCE(""RUBKZT"")*1000/F77"),10433235.0192504)</f>
        <v>10433235.0192504</v>
      </c>
      <c r="V77" s="27">
        <f t="shared" ca="1" si="6"/>
        <v>0.30466792731919107</v>
      </c>
    </row>
    <row r="78" spans="1:22" ht="12.75" customHeight="1" x14ac:dyDescent="0.2">
      <c r="A78" s="6" t="s">
        <v>107</v>
      </c>
      <c r="B78" s="6" t="s">
        <v>15</v>
      </c>
      <c r="C78" s="7">
        <v>112514</v>
      </c>
      <c r="D78" s="8">
        <v>108387.59999999999</v>
      </c>
      <c r="E78" s="9" t="s">
        <v>16</v>
      </c>
      <c r="F78" s="36">
        <v>208</v>
      </c>
      <c r="G78" s="25"/>
      <c r="H78" s="14">
        <f t="shared" si="0"/>
        <v>0.55000000000000004</v>
      </c>
      <c r="I78" s="25">
        <f ca="1">IFERROR(__xludf.DUMMYFUNCTION("ROUND(D78*GOOGLEFINANCE(""RUBKZT"")*H78)"),465193)</f>
        <v>465193</v>
      </c>
      <c r="J78" s="26">
        <f ca="1">IFERROR(__xludf.DUMMYFUNCTION("ROUND(I78*GOOGLEFINANCE(""KZTEUR""))"),974)</f>
        <v>974</v>
      </c>
      <c r="K78" s="26">
        <f t="shared" ca="1" si="1"/>
        <v>4683</v>
      </c>
      <c r="L78" s="26">
        <f t="shared" ca="1" si="2"/>
        <v>889.77</v>
      </c>
      <c r="M78" s="26">
        <f t="shared" ref="M78:N78" si="79">M$3</f>
        <v>500</v>
      </c>
      <c r="N78" s="26">
        <f t="shared" si="79"/>
        <v>500</v>
      </c>
      <c r="O78" s="26">
        <f ca="1">IFERROR(__xludf.DUMMYFUNCTION("ROUND(GOOGLEFINANCE(""Currency:EURKZT"")*K78)"),2236459)</f>
        <v>2236459</v>
      </c>
      <c r="P78" s="26">
        <f ca="1">IFERROR(__xludf.DUMMYFUNCTION("ROUND(GOOGLEFINANCE(""Currency:EURKZT"")*M78)"),238785)</f>
        <v>238785</v>
      </c>
      <c r="Q78" s="26">
        <f ca="1">IFERROR(__xludf.DUMMYFUNCTION("ROUND(GOOGLEFINANCE(""Currency:EURKZT"")*N78)"),238785)</f>
        <v>238785</v>
      </c>
      <c r="R78" s="26">
        <f t="shared" ca="1" si="4"/>
        <v>268375</v>
      </c>
      <c r="S78" s="26">
        <f t="shared" ca="1" si="5"/>
        <v>2982404</v>
      </c>
      <c r="T78" s="26">
        <f ca="1">IFERROR(__xludf.DUMMYFUNCTION("ROUND(GOOGLEFINANCE(""Currency:EURKZT"")*L78+S78)"),3407331)</f>
        <v>3407331</v>
      </c>
      <c r="U78" s="26">
        <f ca="1">IFERROR(__xludf.DUMMYFUNCTION("D78*GOOGLEFINANCE(""RUBKZT"")*1000/F78"),4066370.73785305)</f>
        <v>4066370.7378530502</v>
      </c>
      <c r="V78" s="27">
        <f t="shared" ca="1" si="6"/>
        <v>0.1934181733013465</v>
      </c>
    </row>
    <row r="79" spans="1:22" ht="12.75" customHeight="1" x14ac:dyDescent="0.2">
      <c r="A79" s="6" t="s">
        <v>108</v>
      </c>
      <c r="B79" s="6" t="s">
        <v>15</v>
      </c>
      <c r="C79" s="7">
        <v>112516</v>
      </c>
      <c r="D79" s="8">
        <v>101156.4</v>
      </c>
      <c r="E79" s="9" t="s">
        <v>16</v>
      </c>
      <c r="F79" s="36">
        <v>208</v>
      </c>
      <c r="G79" s="25"/>
      <c r="H79" s="14">
        <f t="shared" si="0"/>
        <v>0.55000000000000004</v>
      </c>
      <c r="I79" s="25">
        <f ca="1">IFERROR(__xludf.DUMMYFUNCTION("ROUND(D79*GOOGLEFINANCE(""RUBKZT"")*H79)"),434157)</f>
        <v>434157</v>
      </c>
      <c r="J79" s="26">
        <f ca="1">IFERROR(__xludf.DUMMYFUNCTION("ROUND(I79*GOOGLEFINANCE(""KZTEUR""))"),909)</f>
        <v>909</v>
      </c>
      <c r="K79" s="26">
        <f t="shared" ca="1" si="1"/>
        <v>4370</v>
      </c>
      <c r="L79" s="26">
        <f t="shared" ca="1" si="2"/>
        <v>830.3</v>
      </c>
      <c r="M79" s="26">
        <f t="shared" ref="M79:N79" si="80">M$3</f>
        <v>500</v>
      </c>
      <c r="N79" s="26">
        <f t="shared" si="80"/>
        <v>500</v>
      </c>
      <c r="O79" s="26">
        <f ca="1">IFERROR(__xludf.DUMMYFUNCTION("ROUND(GOOGLEFINANCE(""Currency:EURKZT"")*K79)"),2086979)</f>
        <v>2086979</v>
      </c>
      <c r="P79" s="26">
        <f ca="1">IFERROR(__xludf.DUMMYFUNCTION("ROUND(GOOGLEFINANCE(""Currency:EURKZT"")*M79)"),238785)</f>
        <v>238785</v>
      </c>
      <c r="Q79" s="26">
        <f ca="1">IFERROR(__xludf.DUMMYFUNCTION("ROUND(GOOGLEFINANCE(""Currency:EURKZT"")*N79)"),238785)</f>
        <v>238785</v>
      </c>
      <c r="R79" s="26">
        <f t="shared" ca="1" si="4"/>
        <v>250437</v>
      </c>
      <c r="S79" s="26">
        <f t="shared" ca="1" si="5"/>
        <v>2814986</v>
      </c>
      <c r="T79" s="26">
        <f ca="1">IFERROR(__xludf.DUMMYFUNCTION("ROUND(GOOGLEFINANCE(""Currency:EURKZT"")*L79+S79)"),3211512)</f>
        <v>3211512</v>
      </c>
      <c r="U79" s="26">
        <f ca="1">IFERROR(__xludf.DUMMYFUNCTION("D79*GOOGLEFINANCE(""RUBKZT"")*1000/F79"),3795078.26454833)</f>
        <v>3795078.2645483301</v>
      </c>
      <c r="V79" s="27">
        <f t="shared" ca="1" si="6"/>
        <v>0.18171075323658453</v>
      </c>
    </row>
    <row r="80" spans="1:22" ht="12.75" customHeight="1" x14ac:dyDescent="0.2">
      <c r="A80" s="6" t="s">
        <v>109</v>
      </c>
      <c r="B80" s="6" t="s">
        <v>15</v>
      </c>
      <c r="C80" s="7">
        <v>112518</v>
      </c>
      <c r="D80" s="8">
        <v>110850</v>
      </c>
      <c r="E80" s="9" t="s">
        <v>16</v>
      </c>
      <c r="F80" s="36">
        <v>208</v>
      </c>
      <c r="G80" s="25"/>
      <c r="H80" s="14">
        <f t="shared" si="0"/>
        <v>0.55000000000000004</v>
      </c>
      <c r="I80" s="25">
        <f ca="1">IFERROR(__xludf.DUMMYFUNCTION("ROUND(D80*GOOGLEFINANCE(""RUBKZT"")*H80)"),475761)</f>
        <v>475761</v>
      </c>
      <c r="J80" s="26">
        <f ca="1">IFERROR(__xludf.DUMMYFUNCTION("ROUND(I80*GOOGLEFINANCE(""KZTEUR""))"),996)</f>
        <v>996</v>
      </c>
      <c r="K80" s="26">
        <f t="shared" ca="1" si="1"/>
        <v>4788</v>
      </c>
      <c r="L80" s="26">
        <f t="shared" ca="1" si="2"/>
        <v>909.72</v>
      </c>
      <c r="M80" s="26">
        <f t="shared" ref="M80:N80" si="81">M$3</f>
        <v>500</v>
      </c>
      <c r="N80" s="26">
        <f t="shared" si="81"/>
        <v>500</v>
      </c>
      <c r="O80" s="26">
        <f ca="1">IFERROR(__xludf.DUMMYFUNCTION("ROUND(GOOGLEFINANCE(""Currency:EURKZT"")*K80)"),2286603)</f>
        <v>2286603</v>
      </c>
      <c r="P80" s="26">
        <f ca="1">IFERROR(__xludf.DUMMYFUNCTION("ROUND(GOOGLEFINANCE(""Currency:EURKZT"")*M80)"),238785)</f>
        <v>238785</v>
      </c>
      <c r="Q80" s="26">
        <f ca="1">IFERROR(__xludf.DUMMYFUNCTION("ROUND(GOOGLEFINANCE(""Currency:EURKZT"")*N80)"),238785)</f>
        <v>238785</v>
      </c>
      <c r="R80" s="26">
        <f t="shared" ca="1" si="4"/>
        <v>274392</v>
      </c>
      <c r="S80" s="26">
        <f t="shared" ca="1" si="5"/>
        <v>3038565</v>
      </c>
      <c r="T80" s="26">
        <f ca="1">IFERROR(__xludf.DUMMYFUNCTION("ROUND(GOOGLEFINANCE(""Currency:EURKZT"")*L80+S80)"),3473020)</f>
        <v>3473020</v>
      </c>
      <c r="U80" s="26">
        <f ca="1">IFERROR(__xludf.DUMMYFUNCTION("D80*GOOGLEFINANCE(""RUBKZT"")*1000/F80"),4158752.44300096)</f>
        <v>4158752.4430009602</v>
      </c>
      <c r="V80" s="27">
        <f t="shared" ca="1" si="6"/>
        <v>0.19744557848816308</v>
      </c>
    </row>
    <row r="81" spans="1:22" ht="12.75" customHeight="1" x14ac:dyDescent="0.2">
      <c r="A81" s="6" t="s">
        <v>110</v>
      </c>
      <c r="B81" s="6" t="s">
        <v>15</v>
      </c>
      <c r="C81" s="7">
        <v>112520</v>
      </c>
      <c r="D81" s="8">
        <v>104667.59999999999</v>
      </c>
      <c r="E81" s="9" t="s">
        <v>16</v>
      </c>
      <c r="F81" s="36">
        <v>208</v>
      </c>
      <c r="G81" s="25"/>
      <c r="H81" s="14">
        <f t="shared" si="0"/>
        <v>0.55000000000000004</v>
      </c>
      <c r="I81" s="25">
        <f ca="1">IFERROR(__xludf.DUMMYFUNCTION("ROUND(D81*GOOGLEFINANCE(""RUBKZT"")*H81)"),449227)</f>
        <v>449227</v>
      </c>
      <c r="J81" s="26">
        <f ca="1">IFERROR(__xludf.DUMMYFUNCTION("ROUND(I81*GOOGLEFINANCE(""KZTEUR""))"),941)</f>
        <v>941</v>
      </c>
      <c r="K81" s="26">
        <f t="shared" ca="1" si="1"/>
        <v>4524</v>
      </c>
      <c r="L81" s="26">
        <f t="shared" ca="1" si="2"/>
        <v>859.56000000000006</v>
      </c>
      <c r="M81" s="26">
        <f t="shared" ref="M81:N81" si="82">M$3</f>
        <v>500</v>
      </c>
      <c r="N81" s="26">
        <f t="shared" si="82"/>
        <v>500</v>
      </c>
      <c r="O81" s="26">
        <f ca="1">IFERROR(__xludf.DUMMYFUNCTION("ROUND(GOOGLEFINANCE(""Currency:EURKZT"")*K81)"),2160525)</f>
        <v>2160525</v>
      </c>
      <c r="P81" s="26">
        <f ca="1">IFERROR(__xludf.DUMMYFUNCTION("ROUND(GOOGLEFINANCE(""Currency:EURKZT"")*M81)"),238785)</f>
        <v>238785</v>
      </c>
      <c r="Q81" s="26">
        <f ca="1">IFERROR(__xludf.DUMMYFUNCTION("ROUND(GOOGLEFINANCE(""Currency:EURKZT"")*N81)"),238785)</f>
        <v>238785</v>
      </c>
      <c r="R81" s="26">
        <f t="shared" ca="1" si="4"/>
        <v>259263</v>
      </c>
      <c r="S81" s="26">
        <f t="shared" ca="1" si="5"/>
        <v>2897358</v>
      </c>
      <c r="T81" s="26">
        <f ca="1">IFERROR(__xludf.DUMMYFUNCTION("ROUND(GOOGLEFINANCE(""Currency:EURKZT"")*L81+S81)"),3307858)</f>
        <v>3307858</v>
      </c>
      <c r="U81" s="26">
        <f ca="1">IFERROR(__xludf.DUMMYFUNCTION("D81*GOOGLEFINANCE(""RUBKZT"")*1000/F81"),3926807.73299997)</f>
        <v>3926807.7329999702</v>
      </c>
      <c r="V81" s="27">
        <f t="shared" ca="1" si="6"/>
        <v>0.18711496472943223</v>
      </c>
    </row>
    <row r="82" spans="1:22" ht="12.75" customHeight="1" x14ac:dyDescent="0.2">
      <c r="A82" s="6" t="s">
        <v>111</v>
      </c>
      <c r="B82" s="6" t="s">
        <v>15</v>
      </c>
      <c r="C82" s="7">
        <v>112522</v>
      </c>
      <c r="D82" s="8">
        <v>109920</v>
      </c>
      <c r="E82" s="9" t="s">
        <v>16</v>
      </c>
      <c r="F82" s="36">
        <v>208</v>
      </c>
      <c r="G82" s="25"/>
      <c r="H82" s="14">
        <f t="shared" si="0"/>
        <v>0.55000000000000004</v>
      </c>
      <c r="I82" s="25">
        <f ca="1">IFERROR(__xludf.DUMMYFUNCTION("ROUND(D82*GOOGLEFINANCE(""RUBKZT"")*H82)"),471770)</f>
        <v>471770</v>
      </c>
      <c r="J82" s="26">
        <f ca="1">IFERROR(__xludf.DUMMYFUNCTION("ROUND(I82*GOOGLEFINANCE(""KZTEUR""))"),988)</f>
        <v>988</v>
      </c>
      <c r="K82" s="26">
        <f t="shared" ca="1" si="1"/>
        <v>4750</v>
      </c>
      <c r="L82" s="26">
        <f t="shared" ca="1" si="2"/>
        <v>902.5</v>
      </c>
      <c r="M82" s="26">
        <f t="shared" ref="M82:N82" si="83">M$3</f>
        <v>500</v>
      </c>
      <c r="N82" s="26">
        <f t="shared" si="83"/>
        <v>500</v>
      </c>
      <c r="O82" s="26">
        <f ca="1">IFERROR(__xludf.DUMMYFUNCTION("ROUND(GOOGLEFINANCE(""Currency:EURKZT"")*K82)"),2268456)</f>
        <v>2268456</v>
      </c>
      <c r="P82" s="26">
        <f ca="1">IFERROR(__xludf.DUMMYFUNCTION("ROUND(GOOGLEFINANCE(""Currency:EURKZT"")*M82)"),238785)</f>
        <v>238785</v>
      </c>
      <c r="Q82" s="26">
        <f ca="1">IFERROR(__xludf.DUMMYFUNCTION("ROUND(GOOGLEFINANCE(""Currency:EURKZT"")*N82)"),238785)</f>
        <v>238785</v>
      </c>
      <c r="R82" s="26">
        <f t="shared" ca="1" si="4"/>
        <v>272215</v>
      </c>
      <c r="S82" s="26">
        <f t="shared" ca="1" si="5"/>
        <v>3018241</v>
      </c>
      <c r="T82" s="26">
        <f ca="1">IFERROR(__xludf.DUMMYFUNCTION("ROUND(GOOGLEFINANCE(""Currency:EURKZT"")*L82+S82)"),3449248)</f>
        <v>3449248</v>
      </c>
      <c r="U82" s="26">
        <f ca="1">IFERROR(__xludf.DUMMYFUNCTION("D82*GOOGLEFINANCE(""RUBKZT"")*1000/F82"),4123861.69178769)</f>
        <v>4123861.6917876899</v>
      </c>
      <c r="V82" s="27">
        <f t="shared" ca="1" si="6"/>
        <v>0.195582831906459</v>
      </c>
    </row>
    <row r="83" spans="1:22" ht="12.75" customHeight="1" x14ac:dyDescent="0.2">
      <c r="A83" s="6" t="s">
        <v>112</v>
      </c>
      <c r="B83" s="6" t="s">
        <v>15</v>
      </c>
      <c r="C83" s="7">
        <v>112524</v>
      </c>
      <c r="D83" s="8">
        <v>109998</v>
      </c>
      <c r="E83" s="9" t="s">
        <v>16</v>
      </c>
      <c r="F83" s="36">
        <v>208</v>
      </c>
      <c r="G83" s="25"/>
      <c r="H83" s="14">
        <f t="shared" si="0"/>
        <v>0.55000000000000004</v>
      </c>
      <c r="I83" s="25">
        <f ca="1">IFERROR(__xludf.DUMMYFUNCTION("ROUND(D83*GOOGLEFINANCE(""RUBKZT"")*H83)"),472105)</f>
        <v>472105</v>
      </c>
      <c r="J83" s="26">
        <f ca="1">IFERROR(__xludf.DUMMYFUNCTION("ROUND(I83*GOOGLEFINANCE(""KZTEUR""))"),989)</f>
        <v>989</v>
      </c>
      <c r="K83" s="26">
        <f t="shared" ca="1" si="1"/>
        <v>4755</v>
      </c>
      <c r="L83" s="26">
        <f t="shared" ca="1" si="2"/>
        <v>903.45</v>
      </c>
      <c r="M83" s="26">
        <f t="shared" ref="M83:N83" si="84">M$3</f>
        <v>500</v>
      </c>
      <c r="N83" s="26">
        <f t="shared" si="84"/>
        <v>500</v>
      </c>
      <c r="O83" s="26">
        <f ca="1">IFERROR(__xludf.DUMMYFUNCTION("ROUND(GOOGLEFINANCE(""Currency:EURKZT"")*K83)"),2270844)</f>
        <v>2270844</v>
      </c>
      <c r="P83" s="26">
        <f ca="1">IFERROR(__xludf.DUMMYFUNCTION("ROUND(GOOGLEFINANCE(""Currency:EURKZT"")*M83)"),238785)</f>
        <v>238785</v>
      </c>
      <c r="Q83" s="26">
        <f ca="1">IFERROR(__xludf.DUMMYFUNCTION("ROUND(GOOGLEFINANCE(""Currency:EURKZT"")*N83)"),238785)</f>
        <v>238785</v>
      </c>
      <c r="R83" s="26">
        <f t="shared" ca="1" si="4"/>
        <v>272501</v>
      </c>
      <c r="S83" s="26">
        <f t="shared" ca="1" si="5"/>
        <v>3020915</v>
      </c>
      <c r="T83" s="26">
        <f ca="1">IFERROR(__xludf.DUMMYFUNCTION("ROUND(GOOGLEFINANCE(""Currency:EURKZT"")*L83+S83)"),3452375)</f>
        <v>3452375</v>
      </c>
      <c r="U83" s="26">
        <f ca="1">IFERROR(__xludf.DUMMYFUNCTION("D83*GOOGLEFINANCE(""RUBKZT"")*1000/F83"),4126788.01285719)</f>
        <v>4126788.0128571899</v>
      </c>
      <c r="V83" s="27">
        <f t="shared" ca="1" si="6"/>
        <v>0.19534755432338313</v>
      </c>
    </row>
    <row r="84" spans="1:22" ht="12.75" customHeight="1" x14ac:dyDescent="0.2">
      <c r="A84" s="6" t="s">
        <v>113</v>
      </c>
      <c r="B84" s="6" t="s">
        <v>15</v>
      </c>
      <c r="C84" s="7">
        <v>112526</v>
      </c>
      <c r="D84" s="8">
        <v>111049.2</v>
      </c>
      <c r="E84" s="9" t="s">
        <v>16</v>
      </c>
      <c r="F84" s="36">
        <v>208</v>
      </c>
      <c r="G84" s="25"/>
      <c r="H84" s="14">
        <f t="shared" si="0"/>
        <v>0.55000000000000004</v>
      </c>
      <c r="I84" s="25">
        <f ca="1">IFERROR(__xludf.DUMMYFUNCTION("ROUND(D84*GOOGLEFINANCE(""RUBKZT"")*H84)"),476616)</f>
        <v>476616</v>
      </c>
      <c r="J84" s="26">
        <f ca="1">IFERROR(__xludf.DUMMYFUNCTION("ROUND(I84*GOOGLEFINANCE(""KZTEUR""))"),998)</f>
        <v>998</v>
      </c>
      <c r="K84" s="26">
        <f t="shared" ca="1" si="1"/>
        <v>4798</v>
      </c>
      <c r="L84" s="26">
        <f t="shared" ca="1" si="2"/>
        <v>911.62</v>
      </c>
      <c r="M84" s="26">
        <f t="shared" ref="M84:N84" si="85">M$3</f>
        <v>500</v>
      </c>
      <c r="N84" s="26">
        <f t="shared" si="85"/>
        <v>500</v>
      </c>
      <c r="O84" s="26">
        <f ca="1">IFERROR(__xludf.DUMMYFUNCTION("ROUND(GOOGLEFINANCE(""Currency:EURKZT"")*K84)"),2291379)</f>
        <v>2291379</v>
      </c>
      <c r="P84" s="26">
        <f ca="1">IFERROR(__xludf.DUMMYFUNCTION("ROUND(GOOGLEFINANCE(""Currency:EURKZT"")*M84)"),238785)</f>
        <v>238785</v>
      </c>
      <c r="Q84" s="26">
        <f ca="1">IFERROR(__xludf.DUMMYFUNCTION("ROUND(GOOGLEFINANCE(""Currency:EURKZT"")*N84)"),238785)</f>
        <v>238785</v>
      </c>
      <c r="R84" s="26">
        <f t="shared" ca="1" si="4"/>
        <v>274965</v>
      </c>
      <c r="S84" s="26">
        <f t="shared" ca="1" si="5"/>
        <v>3043914</v>
      </c>
      <c r="T84" s="26">
        <f ca="1">IFERROR(__xludf.DUMMYFUNCTION("ROUND(GOOGLEFINANCE(""Currency:EURKZT"")*L84+S84)"),3479276)</f>
        <v>3479276</v>
      </c>
      <c r="U84" s="26">
        <f ca="1">IFERROR(__xludf.DUMMYFUNCTION("D84*GOOGLEFINANCE(""RUBKZT"")*1000/F84"),4166225.81680922)</f>
        <v>4166225.8168092198</v>
      </c>
      <c r="V84" s="27">
        <f t="shared" ca="1" si="6"/>
        <v>0.19744044933751154</v>
      </c>
    </row>
    <row r="85" spans="1:22" ht="12.75" customHeight="1" x14ac:dyDescent="0.2">
      <c r="A85" s="6" t="s">
        <v>114</v>
      </c>
      <c r="B85" s="6" t="s">
        <v>15</v>
      </c>
      <c r="C85" s="7">
        <v>112528</v>
      </c>
      <c r="D85" s="8">
        <v>136882.79999999999</v>
      </c>
      <c r="E85" s="9" t="s">
        <v>16</v>
      </c>
      <c r="F85" s="36">
        <v>208</v>
      </c>
      <c r="G85" s="25"/>
      <c r="H85" s="14">
        <f t="shared" si="0"/>
        <v>0.55000000000000004</v>
      </c>
      <c r="I85" s="25">
        <f ca="1">IFERROR(__xludf.DUMMYFUNCTION("ROUND(D85*GOOGLEFINANCE(""RUBKZT"")*H85)"),587492)</f>
        <v>587492</v>
      </c>
      <c r="J85" s="26">
        <f ca="1">IFERROR(__xludf.DUMMYFUNCTION("ROUND(I85*GOOGLEFINANCE(""KZTEUR""))"),1230)</f>
        <v>1230</v>
      </c>
      <c r="K85" s="26">
        <f t="shared" ca="1" si="1"/>
        <v>5913</v>
      </c>
      <c r="L85" s="26">
        <f t="shared" ca="1" si="2"/>
        <v>1123.47</v>
      </c>
      <c r="M85" s="26">
        <f t="shared" ref="M85:N85" si="86">M$3</f>
        <v>500</v>
      </c>
      <c r="N85" s="26">
        <f t="shared" si="86"/>
        <v>500</v>
      </c>
      <c r="O85" s="26">
        <f ca="1">IFERROR(__xludf.DUMMYFUNCTION("ROUND(GOOGLEFINANCE(""Currency:EURKZT"")*K85)"),2823869)</f>
        <v>2823869</v>
      </c>
      <c r="P85" s="26">
        <f ca="1">IFERROR(__xludf.DUMMYFUNCTION("ROUND(GOOGLEFINANCE(""Currency:EURKZT"")*M85)"),238785)</f>
        <v>238785</v>
      </c>
      <c r="Q85" s="26">
        <f ca="1">IFERROR(__xludf.DUMMYFUNCTION("ROUND(GOOGLEFINANCE(""Currency:EURKZT"")*N85)"),238785)</f>
        <v>238785</v>
      </c>
      <c r="R85" s="26">
        <f t="shared" ca="1" si="4"/>
        <v>338864</v>
      </c>
      <c r="S85" s="26">
        <f t="shared" ca="1" si="5"/>
        <v>3640303</v>
      </c>
      <c r="T85" s="26">
        <f ca="1">IFERROR(__xludf.DUMMYFUNCTION("ROUND(GOOGLEFINANCE(""Currency:EURKZT"")*L85+S85)"),4176838)</f>
        <v>4176838</v>
      </c>
      <c r="U85" s="26">
        <f ca="1">IFERROR(__xludf.DUMMYFUNCTION("D85*GOOGLEFINANCE(""RUBKZT"")*1000/F85"),5135423.35502762)</f>
        <v>5135423.3550276197</v>
      </c>
      <c r="V85" s="27">
        <f t="shared" ca="1" si="6"/>
        <v>0.22950024756229945</v>
      </c>
    </row>
    <row r="86" spans="1:22" ht="12.75" customHeight="1" x14ac:dyDescent="0.2">
      <c r="A86" s="6" t="s">
        <v>115</v>
      </c>
      <c r="B86" s="6" t="s">
        <v>15</v>
      </c>
      <c r="C86" s="7">
        <v>112529</v>
      </c>
      <c r="D86" s="8">
        <v>149865.60000000001</v>
      </c>
      <c r="E86" s="9" t="s">
        <v>16</v>
      </c>
      <c r="F86" s="36">
        <v>208</v>
      </c>
      <c r="G86" s="25"/>
      <c r="H86" s="14">
        <f t="shared" si="0"/>
        <v>0.55000000000000004</v>
      </c>
      <c r="I86" s="25">
        <f ca="1">IFERROR(__xludf.DUMMYFUNCTION("ROUND(D86*GOOGLEFINANCE(""RUBKZT"")*H86)"),643214)</f>
        <v>643214</v>
      </c>
      <c r="J86" s="26">
        <f ca="1">IFERROR(__xludf.DUMMYFUNCTION("ROUND(I86*GOOGLEFINANCE(""KZTEUR""))"),1347)</f>
        <v>1347</v>
      </c>
      <c r="K86" s="26">
        <f t="shared" ca="1" si="1"/>
        <v>6476</v>
      </c>
      <c r="L86" s="26">
        <f t="shared" ca="1" si="2"/>
        <v>1230.44</v>
      </c>
      <c r="M86" s="26">
        <f t="shared" ref="M86:N86" si="87">M$3</f>
        <v>500</v>
      </c>
      <c r="N86" s="26">
        <f t="shared" si="87"/>
        <v>500</v>
      </c>
      <c r="O86" s="26">
        <f ca="1">IFERROR(__xludf.DUMMYFUNCTION("ROUND(GOOGLEFINANCE(""Currency:EURKZT"")*K86)"),3092741)</f>
        <v>3092741</v>
      </c>
      <c r="P86" s="26">
        <f ca="1">IFERROR(__xludf.DUMMYFUNCTION("ROUND(GOOGLEFINANCE(""Currency:EURKZT"")*M86)"),238785)</f>
        <v>238785</v>
      </c>
      <c r="Q86" s="26">
        <f ca="1">IFERROR(__xludf.DUMMYFUNCTION("ROUND(GOOGLEFINANCE(""Currency:EURKZT"")*N86)"),238785)</f>
        <v>238785</v>
      </c>
      <c r="R86" s="26">
        <f t="shared" ca="1" si="4"/>
        <v>371129</v>
      </c>
      <c r="S86" s="26">
        <f t="shared" ca="1" si="5"/>
        <v>3941440</v>
      </c>
      <c r="T86" s="26">
        <f ca="1">IFERROR(__xludf.DUMMYFUNCTION("ROUND(GOOGLEFINANCE(""Currency:EURKZT"")*L86+S86)"),4529061)</f>
        <v>4529061</v>
      </c>
      <c r="U86" s="26">
        <f ca="1">IFERROR(__xludf.DUMMYFUNCTION("D86*GOOGLEFINANCE(""RUBKZT"")*1000/F86"),5622498.24196486)</f>
        <v>5622498.2419648599</v>
      </c>
      <c r="V86" s="27">
        <f t="shared" ca="1" si="6"/>
        <v>0.24142691872881816</v>
      </c>
    </row>
    <row r="87" spans="1:22" ht="12.75" customHeight="1" x14ac:dyDescent="0.2">
      <c r="A87" s="6" t="s">
        <v>116</v>
      </c>
      <c r="B87" s="6" t="s">
        <v>15</v>
      </c>
      <c r="C87" s="7">
        <v>112538</v>
      </c>
      <c r="D87" s="8">
        <v>253993.19999999998</v>
      </c>
      <c r="E87" s="9" t="s">
        <v>16</v>
      </c>
      <c r="F87" s="36">
        <v>208</v>
      </c>
      <c r="G87" s="25"/>
      <c r="H87" s="14">
        <f t="shared" si="0"/>
        <v>0.55000000000000004</v>
      </c>
      <c r="I87" s="25">
        <f ca="1">IFERROR(__xludf.DUMMYFUNCTION("ROUND(D87*GOOGLEFINANCE(""RUBKZT"")*H87)"),1090123)</f>
        <v>1090123</v>
      </c>
      <c r="J87" s="26">
        <f ca="1">IFERROR(__xludf.DUMMYFUNCTION("ROUND(I87*GOOGLEFINANCE(""KZTEUR""))"),2283)</f>
        <v>2283</v>
      </c>
      <c r="K87" s="26">
        <f t="shared" ca="1" si="1"/>
        <v>10976</v>
      </c>
      <c r="L87" s="26">
        <f t="shared" ca="1" si="2"/>
        <v>2085.44</v>
      </c>
      <c r="M87" s="26">
        <f t="shared" ref="M87:N87" si="88">M$3</f>
        <v>500</v>
      </c>
      <c r="N87" s="26">
        <f t="shared" si="88"/>
        <v>500</v>
      </c>
      <c r="O87" s="26">
        <f ca="1">IFERROR(__xludf.DUMMYFUNCTION("ROUND(GOOGLEFINANCE(""Currency:EURKZT"")*K87)"),5241804)</f>
        <v>5241804</v>
      </c>
      <c r="P87" s="26">
        <f ca="1">IFERROR(__xludf.DUMMYFUNCTION("ROUND(GOOGLEFINANCE(""Currency:EURKZT"")*M87)"),238785)</f>
        <v>238785</v>
      </c>
      <c r="Q87" s="26">
        <f ca="1">IFERROR(__xludf.DUMMYFUNCTION("ROUND(GOOGLEFINANCE(""Currency:EURKZT"")*N87)"),238785)</f>
        <v>238785</v>
      </c>
      <c r="R87" s="26">
        <f t="shared" ca="1" si="4"/>
        <v>629016</v>
      </c>
      <c r="S87" s="26">
        <f t="shared" ca="1" si="5"/>
        <v>6348390</v>
      </c>
      <c r="T87" s="26">
        <f ca="1">IFERROR(__xludf.DUMMYFUNCTION("ROUND(GOOGLEFINANCE(""Currency:EURKZT"")*L87+S87)"),7344333)</f>
        <v>7344333</v>
      </c>
      <c r="U87" s="26">
        <f ca="1">IFERROR(__xludf.DUMMYFUNCTION("D87*GOOGLEFINANCE(""RUBKZT"")*1000/F87"),9529046.82909907)</f>
        <v>9529046.8290990703</v>
      </c>
      <c r="V87" s="27">
        <f t="shared" ca="1" si="6"/>
        <v>0.29746933167369594</v>
      </c>
    </row>
    <row r="88" spans="1:22" ht="12.75" customHeight="1" x14ac:dyDescent="0.2">
      <c r="A88" s="6" t="s">
        <v>117</v>
      </c>
      <c r="B88" s="6" t="s">
        <v>15</v>
      </c>
      <c r="C88" s="7">
        <v>112542</v>
      </c>
      <c r="D88" s="8">
        <v>117073.2</v>
      </c>
      <c r="E88" s="9" t="s">
        <v>16</v>
      </c>
      <c r="F88" s="36">
        <v>208</v>
      </c>
      <c r="G88" s="25"/>
      <c r="H88" s="14">
        <f t="shared" si="0"/>
        <v>0.55000000000000004</v>
      </c>
      <c r="I88" s="25">
        <f ca="1">IFERROR(__xludf.DUMMYFUNCTION("ROUND(D88*GOOGLEFINANCE(""RUBKZT"")*H88)"),502471)</f>
        <v>502471</v>
      </c>
      <c r="J88" s="26">
        <f ca="1">IFERROR(__xludf.DUMMYFUNCTION("ROUND(I88*GOOGLEFINANCE(""KZTEUR""))"),1052)</f>
        <v>1052</v>
      </c>
      <c r="K88" s="26">
        <f t="shared" ca="1" si="1"/>
        <v>5058</v>
      </c>
      <c r="L88" s="26">
        <f t="shared" ca="1" si="2"/>
        <v>961.02</v>
      </c>
      <c r="M88" s="26">
        <f t="shared" ref="M88:N88" si="89">M$3</f>
        <v>500</v>
      </c>
      <c r="N88" s="26">
        <f t="shared" si="89"/>
        <v>500</v>
      </c>
      <c r="O88" s="26">
        <f ca="1">IFERROR(__xludf.DUMMYFUNCTION("ROUND(GOOGLEFINANCE(""Currency:EURKZT"")*K88)"),2415547)</f>
        <v>2415547</v>
      </c>
      <c r="P88" s="26">
        <f ca="1">IFERROR(__xludf.DUMMYFUNCTION("ROUND(GOOGLEFINANCE(""Currency:EURKZT"")*M88)"),238785)</f>
        <v>238785</v>
      </c>
      <c r="Q88" s="26">
        <f ca="1">IFERROR(__xludf.DUMMYFUNCTION("ROUND(GOOGLEFINANCE(""Currency:EURKZT"")*N88)"),238785)</f>
        <v>238785</v>
      </c>
      <c r="R88" s="26">
        <f t="shared" ca="1" si="4"/>
        <v>289866</v>
      </c>
      <c r="S88" s="26">
        <f t="shared" ca="1" si="5"/>
        <v>3182983</v>
      </c>
      <c r="T88" s="26">
        <f ca="1">IFERROR(__xludf.DUMMYFUNCTION("ROUND(GOOGLEFINANCE(""Currency:EURKZT"")*L88+S88)"),3641937)</f>
        <v>3641937</v>
      </c>
      <c r="U88" s="26">
        <f ca="1">IFERROR(__xludf.DUMMYFUNCTION("D88*GOOGLEFINANCE(""RUBKZT"")*1000/F88"),4392227.84402291)</f>
        <v>4392227.8440229101</v>
      </c>
      <c r="V88" s="27">
        <f t="shared" ca="1" si="6"/>
        <v>0.20601422924748838</v>
      </c>
    </row>
    <row r="89" spans="1:22" ht="12.75" customHeight="1" x14ac:dyDescent="0.2">
      <c r="A89" s="6" t="s">
        <v>121</v>
      </c>
      <c r="B89" s="6" t="s">
        <v>15</v>
      </c>
      <c r="C89" s="7">
        <v>112588</v>
      </c>
      <c r="D89" s="8">
        <v>134144.4</v>
      </c>
      <c r="E89" s="9" t="s">
        <v>16</v>
      </c>
      <c r="F89" s="36">
        <v>208</v>
      </c>
      <c r="G89" s="25"/>
      <c r="H89" s="14">
        <f t="shared" si="0"/>
        <v>0.55000000000000004</v>
      </c>
      <c r="I89" s="25">
        <f ca="1">IFERROR(__xludf.DUMMYFUNCTION("ROUND(D89*GOOGLEFINANCE(""RUBKZT"")*H89)"),575739)</f>
        <v>575739</v>
      </c>
      <c r="J89" s="26">
        <f ca="1">IFERROR(__xludf.DUMMYFUNCTION("ROUND(I89*GOOGLEFINANCE(""KZTEUR""))"),1206)</f>
        <v>1206</v>
      </c>
      <c r="K89" s="26">
        <f t="shared" ca="1" si="1"/>
        <v>5798</v>
      </c>
      <c r="L89" s="26">
        <f t="shared" ca="1" si="2"/>
        <v>1101.6200000000001</v>
      </c>
      <c r="M89" s="26">
        <f t="shared" ref="M89:N89" si="90">M$3</f>
        <v>500</v>
      </c>
      <c r="N89" s="26">
        <f t="shared" si="90"/>
        <v>500</v>
      </c>
      <c r="O89" s="26">
        <f ca="1">IFERROR(__xludf.DUMMYFUNCTION("ROUND(GOOGLEFINANCE(""Currency:EURKZT"")*K89)"),2768949)</f>
        <v>2768949</v>
      </c>
      <c r="P89" s="26">
        <f ca="1">IFERROR(__xludf.DUMMYFUNCTION("ROUND(GOOGLEFINANCE(""Currency:EURKZT"")*M89)"),238785)</f>
        <v>238785</v>
      </c>
      <c r="Q89" s="26">
        <f ca="1">IFERROR(__xludf.DUMMYFUNCTION("ROUND(GOOGLEFINANCE(""Currency:EURKZT"")*N89)"),238785)</f>
        <v>238785</v>
      </c>
      <c r="R89" s="26">
        <f t="shared" ca="1" si="4"/>
        <v>332274</v>
      </c>
      <c r="S89" s="26">
        <f t="shared" ca="1" si="5"/>
        <v>3578793</v>
      </c>
      <c r="T89" s="26">
        <f ca="1">IFERROR(__xludf.DUMMYFUNCTION("ROUND(GOOGLEFINANCE(""Currency:EURKZT"")*L89+S89)"),4104893)</f>
        <v>4104893</v>
      </c>
      <c r="U89" s="26">
        <f ca="1">IFERROR(__xludf.DUMMYFUNCTION("D89*GOOGLEFINANCE(""RUBKZT"")*1000/F89"),5032686.9753261)</f>
        <v>5032686.9753261004</v>
      </c>
      <c r="V89" s="27">
        <f t="shared" ca="1" si="6"/>
        <v>0.22602147615689383</v>
      </c>
    </row>
    <row r="90" spans="1:22" ht="12.75" customHeight="1" x14ac:dyDescent="0.2">
      <c r="A90" s="6" t="s">
        <v>122</v>
      </c>
      <c r="B90" s="6" t="s">
        <v>15</v>
      </c>
      <c r="C90" s="7">
        <v>112589</v>
      </c>
      <c r="D90" s="8">
        <v>124400.4</v>
      </c>
      <c r="E90" s="9" t="s">
        <v>16</v>
      </c>
      <c r="F90" s="36">
        <v>208</v>
      </c>
      <c r="G90" s="25"/>
      <c r="H90" s="14">
        <f t="shared" si="0"/>
        <v>0.55000000000000004</v>
      </c>
      <c r="I90" s="25">
        <f ca="1">IFERROR(__xludf.DUMMYFUNCTION("ROUND(D90*GOOGLEFINANCE(""RUBKZT"")*H90)"),533919)</f>
        <v>533919</v>
      </c>
      <c r="J90" s="26">
        <f ca="1">IFERROR(__xludf.DUMMYFUNCTION("ROUND(I90*GOOGLEFINANCE(""KZTEUR""))"),1118)</f>
        <v>1118</v>
      </c>
      <c r="K90" s="26">
        <f t="shared" ca="1" si="1"/>
        <v>5375</v>
      </c>
      <c r="L90" s="26">
        <f t="shared" ca="1" si="2"/>
        <v>1021.25</v>
      </c>
      <c r="M90" s="26">
        <f t="shared" ref="M90:N90" si="91">M$3</f>
        <v>500</v>
      </c>
      <c r="N90" s="26">
        <f t="shared" si="91"/>
        <v>500</v>
      </c>
      <c r="O90" s="26">
        <f ca="1">IFERROR(__xludf.DUMMYFUNCTION("ROUND(GOOGLEFINANCE(""Currency:EURKZT"")*K90)"),2566937)</f>
        <v>2566937</v>
      </c>
      <c r="P90" s="26">
        <f ca="1">IFERROR(__xludf.DUMMYFUNCTION("ROUND(GOOGLEFINANCE(""Currency:EURKZT"")*M90)"),238785)</f>
        <v>238785</v>
      </c>
      <c r="Q90" s="26">
        <f ca="1">IFERROR(__xludf.DUMMYFUNCTION("ROUND(GOOGLEFINANCE(""Currency:EURKZT"")*N90)"),238785)</f>
        <v>238785</v>
      </c>
      <c r="R90" s="26">
        <f t="shared" ca="1" si="4"/>
        <v>308032</v>
      </c>
      <c r="S90" s="26">
        <f t="shared" ca="1" si="5"/>
        <v>3352539</v>
      </c>
      <c r="T90" s="26">
        <f ca="1">IFERROR(__xludf.DUMMYFUNCTION("ROUND(GOOGLEFINANCE(""Currency:EURKZT"")*L90+S90)"),3840257)</f>
        <v>3840257</v>
      </c>
      <c r="U90" s="26">
        <f ca="1">IFERROR(__xludf.DUMMYFUNCTION("D90*GOOGLEFINANCE(""RUBKZT"")*1000/F90"),4667121.94325933)</f>
        <v>4667121.9432593295</v>
      </c>
      <c r="V90" s="27">
        <f t="shared" ca="1" si="6"/>
        <v>0.21531500190204186</v>
      </c>
    </row>
    <row r="91" spans="1:22" ht="12.75" customHeight="1" x14ac:dyDescent="0.2">
      <c r="A91" s="6" t="s">
        <v>123</v>
      </c>
      <c r="B91" s="6" t="s">
        <v>15</v>
      </c>
      <c r="C91" s="7">
        <v>112595</v>
      </c>
      <c r="D91" s="8">
        <v>184110</v>
      </c>
      <c r="E91" s="9" t="s">
        <v>16</v>
      </c>
      <c r="F91" s="36">
        <v>208</v>
      </c>
      <c r="G91" s="25"/>
      <c r="H91" s="14">
        <f t="shared" si="0"/>
        <v>0.55000000000000004</v>
      </c>
      <c r="I91" s="25">
        <f ca="1">IFERROR(__xludf.DUMMYFUNCTION("ROUND(D91*GOOGLEFINANCE(""RUBKZT"")*H91)"),790189)</f>
        <v>790189</v>
      </c>
      <c r="J91" s="26">
        <f ca="1">IFERROR(__xludf.DUMMYFUNCTION("ROUND(I91*GOOGLEFINANCE(""KZTEUR""))"),1655)</f>
        <v>1655</v>
      </c>
      <c r="K91" s="26">
        <f t="shared" ca="1" si="1"/>
        <v>7957</v>
      </c>
      <c r="L91" s="26">
        <f t="shared" ca="1" si="2"/>
        <v>1511.83</v>
      </c>
      <c r="M91" s="26">
        <f t="shared" ref="M91:N91" si="92">M$3</f>
        <v>500</v>
      </c>
      <c r="N91" s="26">
        <f t="shared" si="92"/>
        <v>500</v>
      </c>
      <c r="O91" s="26">
        <f ca="1">IFERROR(__xludf.DUMMYFUNCTION("ROUND(GOOGLEFINANCE(""Currency:EURKZT"")*K91)"),3800021)</f>
        <v>3800021</v>
      </c>
      <c r="P91" s="26">
        <f ca="1">IFERROR(__xludf.DUMMYFUNCTION("ROUND(GOOGLEFINANCE(""Currency:EURKZT"")*M91)"),238785)</f>
        <v>238785</v>
      </c>
      <c r="Q91" s="26">
        <f ca="1">IFERROR(__xludf.DUMMYFUNCTION("ROUND(GOOGLEFINANCE(""Currency:EURKZT"")*N91)"),238785)</f>
        <v>238785</v>
      </c>
      <c r="R91" s="26">
        <f t="shared" ca="1" si="4"/>
        <v>456003</v>
      </c>
      <c r="S91" s="26">
        <f t="shared" ca="1" si="5"/>
        <v>4733594</v>
      </c>
      <c r="T91" s="26">
        <f ca="1">IFERROR(__xludf.DUMMYFUNCTION("ROUND(GOOGLEFINANCE(""Currency:EURKZT"")*L91+S91)"),5455598)</f>
        <v>5455598</v>
      </c>
      <c r="U91" s="26">
        <f ca="1">IFERROR(__xludf.DUMMYFUNCTION("D91*GOOGLEFINANCE(""RUBKZT"")*1000/F91"),6907243.23212365)</f>
        <v>6907243.2321236497</v>
      </c>
      <c r="V91" s="27">
        <f t="shared" ca="1" si="6"/>
        <v>0.26608361395462965</v>
      </c>
    </row>
    <row r="92" spans="1:22" ht="12.75" customHeight="1" x14ac:dyDescent="0.2">
      <c r="A92" s="6" t="s">
        <v>127</v>
      </c>
      <c r="B92" s="6" t="s">
        <v>15</v>
      </c>
      <c r="C92" s="7">
        <v>112604</v>
      </c>
      <c r="D92" s="8">
        <v>263604</v>
      </c>
      <c r="E92" s="9" t="s">
        <v>16</v>
      </c>
      <c r="F92" s="36">
        <v>208</v>
      </c>
      <c r="G92" s="25"/>
      <c r="H92" s="14">
        <f t="shared" si="0"/>
        <v>0.55000000000000004</v>
      </c>
      <c r="I92" s="25">
        <f ca="1">IFERROR(__xludf.DUMMYFUNCTION("ROUND(D92*GOOGLEFINANCE(""RUBKZT"")*H92)"),1131372)</f>
        <v>1131372</v>
      </c>
      <c r="J92" s="26">
        <f ca="1">IFERROR(__xludf.DUMMYFUNCTION("ROUND(I92*GOOGLEFINANCE(""KZTEUR""))"),2369)</f>
        <v>2369</v>
      </c>
      <c r="K92" s="26">
        <f t="shared" ca="1" si="1"/>
        <v>11389</v>
      </c>
      <c r="L92" s="26">
        <f t="shared" ca="1" si="2"/>
        <v>2163.91</v>
      </c>
      <c r="M92" s="26">
        <f t="shared" ref="M92:N92" si="93">M$3</f>
        <v>500</v>
      </c>
      <c r="N92" s="26">
        <f t="shared" si="93"/>
        <v>500</v>
      </c>
      <c r="O92" s="26">
        <f ca="1">IFERROR(__xludf.DUMMYFUNCTION("ROUND(GOOGLEFINANCE(""Currency:EURKZT"")*K92)"),5439040)</f>
        <v>5439040</v>
      </c>
      <c r="P92" s="26">
        <f ca="1">IFERROR(__xludf.DUMMYFUNCTION("ROUND(GOOGLEFINANCE(""Currency:EURKZT"")*M92)"),238785)</f>
        <v>238785</v>
      </c>
      <c r="Q92" s="26">
        <f ca="1">IFERROR(__xludf.DUMMYFUNCTION("ROUND(GOOGLEFINANCE(""Currency:EURKZT"")*N92)"),238785)</f>
        <v>238785</v>
      </c>
      <c r="R92" s="26">
        <f t="shared" ca="1" si="4"/>
        <v>652685</v>
      </c>
      <c r="S92" s="26">
        <f t="shared" ca="1" si="5"/>
        <v>6569295</v>
      </c>
      <c r="T92" s="26">
        <f ca="1">IFERROR(__xludf.DUMMYFUNCTION("ROUND(GOOGLEFINANCE(""Currency:EURKZT"")*L92+S92)"),7602713)</f>
        <v>7602713</v>
      </c>
      <c r="U92" s="26">
        <f ca="1">IFERROR(__xludf.DUMMYFUNCTION("D92*GOOGLEFINANCE(""RUBKZT"")*1000/F92"),9889614.60518561)</f>
        <v>9889614.6051856093</v>
      </c>
      <c r="V92" s="27">
        <f t="shared" ca="1" si="6"/>
        <v>0.30080072800138702</v>
      </c>
    </row>
    <row r="93" spans="1:22" ht="12.75" customHeight="1" x14ac:dyDescent="0.2">
      <c r="A93" s="6" t="s">
        <v>128</v>
      </c>
      <c r="B93" s="6" t="s">
        <v>15</v>
      </c>
      <c r="C93" s="7">
        <v>112605</v>
      </c>
      <c r="D93" s="8">
        <v>320029.2</v>
      </c>
      <c r="E93" s="9" t="s">
        <v>16</v>
      </c>
      <c r="F93" s="36">
        <v>208</v>
      </c>
      <c r="G93" s="25"/>
      <c r="H93" s="14">
        <f t="shared" si="0"/>
        <v>0.55000000000000004</v>
      </c>
      <c r="I93" s="25">
        <f ca="1">IFERROR(__xludf.DUMMYFUNCTION("ROUND(D93*GOOGLEFINANCE(""RUBKZT"")*H93)"),1373545)</f>
        <v>1373545</v>
      </c>
      <c r="J93" s="26">
        <f ca="1">IFERROR(__xludf.DUMMYFUNCTION("ROUND(I93*GOOGLEFINANCE(""KZTEUR""))"),2877)</f>
        <v>2877</v>
      </c>
      <c r="K93" s="26">
        <f t="shared" ca="1" si="1"/>
        <v>13832</v>
      </c>
      <c r="L93" s="26">
        <f t="shared" ca="1" si="2"/>
        <v>2628.08</v>
      </c>
      <c r="M93" s="26">
        <f t="shared" ref="M93:N93" si="94">M$3</f>
        <v>500</v>
      </c>
      <c r="N93" s="26">
        <f t="shared" si="94"/>
        <v>500</v>
      </c>
      <c r="O93" s="26">
        <f ca="1">IFERROR(__xludf.DUMMYFUNCTION("ROUND(GOOGLEFINANCE(""Currency:EURKZT"")*K93)"),6605743)</f>
        <v>6605743</v>
      </c>
      <c r="P93" s="26">
        <f ca="1">IFERROR(__xludf.DUMMYFUNCTION("ROUND(GOOGLEFINANCE(""Currency:EURKZT"")*M93)"),238785)</f>
        <v>238785</v>
      </c>
      <c r="Q93" s="26">
        <f ca="1">IFERROR(__xludf.DUMMYFUNCTION("ROUND(GOOGLEFINANCE(""Currency:EURKZT"")*N93)"),238785)</f>
        <v>238785</v>
      </c>
      <c r="R93" s="26">
        <f t="shared" ca="1" si="4"/>
        <v>792689</v>
      </c>
      <c r="S93" s="26">
        <f t="shared" ca="1" si="5"/>
        <v>7876002</v>
      </c>
      <c r="T93" s="26">
        <f ca="1">IFERROR(__xludf.DUMMYFUNCTION("ROUND(GOOGLEFINANCE(""Currency:EURKZT"")*L93+S93)"),9131093)</f>
        <v>9131093</v>
      </c>
      <c r="U93" s="26">
        <f ca="1">IFERROR(__xludf.DUMMYFUNCTION("D93*GOOGLEFINANCE(""RUBKZT"")*1000/F93"),12006515.2668619)</f>
        <v>12006515.266861901</v>
      </c>
      <c r="V93" s="27">
        <f t="shared" ca="1" si="6"/>
        <v>0.31490449904101303</v>
      </c>
    </row>
    <row r="94" spans="1:22" ht="12.75" customHeight="1" x14ac:dyDescent="0.2">
      <c r="A94" s="6" t="s">
        <v>129</v>
      </c>
      <c r="B94" s="6" t="s">
        <v>15</v>
      </c>
      <c r="C94" s="7">
        <v>112606</v>
      </c>
      <c r="D94" s="8">
        <v>283472.39999999997</v>
      </c>
      <c r="E94" s="9" t="s">
        <v>16</v>
      </c>
      <c r="F94" s="36">
        <v>208</v>
      </c>
      <c r="G94" s="25"/>
      <c r="H94" s="14">
        <f t="shared" si="0"/>
        <v>0.55000000000000004</v>
      </c>
      <c r="I94" s="25">
        <f ca="1">IFERROR(__xludf.DUMMYFUNCTION("ROUND(D94*GOOGLEFINANCE(""RUBKZT"")*H94)"),1216646)</f>
        <v>1216646</v>
      </c>
      <c r="J94" s="26">
        <f ca="1">IFERROR(__xludf.DUMMYFUNCTION("ROUND(I94*GOOGLEFINANCE(""KZTEUR""))"),2548)</f>
        <v>2548</v>
      </c>
      <c r="K94" s="26">
        <f t="shared" ca="1" si="1"/>
        <v>12250</v>
      </c>
      <c r="L94" s="26">
        <f t="shared" ca="1" si="2"/>
        <v>2327.5</v>
      </c>
      <c r="M94" s="26">
        <f t="shared" ref="M94:N94" si="95">M$3</f>
        <v>500</v>
      </c>
      <c r="N94" s="26">
        <f t="shared" si="95"/>
        <v>500</v>
      </c>
      <c r="O94" s="26">
        <f ca="1">IFERROR(__xludf.DUMMYFUNCTION("ROUND(GOOGLEFINANCE(""Currency:EURKZT"")*K94)"),5850228)</f>
        <v>5850228</v>
      </c>
      <c r="P94" s="26">
        <f ca="1">IFERROR(__xludf.DUMMYFUNCTION("ROUND(GOOGLEFINANCE(""Currency:EURKZT"")*M94)"),238785)</f>
        <v>238785</v>
      </c>
      <c r="Q94" s="26">
        <f ca="1">IFERROR(__xludf.DUMMYFUNCTION("ROUND(GOOGLEFINANCE(""Currency:EURKZT"")*N94)"),238785)</f>
        <v>238785</v>
      </c>
      <c r="R94" s="26">
        <f t="shared" ca="1" si="4"/>
        <v>702027</v>
      </c>
      <c r="S94" s="26">
        <f t="shared" ca="1" si="5"/>
        <v>7029825</v>
      </c>
      <c r="T94" s="26">
        <f ca="1">IFERROR(__xludf.DUMMYFUNCTION("ROUND(GOOGLEFINANCE(""Currency:EURKZT"")*L94+S94)"),8141368)</f>
        <v>8141368</v>
      </c>
      <c r="U94" s="26">
        <f ca="1">IFERROR(__xludf.DUMMYFUNCTION("D94*GOOGLEFINANCE(""RUBKZT"")*1000/F94"),10635016.1120734)</f>
        <v>10635016.112073399</v>
      </c>
      <c r="V94" s="27">
        <f t="shared" ca="1" si="6"/>
        <v>0.30629350154340146</v>
      </c>
    </row>
    <row r="95" spans="1:22" ht="12.75" customHeight="1" x14ac:dyDescent="0.2">
      <c r="A95" s="6" t="s">
        <v>130</v>
      </c>
      <c r="B95" s="6" t="s">
        <v>15</v>
      </c>
      <c r="C95" s="7">
        <v>112607</v>
      </c>
      <c r="D95" s="8">
        <v>264016.8</v>
      </c>
      <c r="E95" s="9" t="s">
        <v>16</v>
      </c>
      <c r="F95" s="36">
        <v>208</v>
      </c>
      <c r="G95" s="25"/>
      <c r="H95" s="14">
        <f t="shared" si="0"/>
        <v>0.55000000000000004</v>
      </c>
      <c r="I95" s="25">
        <f ca="1">IFERROR(__xludf.DUMMYFUNCTION("ROUND(D95*GOOGLEFINANCE(""RUBKZT"")*H95)"),1133144)</f>
        <v>1133144</v>
      </c>
      <c r="J95" s="26">
        <f ca="1">IFERROR(__xludf.DUMMYFUNCTION("ROUND(I95*GOOGLEFINANCE(""KZTEUR""))"),2373)</f>
        <v>2373</v>
      </c>
      <c r="K95" s="26">
        <f t="shared" ca="1" si="1"/>
        <v>11409</v>
      </c>
      <c r="L95" s="26">
        <f t="shared" ca="1" si="2"/>
        <v>2167.71</v>
      </c>
      <c r="M95" s="26">
        <f t="shared" ref="M95:N95" si="96">M$3</f>
        <v>500</v>
      </c>
      <c r="N95" s="26">
        <f t="shared" si="96"/>
        <v>500</v>
      </c>
      <c r="O95" s="26">
        <f ca="1">IFERROR(__xludf.DUMMYFUNCTION("ROUND(GOOGLEFINANCE(""Currency:EURKZT"")*K95)"),5448592)</f>
        <v>5448592</v>
      </c>
      <c r="P95" s="26">
        <f ca="1">IFERROR(__xludf.DUMMYFUNCTION("ROUND(GOOGLEFINANCE(""Currency:EURKZT"")*M95)"),238785)</f>
        <v>238785</v>
      </c>
      <c r="Q95" s="26">
        <f ca="1">IFERROR(__xludf.DUMMYFUNCTION("ROUND(GOOGLEFINANCE(""Currency:EURKZT"")*N95)"),238785)</f>
        <v>238785</v>
      </c>
      <c r="R95" s="26">
        <f t="shared" ca="1" si="4"/>
        <v>653831</v>
      </c>
      <c r="S95" s="26">
        <f t="shared" ca="1" si="5"/>
        <v>6579993</v>
      </c>
      <c r="T95" s="26">
        <f ca="1">IFERROR(__xludf.DUMMYFUNCTION("ROUND(GOOGLEFINANCE(""Currency:EURKZT"")*L95+S95)"),7615225)</f>
        <v>7615225</v>
      </c>
      <c r="U95" s="26">
        <f ca="1">IFERROR(__xludf.DUMMYFUNCTION("D95*GOOGLEFINANCE(""RUBKZT"")*1000/F95"),9905101.59669189)</f>
        <v>9905101.5966918897</v>
      </c>
      <c r="V95" s="27">
        <f t="shared" ca="1" si="6"/>
        <v>0.300697168723431</v>
      </c>
    </row>
    <row r="96" spans="1:22" ht="12.75" customHeight="1" x14ac:dyDescent="0.2">
      <c r="A96" s="6" t="s">
        <v>131</v>
      </c>
      <c r="B96" s="6" t="s">
        <v>15</v>
      </c>
      <c r="C96" s="7">
        <v>112608</v>
      </c>
      <c r="D96" s="8">
        <v>271699.20000000001</v>
      </c>
      <c r="E96" s="9" t="s">
        <v>16</v>
      </c>
      <c r="F96" s="36">
        <v>208</v>
      </c>
      <c r="G96" s="25"/>
      <c r="H96" s="14">
        <f t="shared" si="0"/>
        <v>0.55000000000000004</v>
      </c>
      <c r="I96" s="25">
        <f ca="1">IFERROR(__xludf.DUMMYFUNCTION("ROUND(D96*GOOGLEFINANCE(""RUBKZT"")*H96)"),1166116)</f>
        <v>1166116</v>
      </c>
      <c r="J96" s="26">
        <f ca="1">IFERROR(__xludf.DUMMYFUNCTION("ROUND(I96*GOOGLEFINANCE(""KZTEUR""))"),2442)</f>
        <v>2442</v>
      </c>
      <c r="K96" s="26">
        <f t="shared" ca="1" si="1"/>
        <v>11740</v>
      </c>
      <c r="L96" s="26">
        <f t="shared" ca="1" si="2"/>
        <v>2230.6</v>
      </c>
      <c r="M96" s="26">
        <f t="shared" ref="M96:N96" si="97">M$3</f>
        <v>500</v>
      </c>
      <c r="N96" s="26">
        <f t="shared" si="97"/>
        <v>500</v>
      </c>
      <c r="O96" s="26">
        <f ca="1">IFERROR(__xludf.DUMMYFUNCTION("ROUND(GOOGLEFINANCE(""Currency:EURKZT"")*K96)"),5606667)</f>
        <v>5606667</v>
      </c>
      <c r="P96" s="26">
        <f ca="1">IFERROR(__xludf.DUMMYFUNCTION("ROUND(GOOGLEFINANCE(""Currency:EURKZT"")*M96)"),238785)</f>
        <v>238785</v>
      </c>
      <c r="Q96" s="26">
        <f ca="1">IFERROR(__xludf.DUMMYFUNCTION("ROUND(GOOGLEFINANCE(""Currency:EURKZT"")*N96)"),238785)</f>
        <v>238785</v>
      </c>
      <c r="R96" s="26">
        <f t="shared" ca="1" si="4"/>
        <v>672800</v>
      </c>
      <c r="S96" s="26">
        <f t="shared" ca="1" si="5"/>
        <v>6757037</v>
      </c>
      <c r="T96" s="26">
        <f ca="1">IFERROR(__xludf.DUMMYFUNCTION("ROUND(GOOGLEFINANCE(""Currency:EURKZT"")*L96+S96)"),7822304)</f>
        <v>7822304</v>
      </c>
      <c r="U96" s="26">
        <f ca="1">IFERROR(__xludf.DUMMYFUNCTION("D96*GOOGLEFINANCE(""RUBKZT"")*1000/F96"),10193321.7118755)</f>
        <v>10193321.7118755</v>
      </c>
      <c r="V96" s="27">
        <f t="shared" ca="1" si="6"/>
        <v>0.30310989088067919</v>
      </c>
    </row>
    <row r="97" spans="1:22" ht="12.75" customHeight="1" x14ac:dyDescent="0.2">
      <c r="A97" s="6" t="s">
        <v>132</v>
      </c>
      <c r="B97" s="6" t="s">
        <v>15</v>
      </c>
      <c r="C97" s="7">
        <v>112612</v>
      </c>
      <c r="D97" s="8">
        <v>118807.2</v>
      </c>
      <c r="E97" s="9" t="s">
        <v>16</v>
      </c>
      <c r="F97" s="36">
        <v>208</v>
      </c>
      <c r="G97" s="25"/>
      <c r="H97" s="14">
        <f t="shared" si="0"/>
        <v>0.55000000000000004</v>
      </c>
      <c r="I97" s="25">
        <f ca="1">IFERROR(__xludf.DUMMYFUNCTION("ROUND(D97*GOOGLEFINANCE(""RUBKZT"")*H97)"),509913)</f>
        <v>509913</v>
      </c>
      <c r="J97" s="26">
        <f ca="1">IFERROR(__xludf.DUMMYFUNCTION("ROUND(I97*GOOGLEFINANCE(""KZTEUR""))"),1068)</f>
        <v>1068</v>
      </c>
      <c r="K97" s="26">
        <f t="shared" ca="1" si="1"/>
        <v>5135</v>
      </c>
      <c r="L97" s="26">
        <f t="shared" ca="1" si="2"/>
        <v>975.65</v>
      </c>
      <c r="M97" s="26">
        <f t="shared" ref="M97:N97" si="98">M$3</f>
        <v>500</v>
      </c>
      <c r="N97" s="26">
        <f t="shared" si="98"/>
        <v>500</v>
      </c>
      <c r="O97" s="26">
        <f ca="1">IFERROR(__xludf.DUMMYFUNCTION("ROUND(GOOGLEFINANCE(""Currency:EURKZT"")*K97)"),2452320)</f>
        <v>2452320</v>
      </c>
      <c r="P97" s="26">
        <f ca="1">IFERROR(__xludf.DUMMYFUNCTION("ROUND(GOOGLEFINANCE(""Currency:EURKZT"")*M97)"),238785)</f>
        <v>238785</v>
      </c>
      <c r="Q97" s="26">
        <f ca="1">IFERROR(__xludf.DUMMYFUNCTION("ROUND(GOOGLEFINANCE(""Currency:EURKZT"")*N97)"),238785)</f>
        <v>238785</v>
      </c>
      <c r="R97" s="26">
        <f t="shared" ca="1" si="4"/>
        <v>294278</v>
      </c>
      <c r="S97" s="26">
        <f t="shared" ca="1" si="5"/>
        <v>3224168</v>
      </c>
      <c r="T97" s="26">
        <f ca="1">IFERROR(__xludf.DUMMYFUNCTION("ROUND(GOOGLEFINANCE(""Currency:EURKZT"")*L97+S97)"),3690109)</f>
        <v>3690109</v>
      </c>
      <c r="U97" s="26">
        <f ca="1">IFERROR(__xludf.DUMMYFUNCTION("D97*GOOGLEFINANCE(""RUBKZT"")*1000/F97"),4457282.2124141)</f>
        <v>4457282.2124140998</v>
      </c>
      <c r="V97" s="27">
        <f t="shared" ca="1" si="6"/>
        <v>0.20789987840849683</v>
      </c>
    </row>
    <row r="98" spans="1:22" ht="12.75" customHeight="1" x14ac:dyDescent="0.2">
      <c r="A98" s="6" t="s">
        <v>135</v>
      </c>
      <c r="B98" s="6" t="s">
        <v>15</v>
      </c>
      <c r="C98" s="7">
        <v>112669</v>
      </c>
      <c r="D98" s="8">
        <v>124404</v>
      </c>
      <c r="E98" s="9" t="s">
        <v>16</v>
      </c>
      <c r="F98" s="36">
        <v>208</v>
      </c>
      <c r="G98" s="25"/>
      <c r="H98" s="14">
        <f t="shared" si="0"/>
        <v>0.55000000000000004</v>
      </c>
      <c r="I98" s="25">
        <f ca="1">IFERROR(__xludf.DUMMYFUNCTION("ROUND(D98*GOOGLEFINANCE(""RUBKZT"")*H98)"),533934)</f>
        <v>533934</v>
      </c>
      <c r="J98" s="26">
        <f ca="1">IFERROR(__xludf.DUMMYFUNCTION("ROUND(I98*GOOGLEFINANCE(""KZTEUR""))"),1118)</f>
        <v>1118</v>
      </c>
      <c r="K98" s="26">
        <f t="shared" ca="1" si="1"/>
        <v>5375</v>
      </c>
      <c r="L98" s="26">
        <f t="shared" ca="1" si="2"/>
        <v>1021.25</v>
      </c>
      <c r="M98" s="26">
        <f t="shared" ref="M98:N98" si="99">M$3</f>
        <v>500</v>
      </c>
      <c r="N98" s="26">
        <f t="shared" si="99"/>
        <v>500</v>
      </c>
      <c r="O98" s="26">
        <f ca="1">IFERROR(__xludf.DUMMYFUNCTION("ROUND(GOOGLEFINANCE(""Currency:EURKZT"")*K98)"),2566937)</f>
        <v>2566937</v>
      </c>
      <c r="P98" s="26">
        <f ca="1">IFERROR(__xludf.DUMMYFUNCTION("ROUND(GOOGLEFINANCE(""Currency:EURKZT"")*M98)"),238785)</f>
        <v>238785</v>
      </c>
      <c r="Q98" s="26">
        <f ca="1">IFERROR(__xludf.DUMMYFUNCTION("ROUND(GOOGLEFINANCE(""Currency:EURKZT"")*N98)"),238785)</f>
        <v>238785</v>
      </c>
      <c r="R98" s="26">
        <f t="shared" ca="1" si="4"/>
        <v>308032</v>
      </c>
      <c r="S98" s="26">
        <f t="shared" ca="1" si="5"/>
        <v>3352539</v>
      </c>
      <c r="T98" s="26">
        <f ca="1">IFERROR(__xludf.DUMMYFUNCTION("ROUND(GOOGLEFINANCE(""Currency:EURKZT"")*L98+S98)"),3840257)</f>
        <v>3840257</v>
      </c>
      <c r="U98" s="26">
        <f ca="1">IFERROR(__xludf.DUMMYFUNCTION("D98*GOOGLEFINANCE(""RUBKZT"")*1000/F98"),4667257.00423177)</f>
        <v>4667257.0042317696</v>
      </c>
      <c r="V98" s="27">
        <f t="shared" ca="1" si="6"/>
        <v>0.21535017167647102</v>
      </c>
    </row>
    <row r="99" spans="1:22" ht="12.75" customHeight="1" x14ac:dyDescent="0.2">
      <c r="A99" s="6" t="s">
        <v>104</v>
      </c>
      <c r="B99" s="6" t="s">
        <v>15</v>
      </c>
      <c r="C99" s="7">
        <v>114364</v>
      </c>
      <c r="D99" s="8">
        <v>107486.39999999999</v>
      </c>
      <c r="E99" s="9" t="s">
        <v>16</v>
      </c>
      <c r="F99" s="36">
        <v>208</v>
      </c>
      <c r="G99" s="25"/>
      <c r="H99" s="14">
        <f t="shared" si="0"/>
        <v>0.55000000000000004</v>
      </c>
      <c r="I99" s="25">
        <f ca="1">IFERROR(__xludf.DUMMYFUNCTION("ROUND(D99*GOOGLEFINANCE(""RUBKZT"")*H99)"),461325)</f>
        <v>461325</v>
      </c>
      <c r="J99" s="26">
        <f ca="1">IFERROR(__xludf.DUMMYFUNCTION("ROUND(I99*GOOGLEFINANCE(""KZTEUR""))"),966)</f>
        <v>966</v>
      </c>
      <c r="K99" s="26">
        <f t="shared" ca="1" si="1"/>
        <v>4644</v>
      </c>
      <c r="L99" s="26">
        <f t="shared" ca="1" si="2"/>
        <v>882.36</v>
      </c>
      <c r="M99" s="26">
        <f t="shared" ref="M99:N99" si="100">M$3</f>
        <v>500</v>
      </c>
      <c r="N99" s="26">
        <f t="shared" si="100"/>
        <v>500</v>
      </c>
      <c r="O99" s="26">
        <f ca="1">IFERROR(__xludf.DUMMYFUNCTION("ROUND(GOOGLEFINANCE(""Currency:EURKZT"")*K99)"),2217833)</f>
        <v>2217833</v>
      </c>
      <c r="P99" s="26">
        <f ca="1">IFERROR(__xludf.DUMMYFUNCTION("ROUND(GOOGLEFINANCE(""Currency:EURKZT"")*M99)"),238785)</f>
        <v>238785</v>
      </c>
      <c r="Q99" s="26">
        <f ca="1">IFERROR(__xludf.DUMMYFUNCTION("ROUND(GOOGLEFINANCE(""Currency:EURKZT"")*N99)"),238785)</f>
        <v>238785</v>
      </c>
      <c r="R99" s="26">
        <f t="shared" ca="1" si="4"/>
        <v>266140</v>
      </c>
      <c r="S99" s="26">
        <f t="shared" ca="1" si="5"/>
        <v>2961543</v>
      </c>
      <c r="T99" s="26">
        <f ca="1">IFERROR(__xludf.DUMMYFUNCTION("ROUND(GOOGLEFINANCE(""Currency:EURKZT"")*L99+S99)"),3382931)</f>
        <v>3382931</v>
      </c>
      <c r="U99" s="26">
        <f ca="1">IFERROR(__xludf.DUMMYFUNCTION("D99*GOOGLEFINANCE(""RUBKZT"")*1000/F99"),4032560.47441929)</f>
        <v>4032560.4744192902</v>
      </c>
      <c r="V99" s="27">
        <f t="shared" ca="1" si="6"/>
        <v>0.19203154732369362</v>
      </c>
    </row>
    <row r="100" spans="1:22" ht="12.75" customHeight="1" x14ac:dyDescent="0.2">
      <c r="A100" s="6" t="s">
        <v>139</v>
      </c>
      <c r="B100" s="6" t="s">
        <v>15</v>
      </c>
      <c r="C100" s="7">
        <v>115803</v>
      </c>
      <c r="D100" s="8">
        <v>146217.60000000001</v>
      </c>
      <c r="E100" s="9" t="s">
        <v>16</v>
      </c>
      <c r="F100" s="36">
        <v>208</v>
      </c>
      <c r="G100" s="25"/>
      <c r="H100" s="14">
        <f t="shared" si="0"/>
        <v>0.55000000000000004</v>
      </c>
      <c r="I100" s="25">
        <f ca="1">IFERROR(__xludf.DUMMYFUNCTION("ROUND(D100*GOOGLEFINANCE(""RUBKZT"")*H100)"),627557)</f>
        <v>627557</v>
      </c>
      <c r="J100" s="26">
        <f ca="1">IFERROR(__xludf.DUMMYFUNCTION("ROUND(I100*GOOGLEFINANCE(""KZTEUR""))"),1314)</f>
        <v>1314</v>
      </c>
      <c r="K100" s="26">
        <f t="shared" ca="1" si="1"/>
        <v>6317</v>
      </c>
      <c r="L100" s="26">
        <f t="shared" ca="1" si="2"/>
        <v>1200.23</v>
      </c>
      <c r="M100" s="26">
        <f t="shared" ref="M100:N100" si="101">M$3</f>
        <v>500</v>
      </c>
      <c r="N100" s="26">
        <f t="shared" si="101"/>
        <v>500</v>
      </c>
      <c r="O100" s="26">
        <f ca="1">IFERROR(__xludf.DUMMYFUNCTION("ROUND(GOOGLEFINANCE(""Currency:EURKZT"")*K100)"),3016807)</f>
        <v>3016807</v>
      </c>
      <c r="P100" s="26">
        <f ca="1">IFERROR(__xludf.DUMMYFUNCTION("ROUND(GOOGLEFINANCE(""Currency:EURKZT"")*M100)"),238785)</f>
        <v>238785</v>
      </c>
      <c r="Q100" s="26">
        <f ca="1">IFERROR(__xludf.DUMMYFUNCTION("ROUND(GOOGLEFINANCE(""Currency:EURKZT"")*N100)"),238785)</f>
        <v>238785</v>
      </c>
      <c r="R100" s="26">
        <f t="shared" ca="1" si="4"/>
        <v>362017</v>
      </c>
      <c r="S100" s="26">
        <f t="shared" ca="1" si="5"/>
        <v>3856394</v>
      </c>
      <c r="T100" s="26">
        <f ca="1">IFERROR(__xludf.DUMMYFUNCTION("ROUND(GOOGLEFINANCE(""Currency:EURKZT"")*L100+S100)"),4429587)</f>
        <v>4429587</v>
      </c>
      <c r="U100" s="26">
        <f ca="1">IFERROR(__xludf.DUMMYFUNCTION("D100*GOOGLEFINANCE(""RUBKZT"")*1000/F100"),5485636.45656055)</f>
        <v>5485636.4565605503</v>
      </c>
      <c r="V100" s="27">
        <f t="shared" ca="1" si="6"/>
        <v>0.2384081081510647</v>
      </c>
    </row>
    <row r="101" spans="1:22" ht="12.75" customHeight="1" x14ac:dyDescent="0.2">
      <c r="A101" s="6" t="s">
        <v>140</v>
      </c>
      <c r="B101" s="6" t="s">
        <v>15</v>
      </c>
      <c r="C101" s="7">
        <v>119663</v>
      </c>
      <c r="D101" s="8">
        <v>106210.8</v>
      </c>
      <c r="E101" s="9" t="s">
        <v>16</v>
      </c>
      <c r="F101" s="36">
        <v>208</v>
      </c>
      <c r="G101" s="25"/>
      <c r="H101" s="14">
        <f t="shared" si="0"/>
        <v>0.55000000000000004</v>
      </c>
      <c r="I101" s="25">
        <f ca="1">IFERROR(__xludf.DUMMYFUNCTION("ROUND(D101*GOOGLEFINANCE(""RUBKZT"")*H101)"),455850)</f>
        <v>455850</v>
      </c>
      <c r="J101" s="26">
        <f ca="1">IFERROR(__xludf.DUMMYFUNCTION("ROUND(I101*GOOGLEFINANCE(""KZTEUR""))"),955)</f>
        <v>955</v>
      </c>
      <c r="K101" s="26">
        <f t="shared" ca="1" si="1"/>
        <v>4591</v>
      </c>
      <c r="L101" s="26">
        <f t="shared" ca="1" si="2"/>
        <v>872.29</v>
      </c>
      <c r="M101" s="26">
        <f t="shared" ref="M101:N101" si="102">M$3</f>
        <v>500</v>
      </c>
      <c r="N101" s="26">
        <f t="shared" si="102"/>
        <v>500</v>
      </c>
      <c r="O101" s="26">
        <f ca="1">IFERROR(__xludf.DUMMYFUNCTION("ROUND(GOOGLEFINANCE(""Currency:EURKZT"")*K101)"),2192522)</f>
        <v>2192522</v>
      </c>
      <c r="P101" s="26">
        <f ca="1">IFERROR(__xludf.DUMMYFUNCTION("ROUND(GOOGLEFINANCE(""Currency:EURKZT"")*M101)"),238785)</f>
        <v>238785</v>
      </c>
      <c r="Q101" s="26">
        <f ca="1">IFERROR(__xludf.DUMMYFUNCTION("ROUND(GOOGLEFINANCE(""Currency:EURKZT"")*N101)"),238785)</f>
        <v>238785</v>
      </c>
      <c r="R101" s="26">
        <f t="shared" ca="1" si="4"/>
        <v>263103</v>
      </c>
      <c r="S101" s="26">
        <f t="shared" ca="1" si="5"/>
        <v>2933195</v>
      </c>
      <c r="T101" s="26">
        <f ca="1">IFERROR(__xludf.DUMMYFUNCTION("ROUND(GOOGLEFINANCE(""Currency:EURKZT"")*L101+S101)"),3349774)</f>
        <v>3349774</v>
      </c>
      <c r="U101" s="26">
        <f ca="1">IFERROR(__xludf.DUMMYFUNCTION("D101*GOOGLEFINANCE(""RUBKZT"")*1000/F101"),3984703.86985193)</f>
        <v>3984703.8698519301</v>
      </c>
      <c r="V101" s="27">
        <f t="shared" ca="1" si="6"/>
        <v>0.18954409158705335</v>
      </c>
    </row>
    <row r="102" spans="1:22" ht="12.75" customHeight="1" x14ac:dyDescent="0.2">
      <c r="A102" s="6" t="s">
        <v>141</v>
      </c>
      <c r="B102" s="6" t="s">
        <v>15</v>
      </c>
      <c r="C102" s="7">
        <v>120612</v>
      </c>
      <c r="D102" s="8">
        <v>127032</v>
      </c>
      <c r="E102" s="9" t="s">
        <v>16</v>
      </c>
      <c r="F102" s="36">
        <v>208</v>
      </c>
      <c r="G102" s="25"/>
      <c r="H102" s="14">
        <f t="shared" si="0"/>
        <v>0.55000000000000004</v>
      </c>
      <c r="I102" s="25">
        <f ca="1">IFERROR(__xludf.DUMMYFUNCTION("ROUND(D102*GOOGLEFINANCE(""RUBKZT"")*H102)"),545213)</f>
        <v>545213</v>
      </c>
      <c r="J102" s="26">
        <f ca="1">IFERROR(__xludf.DUMMYFUNCTION("ROUND(I102*GOOGLEFINANCE(""KZTEUR""))"),1142)</f>
        <v>1142</v>
      </c>
      <c r="K102" s="26">
        <f t="shared" ca="1" si="1"/>
        <v>5490</v>
      </c>
      <c r="L102" s="26">
        <f t="shared" ca="1" si="2"/>
        <v>1043.0999999999999</v>
      </c>
      <c r="M102" s="26">
        <f t="shared" ref="M102:N102" si="103">M$3</f>
        <v>500</v>
      </c>
      <c r="N102" s="26">
        <f t="shared" si="103"/>
        <v>500</v>
      </c>
      <c r="O102" s="26">
        <f ca="1">IFERROR(__xludf.DUMMYFUNCTION("ROUND(GOOGLEFINANCE(""Currency:EURKZT"")*K102)"),2621857)</f>
        <v>2621857</v>
      </c>
      <c r="P102" s="26">
        <f ca="1">IFERROR(__xludf.DUMMYFUNCTION("ROUND(GOOGLEFINANCE(""Currency:EURKZT"")*M102)"),238785)</f>
        <v>238785</v>
      </c>
      <c r="Q102" s="26">
        <f ca="1">IFERROR(__xludf.DUMMYFUNCTION("ROUND(GOOGLEFINANCE(""Currency:EURKZT"")*N102)"),238785)</f>
        <v>238785</v>
      </c>
      <c r="R102" s="26">
        <f t="shared" ca="1" si="4"/>
        <v>314623</v>
      </c>
      <c r="S102" s="26">
        <f t="shared" ca="1" si="5"/>
        <v>3414050</v>
      </c>
      <c r="T102" s="26">
        <f ca="1">IFERROR(__xludf.DUMMYFUNCTION("ROUND(GOOGLEFINANCE(""Currency:EURKZT"")*L102+S102)"),3912203)</f>
        <v>3912203</v>
      </c>
      <c r="U102" s="26">
        <f ca="1">IFERROR(__xludf.DUMMYFUNCTION("D102*GOOGLEFINANCE(""RUBKZT"")*1000/F102"),4765851.51411184)</f>
        <v>4765851.5141118402</v>
      </c>
      <c r="V102" s="27">
        <f t="shared" ca="1" si="6"/>
        <v>0.21820148752808588</v>
      </c>
    </row>
    <row r="103" spans="1:22" ht="12.75" customHeight="1" x14ac:dyDescent="0.2">
      <c r="A103" s="6" t="s">
        <v>120</v>
      </c>
      <c r="B103" s="6" t="s">
        <v>15</v>
      </c>
      <c r="C103" s="7">
        <v>120615</v>
      </c>
      <c r="D103" s="8">
        <v>344852.39999999997</v>
      </c>
      <c r="E103" s="9" t="s">
        <v>16</v>
      </c>
      <c r="F103" s="36">
        <v>208</v>
      </c>
      <c r="G103" s="25"/>
      <c r="H103" s="14">
        <f t="shared" si="0"/>
        <v>0.55000000000000004</v>
      </c>
      <c r="I103" s="25">
        <f ca="1">IFERROR(__xludf.DUMMYFUNCTION("ROUND(D103*GOOGLEFINANCE(""RUBKZT"")*H103)"),1480085)</f>
        <v>1480085</v>
      </c>
      <c r="J103" s="26">
        <f ca="1">IFERROR(__xludf.DUMMYFUNCTION("ROUND(I103*GOOGLEFINANCE(""KZTEUR""))"),3100)</f>
        <v>3100</v>
      </c>
      <c r="K103" s="26">
        <f t="shared" ca="1" si="1"/>
        <v>14904</v>
      </c>
      <c r="L103" s="26">
        <f t="shared" ca="1" si="2"/>
        <v>2831.76</v>
      </c>
      <c r="M103" s="26">
        <f t="shared" ref="M103:N103" si="104">M$3</f>
        <v>500</v>
      </c>
      <c r="N103" s="26">
        <f t="shared" si="104"/>
        <v>500</v>
      </c>
      <c r="O103" s="26">
        <f ca="1">IFERROR(__xludf.DUMMYFUNCTION("ROUND(GOOGLEFINANCE(""Currency:EURKZT"")*K103)"),7117698)</f>
        <v>7117698</v>
      </c>
      <c r="P103" s="26">
        <f ca="1">IFERROR(__xludf.DUMMYFUNCTION("ROUND(GOOGLEFINANCE(""Currency:EURKZT"")*M103)"),238785)</f>
        <v>238785</v>
      </c>
      <c r="Q103" s="26">
        <f ca="1">IFERROR(__xludf.DUMMYFUNCTION("ROUND(GOOGLEFINANCE(""Currency:EURKZT"")*N103)"),238785)</f>
        <v>238785</v>
      </c>
      <c r="R103" s="26">
        <f t="shared" ca="1" si="4"/>
        <v>854124</v>
      </c>
      <c r="S103" s="26">
        <f t="shared" ca="1" si="5"/>
        <v>8449392</v>
      </c>
      <c r="T103" s="26">
        <f ca="1">IFERROR(__xludf.DUMMYFUNCTION("ROUND(GOOGLEFINANCE(""Currency:EURKZT"")*L103+S103)"),9801755)</f>
        <v>9801755</v>
      </c>
      <c r="U103" s="26">
        <f ca="1">IFERROR(__xludf.DUMMYFUNCTION("D103*GOOGLEFINANCE(""RUBKZT"")*1000/F103"),12937805.6921492)</f>
        <v>12937805.6921492</v>
      </c>
      <c r="V103" s="27">
        <f t="shared" ca="1" si="6"/>
        <v>0.31994787588030915</v>
      </c>
    </row>
    <row r="104" spans="1:22" ht="12.75" customHeight="1" x14ac:dyDescent="0.2">
      <c r="A104" s="6" t="s">
        <v>118</v>
      </c>
      <c r="B104" s="6" t="s">
        <v>15</v>
      </c>
      <c r="C104" s="7">
        <v>120616</v>
      </c>
      <c r="D104" s="8">
        <v>263516.39999999997</v>
      </c>
      <c r="E104" s="9" t="s">
        <v>16</v>
      </c>
      <c r="F104" s="36">
        <v>208</v>
      </c>
      <c r="G104" s="25"/>
      <c r="H104" s="14">
        <f t="shared" si="0"/>
        <v>0.55000000000000004</v>
      </c>
      <c r="I104" s="25">
        <f ca="1">IFERROR(__xludf.DUMMYFUNCTION("ROUND(D104*GOOGLEFINANCE(""RUBKZT"")*H104)"),1130996)</f>
        <v>1130996</v>
      </c>
      <c r="J104" s="26">
        <f ca="1">IFERROR(__xludf.DUMMYFUNCTION("ROUND(I104*GOOGLEFINANCE(""KZTEUR""))"),2369)</f>
        <v>2369</v>
      </c>
      <c r="K104" s="26">
        <f t="shared" ca="1" si="1"/>
        <v>11389</v>
      </c>
      <c r="L104" s="26">
        <f t="shared" ca="1" si="2"/>
        <v>2163.91</v>
      </c>
      <c r="M104" s="26">
        <f t="shared" ref="M104:N104" si="105">M$3</f>
        <v>500</v>
      </c>
      <c r="N104" s="26">
        <f t="shared" si="105"/>
        <v>500</v>
      </c>
      <c r="O104" s="26">
        <f ca="1">IFERROR(__xludf.DUMMYFUNCTION("ROUND(GOOGLEFINANCE(""Currency:EURKZT"")*K104)"),5439040)</f>
        <v>5439040</v>
      </c>
      <c r="P104" s="26">
        <f ca="1">IFERROR(__xludf.DUMMYFUNCTION("ROUND(GOOGLEFINANCE(""Currency:EURKZT"")*M104)"),238785)</f>
        <v>238785</v>
      </c>
      <c r="Q104" s="26">
        <f ca="1">IFERROR(__xludf.DUMMYFUNCTION("ROUND(GOOGLEFINANCE(""Currency:EURKZT"")*N104)"),238785)</f>
        <v>238785</v>
      </c>
      <c r="R104" s="26">
        <f t="shared" ca="1" si="4"/>
        <v>652685</v>
      </c>
      <c r="S104" s="26">
        <f t="shared" ca="1" si="5"/>
        <v>6569295</v>
      </c>
      <c r="T104" s="26">
        <f ca="1">IFERROR(__xludf.DUMMYFUNCTION("ROUND(GOOGLEFINANCE(""Currency:EURKZT"")*L104+S104)"),7602713)</f>
        <v>7602713</v>
      </c>
      <c r="U104" s="26">
        <f ca="1">IFERROR(__xludf.DUMMYFUNCTION("D104*GOOGLEFINANCE(""RUBKZT"")*1000/F104"),9886328.12152294)</f>
        <v>9886328.1215229407</v>
      </c>
      <c r="V104" s="27">
        <f t="shared" ca="1" si="6"/>
        <v>0.30036845025229031</v>
      </c>
    </row>
    <row r="105" spans="1:22" ht="12.75" customHeight="1" x14ac:dyDescent="0.2">
      <c r="A105" s="6" t="s">
        <v>142</v>
      </c>
      <c r="B105" s="6" t="s">
        <v>15</v>
      </c>
      <c r="C105" s="7">
        <v>120658</v>
      </c>
      <c r="D105" s="8">
        <v>302890.8</v>
      </c>
      <c r="E105" s="9" t="s">
        <v>16</v>
      </c>
      <c r="F105" s="36">
        <v>208</v>
      </c>
      <c r="G105" s="25"/>
      <c r="H105" s="14">
        <f t="shared" si="0"/>
        <v>0.55000000000000004</v>
      </c>
      <c r="I105" s="25">
        <f ca="1">IFERROR(__xludf.DUMMYFUNCTION("ROUND(D105*GOOGLEFINANCE(""RUBKZT"")*H105)"),1299988)</f>
        <v>1299988</v>
      </c>
      <c r="J105" s="26">
        <f ca="1">IFERROR(__xludf.DUMMYFUNCTION("ROUND(I105*GOOGLEFINANCE(""KZTEUR""))"),2723)</f>
        <v>2723</v>
      </c>
      <c r="K105" s="26">
        <f t="shared" ca="1" si="1"/>
        <v>13091</v>
      </c>
      <c r="L105" s="26">
        <f t="shared" ca="1" si="2"/>
        <v>2487.29</v>
      </c>
      <c r="M105" s="26">
        <f t="shared" ref="M105:N105" si="106">M$3</f>
        <v>500</v>
      </c>
      <c r="N105" s="26">
        <f t="shared" si="106"/>
        <v>500</v>
      </c>
      <c r="O105" s="26">
        <f ca="1">IFERROR(__xludf.DUMMYFUNCTION("ROUND(GOOGLEFINANCE(""Currency:EURKZT"")*K105)"),6251864)</f>
        <v>6251864</v>
      </c>
      <c r="P105" s="26">
        <f ca="1">IFERROR(__xludf.DUMMYFUNCTION("ROUND(GOOGLEFINANCE(""Currency:EURKZT"")*M105)"),238785)</f>
        <v>238785</v>
      </c>
      <c r="Q105" s="26">
        <f ca="1">IFERROR(__xludf.DUMMYFUNCTION("ROUND(GOOGLEFINANCE(""Currency:EURKZT"")*N105)"),238785)</f>
        <v>238785</v>
      </c>
      <c r="R105" s="26">
        <f t="shared" ca="1" si="4"/>
        <v>750224</v>
      </c>
      <c r="S105" s="26">
        <f t="shared" ca="1" si="5"/>
        <v>7479658</v>
      </c>
      <c r="T105" s="26">
        <f ca="1">IFERROR(__xludf.DUMMYFUNCTION("ROUND(GOOGLEFINANCE(""Currency:EURKZT"")*L105+S105)"),8667512)</f>
        <v>8667512</v>
      </c>
      <c r="U105" s="26">
        <f ca="1">IFERROR(__xludf.DUMMYFUNCTION("D105*GOOGLEFINANCE(""RUBKZT"")*1000/F105"),11363534.9974065)</f>
        <v>11363534.997406499</v>
      </c>
      <c r="V105" s="27">
        <f t="shared" ca="1" si="6"/>
        <v>0.3110492373597521</v>
      </c>
    </row>
    <row r="106" spans="1:22" ht="12.75" customHeight="1" x14ac:dyDescent="0.2">
      <c r="A106" s="6" t="s">
        <v>143</v>
      </c>
      <c r="B106" s="6" t="s">
        <v>15</v>
      </c>
      <c r="C106" s="7">
        <v>120661</v>
      </c>
      <c r="D106" s="8">
        <v>115662</v>
      </c>
      <c r="E106" s="9" t="s">
        <v>16</v>
      </c>
      <c r="F106" s="36">
        <v>208</v>
      </c>
      <c r="G106" s="25"/>
      <c r="H106" s="14">
        <f t="shared" si="0"/>
        <v>0.55000000000000004</v>
      </c>
      <c r="I106" s="25">
        <f ca="1">IFERROR(__xludf.DUMMYFUNCTION("ROUND(D106*GOOGLEFINANCE(""RUBKZT"")*H106)"),496414)</f>
        <v>496414</v>
      </c>
      <c r="J106" s="26">
        <f ca="1">IFERROR(__xludf.DUMMYFUNCTION("ROUND(I106*GOOGLEFINANCE(""KZTEUR""))"),1040)</f>
        <v>1040</v>
      </c>
      <c r="K106" s="26">
        <f t="shared" ca="1" si="1"/>
        <v>5000</v>
      </c>
      <c r="L106" s="26">
        <f t="shared" ca="1" si="2"/>
        <v>950</v>
      </c>
      <c r="M106" s="26">
        <f t="shared" ref="M106:N106" si="107">M$3</f>
        <v>500</v>
      </c>
      <c r="N106" s="26">
        <f t="shared" si="107"/>
        <v>500</v>
      </c>
      <c r="O106" s="26">
        <f ca="1">IFERROR(__xludf.DUMMYFUNCTION("ROUND(GOOGLEFINANCE(""Currency:EURKZT"")*K106)"),2387848)</f>
        <v>2387848</v>
      </c>
      <c r="P106" s="26">
        <f ca="1">IFERROR(__xludf.DUMMYFUNCTION("ROUND(GOOGLEFINANCE(""Currency:EURKZT"")*M106)"),238785)</f>
        <v>238785</v>
      </c>
      <c r="Q106" s="26">
        <f ca="1">IFERROR(__xludf.DUMMYFUNCTION("ROUND(GOOGLEFINANCE(""Currency:EURKZT"")*N106)"),238785)</f>
        <v>238785</v>
      </c>
      <c r="R106" s="26">
        <f t="shared" ca="1" si="4"/>
        <v>286542</v>
      </c>
      <c r="S106" s="26">
        <f t="shared" ca="1" si="5"/>
        <v>3151960</v>
      </c>
      <c r="T106" s="26">
        <f ca="1">IFERROR(__xludf.DUMMYFUNCTION("ROUND(GOOGLEFINANCE(""Currency:EURKZT"")*L106+S106)"),3605651)</f>
        <v>3605651</v>
      </c>
      <c r="U106" s="26">
        <f ca="1">IFERROR(__xludf.DUMMYFUNCTION("D106*GOOGLEFINANCE(""RUBKZT"")*1000/F106"),4339283.94282703)</f>
        <v>4339283.9428270301</v>
      </c>
      <c r="V106" s="27">
        <f t="shared" ca="1" si="6"/>
        <v>0.20346754104238876</v>
      </c>
    </row>
    <row r="107" spans="1:22" ht="12.75" customHeight="1" x14ac:dyDescent="0.2">
      <c r="A107" s="6" t="s">
        <v>144</v>
      </c>
      <c r="B107" s="6" t="s">
        <v>15</v>
      </c>
      <c r="C107" s="7">
        <v>120790</v>
      </c>
      <c r="D107" s="8">
        <v>161846.39999999999</v>
      </c>
      <c r="E107" s="9" t="s">
        <v>16</v>
      </c>
      <c r="F107" s="36">
        <v>208</v>
      </c>
      <c r="G107" s="25"/>
      <c r="H107" s="14">
        <f t="shared" si="0"/>
        <v>0.55000000000000004</v>
      </c>
      <c r="I107" s="25">
        <f ca="1">IFERROR(__xludf.DUMMYFUNCTION("ROUND(D107*GOOGLEFINANCE(""RUBKZT"")*H107)"),694635)</f>
        <v>694635</v>
      </c>
      <c r="J107" s="26">
        <f ca="1">IFERROR(__xludf.DUMMYFUNCTION("ROUND(I107*GOOGLEFINANCE(""KZTEUR""))"),1455)</f>
        <v>1455</v>
      </c>
      <c r="K107" s="26">
        <f t="shared" ca="1" si="1"/>
        <v>6995</v>
      </c>
      <c r="L107" s="26">
        <f t="shared" ca="1" si="2"/>
        <v>1329.05</v>
      </c>
      <c r="M107" s="26">
        <f t="shared" ref="M107:N107" si="108">M$3</f>
        <v>500</v>
      </c>
      <c r="N107" s="26">
        <f t="shared" si="108"/>
        <v>500</v>
      </c>
      <c r="O107" s="26">
        <f ca="1">IFERROR(__xludf.DUMMYFUNCTION("ROUND(GOOGLEFINANCE(""Currency:EURKZT"")*K107)"),3340599)</f>
        <v>3340599</v>
      </c>
      <c r="P107" s="26">
        <f ca="1">IFERROR(__xludf.DUMMYFUNCTION("ROUND(GOOGLEFINANCE(""Currency:EURKZT"")*M107)"),238785)</f>
        <v>238785</v>
      </c>
      <c r="Q107" s="26">
        <f ca="1">IFERROR(__xludf.DUMMYFUNCTION("ROUND(GOOGLEFINANCE(""Currency:EURKZT"")*N107)"),238785)</f>
        <v>238785</v>
      </c>
      <c r="R107" s="26">
        <f t="shared" ca="1" si="4"/>
        <v>400872</v>
      </c>
      <c r="S107" s="26">
        <f t="shared" ca="1" si="5"/>
        <v>4219041</v>
      </c>
      <c r="T107" s="26">
        <f ca="1">IFERROR(__xludf.DUMMYFUNCTION("ROUND(GOOGLEFINANCE(""Currency:EURKZT"")*L107+S107)"),4853755)</f>
        <v>4853755</v>
      </c>
      <c r="U107" s="26">
        <f ca="1">IFERROR(__xludf.DUMMYFUNCTION("D107*GOOGLEFINANCE(""RUBKZT"")*1000/F107"),6071981.15824006)</f>
        <v>6071981.1582400603</v>
      </c>
      <c r="V107" s="27">
        <f t="shared" ca="1" si="6"/>
        <v>0.25098633083871358</v>
      </c>
    </row>
    <row r="108" spans="1:22" ht="12.75" customHeight="1" x14ac:dyDescent="0.2">
      <c r="A108" s="6" t="s">
        <v>133</v>
      </c>
      <c r="B108" s="6" t="s">
        <v>15</v>
      </c>
      <c r="C108" s="7">
        <v>121890</v>
      </c>
      <c r="D108" s="8">
        <v>304114.8</v>
      </c>
      <c r="E108" s="9" t="s">
        <v>16</v>
      </c>
      <c r="F108" s="36">
        <v>208</v>
      </c>
      <c r="G108" s="25"/>
      <c r="H108" s="14">
        <f t="shared" si="0"/>
        <v>0.55000000000000004</v>
      </c>
      <c r="I108" s="25">
        <f ca="1">IFERROR(__xludf.DUMMYFUNCTION("ROUND(D108*GOOGLEFINANCE(""RUBKZT"")*H108)"),1305242)</f>
        <v>1305242</v>
      </c>
      <c r="J108" s="26">
        <f ca="1">IFERROR(__xludf.DUMMYFUNCTION("ROUND(I108*GOOGLEFINANCE(""KZTEUR""))"),2734)</f>
        <v>2734</v>
      </c>
      <c r="K108" s="26">
        <f t="shared" ca="1" si="1"/>
        <v>13144</v>
      </c>
      <c r="L108" s="26">
        <f t="shared" ca="1" si="2"/>
        <v>2497.36</v>
      </c>
      <c r="M108" s="26">
        <f t="shared" ref="M108:N108" si="109">M$3</f>
        <v>500</v>
      </c>
      <c r="N108" s="26">
        <f t="shared" si="109"/>
        <v>500</v>
      </c>
      <c r="O108" s="26">
        <f ca="1">IFERROR(__xludf.DUMMYFUNCTION("ROUND(GOOGLEFINANCE(""Currency:EURKZT"")*K108)"),6277175)</f>
        <v>6277175</v>
      </c>
      <c r="P108" s="26">
        <f ca="1">IFERROR(__xludf.DUMMYFUNCTION("ROUND(GOOGLEFINANCE(""Currency:EURKZT"")*M108)"),238785)</f>
        <v>238785</v>
      </c>
      <c r="Q108" s="26">
        <f ca="1">IFERROR(__xludf.DUMMYFUNCTION("ROUND(GOOGLEFINANCE(""Currency:EURKZT"")*N108)"),238785)</f>
        <v>238785</v>
      </c>
      <c r="R108" s="26">
        <f t="shared" ca="1" si="4"/>
        <v>753261</v>
      </c>
      <c r="S108" s="26">
        <f t="shared" ca="1" si="5"/>
        <v>7508006</v>
      </c>
      <c r="T108" s="26">
        <f ca="1">IFERROR(__xludf.DUMMYFUNCTION("ROUND(GOOGLEFINANCE(""Currency:EURKZT"")*L108+S108)"),8700669)</f>
        <v>8700669</v>
      </c>
      <c r="U108" s="26">
        <f ca="1">IFERROR(__xludf.DUMMYFUNCTION("D108*GOOGLEFINANCE(""RUBKZT"")*1000/F108"),11409455.7280356)</f>
        <v>11409455.728035601</v>
      </c>
      <c r="V108" s="27">
        <f t="shared" ca="1" si="6"/>
        <v>0.31133085605665506</v>
      </c>
    </row>
    <row r="109" spans="1:22" ht="12.75" customHeight="1" x14ac:dyDescent="0.2">
      <c r="A109" s="6" t="s">
        <v>5</v>
      </c>
      <c r="B109" s="6" t="s">
        <v>15</v>
      </c>
      <c r="C109" s="7">
        <v>123828</v>
      </c>
      <c r="D109" s="8">
        <v>87714</v>
      </c>
      <c r="E109" s="9" t="s">
        <v>7</v>
      </c>
      <c r="F109" s="36">
        <v>208</v>
      </c>
      <c r="G109" s="25"/>
      <c r="H109" s="14">
        <f t="shared" si="0"/>
        <v>0.55000000000000004</v>
      </c>
      <c r="I109" s="25">
        <f ca="1">IFERROR(__xludf.DUMMYFUNCTION("ROUND(D109*GOOGLEFINANCE(""RUBKZT"")*H109)"),376463)</f>
        <v>376463</v>
      </c>
      <c r="J109" s="26">
        <f ca="1">IFERROR(__xludf.DUMMYFUNCTION("ROUND(I109*GOOGLEFINANCE(""KZTEUR""))"),788)</f>
        <v>788</v>
      </c>
      <c r="K109" s="26">
        <f t="shared" ca="1" si="1"/>
        <v>3788</v>
      </c>
      <c r="L109" s="26">
        <f t="shared" ca="1" si="2"/>
        <v>719.72</v>
      </c>
      <c r="M109" s="26">
        <f t="shared" ref="M109:N109" si="110">M$3</f>
        <v>500</v>
      </c>
      <c r="N109" s="26">
        <f t="shared" si="110"/>
        <v>500</v>
      </c>
      <c r="O109" s="26">
        <f ca="1">IFERROR(__xludf.DUMMYFUNCTION("ROUND(GOOGLEFINANCE(""Currency:EURKZT"")*K109)"),1809034)</f>
        <v>1809034</v>
      </c>
      <c r="P109" s="26">
        <f ca="1">IFERROR(__xludf.DUMMYFUNCTION("ROUND(GOOGLEFINANCE(""Currency:EURKZT"")*M109)"),238785)</f>
        <v>238785</v>
      </c>
      <c r="Q109" s="26">
        <f ca="1">IFERROR(__xludf.DUMMYFUNCTION("ROUND(GOOGLEFINANCE(""Currency:EURKZT"")*N109)"),238785)</f>
        <v>238785</v>
      </c>
      <c r="R109" s="26">
        <f t="shared" ca="1" si="4"/>
        <v>217084</v>
      </c>
      <c r="S109" s="26">
        <f t="shared" ca="1" si="5"/>
        <v>2503688</v>
      </c>
      <c r="T109" s="26">
        <f ca="1">IFERROR(__xludf.DUMMYFUNCTION("ROUND(GOOGLEFINANCE(""Currency:EURKZT"")*L109+S109)"),2847404)</f>
        <v>2847404</v>
      </c>
      <c r="U109" s="26">
        <f ca="1">IFERROR(__xludf.DUMMYFUNCTION("D109*GOOGLEFINANCE(""RUBKZT"")*1000/F109"),3290760.59346311)</f>
        <v>3290760.5934631098</v>
      </c>
      <c r="V109" s="27">
        <f t="shared" ca="1" si="6"/>
        <v>0.15570554563493968</v>
      </c>
    </row>
    <row r="110" spans="1:22" ht="12.75" customHeight="1" x14ac:dyDescent="0.2">
      <c r="A110" s="6" t="s">
        <v>13</v>
      </c>
      <c r="B110" s="6" t="s">
        <v>15</v>
      </c>
      <c r="C110" s="7">
        <v>123959</v>
      </c>
      <c r="D110" s="8">
        <v>183993.60000000001</v>
      </c>
      <c r="E110" s="9" t="s">
        <v>7</v>
      </c>
      <c r="F110" s="36">
        <v>208</v>
      </c>
      <c r="G110" s="25"/>
      <c r="H110" s="14">
        <f t="shared" si="0"/>
        <v>0.55000000000000004</v>
      </c>
      <c r="I110" s="25">
        <f ca="1">IFERROR(__xludf.DUMMYFUNCTION("ROUND(D110*GOOGLEFINANCE(""RUBKZT"")*H110)"),789689)</f>
        <v>789689</v>
      </c>
      <c r="J110" s="26">
        <f ca="1">IFERROR(__xludf.DUMMYFUNCTION("ROUND(I110*GOOGLEFINANCE(""KZTEUR""))"),1654)</f>
        <v>1654</v>
      </c>
      <c r="K110" s="26">
        <f t="shared" ca="1" si="1"/>
        <v>7952</v>
      </c>
      <c r="L110" s="26">
        <f t="shared" ca="1" si="2"/>
        <v>1510.88</v>
      </c>
      <c r="M110" s="26">
        <f t="shared" ref="M110:N110" si="111">M$3</f>
        <v>500</v>
      </c>
      <c r="N110" s="26">
        <f t="shared" si="111"/>
        <v>500</v>
      </c>
      <c r="O110" s="26">
        <f ca="1">IFERROR(__xludf.DUMMYFUNCTION("ROUND(GOOGLEFINANCE(""Currency:EURKZT"")*K110)"),3797634)</f>
        <v>3797634</v>
      </c>
      <c r="P110" s="26">
        <f ca="1">IFERROR(__xludf.DUMMYFUNCTION("ROUND(GOOGLEFINANCE(""Currency:EURKZT"")*M110)"),238785)</f>
        <v>238785</v>
      </c>
      <c r="Q110" s="26">
        <f ca="1">IFERROR(__xludf.DUMMYFUNCTION("ROUND(GOOGLEFINANCE(""Currency:EURKZT"")*N110)"),238785)</f>
        <v>238785</v>
      </c>
      <c r="R110" s="26">
        <f t="shared" ca="1" si="4"/>
        <v>455716</v>
      </c>
      <c r="S110" s="26">
        <f t="shared" ca="1" si="5"/>
        <v>4730920</v>
      </c>
      <c r="T110" s="26">
        <f ca="1">IFERROR(__xludf.DUMMYFUNCTION("ROUND(GOOGLEFINANCE(""Currency:EURKZT"")*L110+S110)"),5452470)</f>
        <v>5452470</v>
      </c>
      <c r="U110" s="26">
        <f ca="1">IFERROR(__xludf.DUMMYFUNCTION("D110*GOOGLEFINANCE(""RUBKZT"")*1000/F110"),6902876.26068147)</f>
        <v>6902876.2606814699</v>
      </c>
      <c r="V110" s="27">
        <f t="shared" ca="1" si="6"/>
        <v>0.26600903089452488</v>
      </c>
    </row>
    <row r="111" spans="1:22" ht="12.75" customHeight="1" x14ac:dyDescent="0.2">
      <c r="A111" s="6" t="s">
        <v>145</v>
      </c>
      <c r="B111" s="6" t="s">
        <v>15</v>
      </c>
      <c r="C111" s="7">
        <v>124540</v>
      </c>
      <c r="D111" s="8">
        <v>309753.59999999998</v>
      </c>
      <c r="E111" s="9" t="s">
        <v>16</v>
      </c>
      <c r="F111" s="36">
        <v>208</v>
      </c>
      <c r="G111" s="25"/>
      <c r="H111" s="14">
        <f t="shared" si="0"/>
        <v>0.55000000000000004</v>
      </c>
      <c r="I111" s="25">
        <f ca="1">IFERROR(__xludf.DUMMYFUNCTION("ROUND(D111*GOOGLEFINANCE(""RUBKZT"")*H111)"),1329443)</f>
        <v>1329443</v>
      </c>
      <c r="J111" s="26">
        <f ca="1">IFERROR(__xludf.DUMMYFUNCTION("ROUND(I111*GOOGLEFINANCE(""KZTEUR""))"),2784)</f>
        <v>2784</v>
      </c>
      <c r="K111" s="26">
        <f t="shared" ca="1" si="1"/>
        <v>13385</v>
      </c>
      <c r="L111" s="26">
        <f t="shared" ca="1" si="2"/>
        <v>2543.15</v>
      </c>
      <c r="M111" s="26">
        <f t="shared" ref="M111:N111" si="112">M$3</f>
        <v>500</v>
      </c>
      <c r="N111" s="26">
        <f t="shared" si="112"/>
        <v>500</v>
      </c>
      <c r="O111" s="26">
        <f ca="1">IFERROR(__xludf.DUMMYFUNCTION("ROUND(GOOGLEFINANCE(""Currency:EURKZT"")*K111)"),6392269)</f>
        <v>6392269</v>
      </c>
      <c r="P111" s="26">
        <f ca="1">IFERROR(__xludf.DUMMYFUNCTION("ROUND(GOOGLEFINANCE(""Currency:EURKZT"")*M111)"),238785)</f>
        <v>238785</v>
      </c>
      <c r="Q111" s="26">
        <f ca="1">IFERROR(__xludf.DUMMYFUNCTION("ROUND(GOOGLEFINANCE(""Currency:EURKZT"")*N111)"),238785)</f>
        <v>238785</v>
      </c>
      <c r="R111" s="26">
        <f t="shared" ca="1" si="4"/>
        <v>767072</v>
      </c>
      <c r="S111" s="26">
        <f t="shared" ca="1" si="5"/>
        <v>7636911</v>
      </c>
      <c r="T111" s="26">
        <f ca="1">IFERROR(__xludf.DUMMYFUNCTION("ROUND(GOOGLEFINANCE(""Currency:EURKZT"")*L111+S111)"),8851442)</f>
        <v>8851442</v>
      </c>
      <c r="U111" s="26">
        <f ca="1">IFERROR(__xludf.DUMMYFUNCTION("D111*GOOGLEFINANCE(""RUBKZT"")*1000/F111"),11621006.2311984)</f>
        <v>11621006.2311984</v>
      </c>
      <c r="V111" s="27">
        <f t="shared" ca="1" si="6"/>
        <v>0.31289412857231624</v>
      </c>
    </row>
    <row r="112" spans="1:22" ht="12.75" customHeight="1" x14ac:dyDescent="0.2">
      <c r="A112" s="6" t="s">
        <v>146</v>
      </c>
      <c r="B112" s="6" t="s">
        <v>15</v>
      </c>
      <c r="C112" s="7">
        <v>124542</v>
      </c>
      <c r="D112" s="8">
        <v>319934.39999999997</v>
      </c>
      <c r="E112" s="9" t="s">
        <v>16</v>
      </c>
      <c r="F112" s="36">
        <v>208</v>
      </c>
      <c r="G112" s="25"/>
      <c r="H112" s="14">
        <f t="shared" si="0"/>
        <v>0.55000000000000004</v>
      </c>
      <c r="I112" s="25">
        <f ca="1">IFERROR(__xludf.DUMMYFUNCTION("ROUND(D112*GOOGLEFINANCE(""RUBKZT"")*H112)"),1373138)</f>
        <v>1373138</v>
      </c>
      <c r="J112" s="26">
        <f ca="1">IFERROR(__xludf.DUMMYFUNCTION("ROUND(I112*GOOGLEFINANCE(""KZTEUR""))"),2876)</f>
        <v>2876</v>
      </c>
      <c r="K112" s="26">
        <f t="shared" ca="1" si="1"/>
        <v>13827</v>
      </c>
      <c r="L112" s="26">
        <f t="shared" ca="1" si="2"/>
        <v>2627.13</v>
      </c>
      <c r="M112" s="26">
        <f t="shared" ref="M112:N112" si="113">M$3</f>
        <v>500</v>
      </c>
      <c r="N112" s="26">
        <f t="shared" si="113"/>
        <v>500</v>
      </c>
      <c r="O112" s="26">
        <f ca="1">IFERROR(__xludf.DUMMYFUNCTION("ROUND(GOOGLEFINANCE(""Currency:EURKZT"")*K112)"),6603355)</f>
        <v>6603355</v>
      </c>
      <c r="P112" s="26">
        <f ca="1">IFERROR(__xludf.DUMMYFUNCTION("ROUND(GOOGLEFINANCE(""Currency:EURKZT"")*M112)"),238785)</f>
        <v>238785</v>
      </c>
      <c r="Q112" s="26">
        <f ca="1">IFERROR(__xludf.DUMMYFUNCTION("ROUND(GOOGLEFINANCE(""Currency:EURKZT"")*N112)"),238785)</f>
        <v>238785</v>
      </c>
      <c r="R112" s="26">
        <f t="shared" ca="1" si="4"/>
        <v>792403</v>
      </c>
      <c r="S112" s="26">
        <f t="shared" ca="1" si="5"/>
        <v>7873328</v>
      </c>
      <c r="T112" s="26">
        <f ca="1">IFERROR(__xludf.DUMMYFUNCTION("ROUND(GOOGLEFINANCE(""Currency:EURKZT"")*L112+S112)"),9127965)</f>
        <v>9127965</v>
      </c>
      <c r="U112" s="26">
        <f ca="1">IFERROR(__xludf.DUMMYFUNCTION("D112*GOOGLEFINANCE(""RUBKZT"")*1000/F112"),12002958.6612543)</f>
        <v>12002958.6612543</v>
      </c>
      <c r="V112" s="27">
        <f t="shared" ca="1" si="6"/>
        <v>0.31496545629330303</v>
      </c>
    </row>
    <row r="113" spans="1:22" ht="12.75" customHeight="1" x14ac:dyDescent="0.2">
      <c r="A113" s="6" t="s">
        <v>9</v>
      </c>
      <c r="B113" s="6" t="s">
        <v>15</v>
      </c>
      <c r="C113" s="7">
        <v>124786</v>
      </c>
      <c r="D113" s="8">
        <v>111223.2</v>
      </c>
      <c r="E113" s="9" t="s">
        <v>7</v>
      </c>
      <c r="F113" s="36">
        <v>208</v>
      </c>
      <c r="G113" s="25"/>
      <c r="H113" s="14">
        <f t="shared" si="0"/>
        <v>0.55000000000000004</v>
      </c>
      <c r="I113" s="25">
        <f ca="1">IFERROR(__xludf.DUMMYFUNCTION("ROUND(D113*GOOGLEFINANCE(""RUBKZT"")*H113)"),477363)</f>
        <v>477363</v>
      </c>
      <c r="J113" s="26">
        <f ca="1">IFERROR(__xludf.DUMMYFUNCTION("ROUND(I113*GOOGLEFINANCE(""KZTEUR""))"),1000)</f>
        <v>1000</v>
      </c>
      <c r="K113" s="26">
        <f t="shared" ca="1" si="1"/>
        <v>4808</v>
      </c>
      <c r="L113" s="26">
        <f t="shared" ca="1" si="2"/>
        <v>913.52</v>
      </c>
      <c r="M113" s="26">
        <f t="shared" ref="M113:N113" si="114">M$3</f>
        <v>500</v>
      </c>
      <c r="N113" s="26">
        <f t="shared" si="114"/>
        <v>500</v>
      </c>
      <c r="O113" s="26">
        <f ca="1">IFERROR(__xludf.DUMMYFUNCTION("ROUND(GOOGLEFINANCE(""Currency:EURKZT"")*K113)"),2296155)</f>
        <v>2296155</v>
      </c>
      <c r="P113" s="26">
        <f ca="1">IFERROR(__xludf.DUMMYFUNCTION("ROUND(GOOGLEFINANCE(""Currency:EURKZT"")*M113)"),238785)</f>
        <v>238785</v>
      </c>
      <c r="Q113" s="26">
        <f ca="1">IFERROR(__xludf.DUMMYFUNCTION("ROUND(GOOGLEFINANCE(""Currency:EURKZT"")*N113)"),238785)</f>
        <v>238785</v>
      </c>
      <c r="R113" s="26">
        <f t="shared" ca="1" si="4"/>
        <v>275539</v>
      </c>
      <c r="S113" s="26">
        <f t="shared" ca="1" si="5"/>
        <v>3049264</v>
      </c>
      <c r="T113" s="26">
        <f ca="1">IFERROR(__xludf.DUMMYFUNCTION("ROUND(GOOGLEFINANCE(""Currency:EURKZT"")*L113+S113)"),3485533)</f>
        <v>3485533</v>
      </c>
      <c r="U113" s="26">
        <f ca="1">IFERROR(__xludf.DUMMYFUNCTION("D113*GOOGLEFINANCE(""RUBKZT"")*1000/F113"),4172753.76381041)</f>
        <v>4172753.7638104102</v>
      </c>
      <c r="V113" s="27">
        <f t="shared" ca="1" si="6"/>
        <v>0.19716375194565944</v>
      </c>
    </row>
    <row r="114" spans="1:22" ht="12.75" customHeight="1" x14ac:dyDescent="0.2">
      <c r="A114" s="6" t="s">
        <v>147</v>
      </c>
      <c r="B114" s="6" t="s">
        <v>15</v>
      </c>
      <c r="C114" s="7">
        <v>126428</v>
      </c>
      <c r="D114" s="8">
        <v>116524.8</v>
      </c>
      <c r="E114" s="9" t="s">
        <v>16</v>
      </c>
      <c r="F114" s="36">
        <v>208</v>
      </c>
      <c r="G114" s="25"/>
      <c r="H114" s="14">
        <f t="shared" si="0"/>
        <v>0.55000000000000004</v>
      </c>
      <c r="I114" s="25">
        <f ca="1">IFERROR(__xludf.DUMMYFUNCTION("ROUND(D114*GOOGLEFINANCE(""RUBKZT"")*H114)"),500117)</f>
        <v>500117</v>
      </c>
      <c r="J114" s="26">
        <f ca="1">IFERROR(__xludf.DUMMYFUNCTION("ROUND(I114*GOOGLEFINANCE(""KZTEUR""))"),1047)</f>
        <v>1047</v>
      </c>
      <c r="K114" s="26">
        <f t="shared" ca="1" si="1"/>
        <v>5034</v>
      </c>
      <c r="L114" s="26">
        <f t="shared" ca="1" si="2"/>
        <v>956.46</v>
      </c>
      <c r="M114" s="26">
        <f t="shared" ref="M114:N114" si="115">M$3</f>
        <v>500</v>
      </c>
      <c r="N114" s="26">
        <f t="shared" si="115"/>
        <v>500</v>
      </c>
      <c r="O114" s="26">
        <f ca="1">IFERROR(__xludf.DUMMYFUNCTION("ROUND(GOOGLEFINANCE(""Currency:EURKZT"")*K114)"),2404085)</f>
        <v>2404085</v>
      </c>
      <c r="P114" s="26">
        <f ca="1">IFERROR(__xludf.DUMMYFUNCTION("ROUND(GOOGLEFINANCE(""Currency:EURKZT"")*M114)"),238785)</f>
        <v>238785</v>
      </c>
      <c r="Q114" s="26">
        <f ca="1">IFERROR(__xludf.DUMMYFUNCTION("ROUND(GOOGLEFINANCE(""Currency:EURKZT"")*N114)"),238785)</f>
        <v>238785</v>
      </c>
      <c r="R114" s="26">
        <f t="shared" ca="1" si="4"/>
        <v>288490</v>
      </c>
      <c r="S114" s="26">
        <f t="shared" ca="1" si="5"/>
        <v>3170145</v>
      </c>
      <c r="T114" s="26">
        <f ca="1">IFERROR(__xludf.DUMMYFUNCTION("ROUND(GOOGLEFINANCE(""Currency:EURKZT"")*L114+S114)"),3626921)</f>
        <v>3626921</v>
      </c>
      <c r="U114" s="26">
        <f ca="1">IFERROR(__xludf.DUMMYFUNCTION("D114*GOOGLEFINANCE(""RUBKZT"")*1000/F114"),4371653.55588812)</f>
        <v>4371653.5558881201</v>
      </c>
      <c r="V114" s="27">
        <f t="shared" ca="1" si="6"/>
        <v>0.20533465048952543</v>
      </c>
    </row>
    <row r="115" spans="1:22" ht="12.75" customHeight="1" x14ac:dyDescent="0.2">
      <c r="A115" s="6" t="s">
        <v>124</v>
      </c>
      <c r="B115" s="6" t="s">
        <v>15</v>
      </c>
      <c r="C115" s="7">
        <v>126851</v>
      </c>
      <c r="D115" s="8">
        <v>230236.79999999999</v>
      </c>
      <c r="E115" s="9" t="s">
        <v>16</v>
      </c>
      <c r="F115" s="36">
        <v>208</v>
      </c>
      <c r="G115" s="25"/>
      <c r="H115" s="14">
        <f t="shared" si="0"/>
        <v>0.55000000000000004</v>
      </c>
      <c r="I115" s="25">
        <f ca="1">IFERROR(__xludf.DUMMYFUNCTION("ROUND(D115*GOOGLEFINANCE(""RUBKZT"")*H115)"),988162)</f>
        <v>988162</v>
      </c>
      <c r="J115" s="26">
        <f ca="1">IFERROR(__xludf.DUMMYFUNCTION("ROUND(I115*GOOGLEFINANCE(""KZTEUR""))"),2070)</f>
        <v>2070</v>
      </c>
      <c r="K115" s="26">
        <f t="shared" ca="1" si="1"/>
        <v>9952</v>
      </c>
      <c r="L115" s="26">
        <f t="shared" ca="1" si="2"/>
        <v>1890.88</v>
      </c>
      <c r="M115" s="26">
        <f t="shared" ref="M115:N115" si="116">M$3</f>
        <v>500</v>
      </c>
      <c r="N115" s="26">
        <f t="shared" si="116"/>
        <v>500</v>
      </c>
      <c r="O115" s="26">
        <f ca="1">IFERROR(__xludf.DUMMYFUNCTION("ROUND(GOOGLEFINANCE(""Currency:EURKZT"")*K115)"),4752773)</f>
        <v>4752773</v>
      </c>
      <c r="P115" s="26">
        <f ca="1">IFERROR(__xludf.DUMMYFUNCTION("ROUND(GOOGLEFINANCE(""Currency:EURKZT"")*M115)"),238785)</f>
        <v>238785</v>
      </c>
      <c r="Q115" s="26">
        <f ca="1">IFERROR(__xludf.DUMMYFUNCTION("ROUND(GOOGLEFINANCE(""Currency:EURKZT"")*N115)"),238785)</f>
        <v>238785</v>
      </c>
      <c r="R115" s="26">
        <f t="shared" ca="1" si="4"/>
        <v>570333</v>
      </c>
      <c r="S115" s="26">
        <f t="shared" ca="1" si="5"/>
        <v>5800676</v>
      </c>
      <c r="T115" s="26">
        <f ca="1">IFERROR(__xludf.DUMMYFUNCTION("ROUND(GOOGLEFINANCE(""Currency:EURKZT"")*L115+S115)"),6703703)</f>
        <v>6703703</v>
      </c>
      <c r="U115" s="26">
        <f ca="1">IFERROR(__xludf.DUMMYFUNCTION("D115*GOOGLEFINANCE(""RUBKZT"")*1000/F115"),8637779.47197766)</f>
        <v>8637779.4719776604</v>
      </c>
      <c r="V115" s="27">
        <f t="shared" ca="1" si="6"/>
        <v>0.28850867527658375</v>
      </c>
    </row>
    <row r="116" spans="1:22" ht="12.75" customHeight="1" x14ac:dyDescent="0.2">
      <c r="A116" s="6" t="s">
        <v>148</v>
      </c>
      <c r="B116" s="6" t="s">
        <v>15</v>
      </c>
      <c r="C116" s="7">
        <v>127480</v>
      </c>
      <c r="D116" s="8">
        <v>102826.8</v>
      </c>
      <c r="E116" s="9" t="s">
        <v>16</v>
      </c>
      <c r="F116" s="36">
        <v>208</v>
      </c>
      <c r="G116" s="25"/>
      <c r="H116" s="14">
        <f t="shared" si="0"/>
        <v>0.55000000000000004</v>
      </c>
      <c r="I116" s="25">
        <f ca="1">IFERROR(__xludf.DUMMYFUNCTION("ROUND(D116*GOOGLEFINANCE(""RUBKZT"")*H116)"),441326)</f>
        <v>441326</v>
      </c>
      <c r="J116" s="26">
        <f ca="1">IFERROR(__xludf.DUMMYFUNCTION("ROUND(I116*GOOGLEFINANCE(""KZTEUR""))"),924)</f>
        <v>924</v>
      </c>
      <c r="K116" s="26">
        <f t="shared" ca="1" si="1"/>
        <v>4442</v>
      </c>
      <c r="L116" s="26">
        <f t="shared" ca="1" si="2"/>
        <v>843.98</v>
      </c>
      <c r="M116" s="26">
        <f t="shared" ref="M116:N116" si="117">M$3</f>
        <v>500</v>
      </c>
      <c r="N116" s="26">
        <f t="shared" si="117"/>
        <v>500</v>
      </c>
      <c r="O116" s="26">
        <f ca="1">IFERROR(__xludf.DUMMYFUNCTION("ROUND(GOOGLEFINANCE(""Currency:EURKZT"")*K116)"),2121364)</f>
        <v>2121364</v>
      </c>
      <c r="P116" s="26">
        <f ca="1">IFERROR(__xludf.DUMMYFUNCTION("ROUND(GOOGLEFINANCE(""Currency:EURKZT"")*M116)"),238785)</f>
        <v>238785</v>
      </c>
      <c r="Q116" s="26">
        <f ca="1">IFERROR(__xludf.DUMMYFUNCTION("ROUND(GOOGLEFINANCE(""Currency:EURKZT"")*N116)"),238785)</f>
        <v>238785</v>
      </c>
      <c r="R116" s="26">
        <f t="shared" ca="1" si="4"/>
        <v>254564</v>
      </c>
      <c r="S116" s="26">
        <f t="shared" ca="1" si="5"/>
        <v>2853498</v>
      </c>
      <c r="T116" s="26">
        <f ca="1">IFERROR(__xludf.DUMMYFUNCTION("ROUND(GOOGLEFINANCE(""Currency:EURKZT"")*L116+S116)"),3256557)</f>
        <v>3256557</v>
      </c>
      <c r="U116" s="26">
        <f ca="1">IFERROR(__xludf.DUMMYFUNCTION("D116*GOOGLEFINANCE(""RUBKZT"")*1000/F116"),3857746.55575977)</f>
        <v>3857746.5557597699</v>
      </c>
      <c r="V116" s="27">
        <f t="shared" ca="1" si="6"/>
        <v>0.18460894612308948</v>
      </c>
    </row>
    <row r="117" spans="1:22" ht="12.75" customHeight="1" x14ac:dyDescent="0.2">
      <c r="A117" s="6" t="s">
        <v>153</v>
      </c>
      <c r="B117" s="6" t="s">
        <v>15</v>
      </c>
      <c r="C117" s="7">
        <v>128321</v>
      </c>
      <c r="D117" s="8">
        <v>80930.399999999994</v>
      </c>
      <c r="E117" s="9" t="s">
        <v>16</v>
      </c>
      <c r="F117" s="36">
        <v>208</v>
      </c>
      <c r="G117" s="25"/>
      <c r="H117" s="14">
        <f t="shared" si="0"/>
        <v>0.55000000000000004</v>
      </c>
      <c r="I117" s="25">
        <f ca="1">IFERROR(__xludf.DUMMYFUNCTION("ROUND(D117*GOOGLEFINANCE(""RUBKZT"")*H117)"),347348)</f>
        <v>347348</v>
      </c>
      <c r="J117" s="26">
        <f ca="1">IFERROR(__xludf.DUMMYFUNCTION("ROUND(I117*GOOGLEFINANCE(""KZTEUR""))"),727)</f>
        <v>727</v>
      </c>
      <c r="K117" s="26">
        <f t="shared" ca="1" si="1"/>
        <v>3495</v>
      </c>
      <c r="L117" s="26">
        <f t="shared" ca="1" si="2"/>
        <v>664.05</v>
      </c>
      <c r="M117" s="26">
        <f t="shared" ref="M117:N117" si="118">M$3</f>
        <v>500</v>
      </c>
      <c r="N117" s="26">
        <f t="shared" si="118"/>
        <v>500</v>
      </c>
      <c r="O117" s="26">
        <f ca="1">IFERROR(__xludf.DUMMYFUNCTION("ROUND(GOOGLEFINANCE(""Currency:EURKZT"")*K117)"),1669106)</f>
        <v>1669106</v>
      </c>
      <c r="P117" s="26">
        <f ca="1">IFERROR(__xludf.DUMMYFUNCTION("ROUND(GOOGLEFINANCE(""Currency:EURKZT"")*M117)"),238785)</f>
        <v>238785</v>
      </c>
      <c r="Q117" s="26">
        <f ca="1">IFERROR(__xludf.DUMMYFUNCTION("ROUND(GOOGLEFINANCE(""Currency:EURKZT"")*N117)"),238785)</f>
        <v>238785</v>
      </c>
      <c r="R117" s="26">
        <f t="shared" ca="1" si="4"/>
        <v>200293</v>
      </c>
      <c r="S117" s="26">
        <f t="shared" ca="1" si="5"/>
        <v>2346969</v>
      </c>
      <c r="T117" s="26">
        <f ca="1">IFERROR(__xludf.DUMMYFUNCTION("ROUND(GOOGLEFINANCE(""Currency:EURKZT"")*L117+S117)"),2664099)</f>
        <v>2664099</v>
      </c>
      <c r="U117" s="26">
        <f ca="1">IFERROR(__xludf.DUMMYFUNCTION("D117*GOOGLEFINANCE(""RUBKZT"")*1000/F117"),3036260.7010649)</f>
        <v>3036260.7010649</v>
      </c>
      <c r="V117" s="27">
        <f t="shared" ca="1" si="6"/>
        <v>0.13969514686387408</v>
      </c>
    </row>
    <row r="118" spans="1:22" ht="12.75" customHeight="1" x14ac:dyDescent="0.2">
      <c r="A118" s="6" t="s">
        <v>155</v>
      </c>
      <c r="B118" s="6" t="s">
        <v>15</v>
      </c>
      <c r="C118" s="7">
        <v>133623</v>
      </c>
      <c r="D118" s="8">
        <v>85782</v>
      </c>
      <c r="E118" s="9" t="s">
        <v>16</v>
      </c>
      <c r="F118" s="36">
        <v>208</v>
      </c>
      <c r="G118" s="25"/>
      <c r="H118" s="14">
        <f t="shared" si="0"/>
        <v>0.55000000000000004</v>
      </c>
      <c r="I118" s="25">
        <f ca="1">IFERROR(__xludf.DUMMYFUNCTION("ROUND(D118*GOOGLEFINANCE(""RUBKZT"")*H118)"),368171)</f>
        <v>368171</v>
      </c>
      <c r="J118" s="26">
        <f ca="1">IFERROR(__xludf.DUMMYFUNCTION("ROUND(I118*GOOGLEFINANCE(""KZTEUR""))"),771)</f>
        <v>771</v>
      </c>
      <c r="K118" s="26">
        <f t="shared" ca="1" si="1"/>
        <v>3707</v>
      </c>
      <c r="L118" s="26">
        <f t="shared" ca="1" si="2"/>
        <v>704.33</v>
      </c>
      <c r="M118" s="26">
        <f t="shared" ref="M118:N118" si="119">M$3</f>
        <v>500</v>
      </c>
      <c r="N118" s="26">
        <f t="shared" si="119"/>
        <v>500</v>
      </c>
      <c r="O118" s="26">
        <f ca="1">IFERROR(__xludf.DUMMYFUNCTION("ROUND(GOOGLEFINANCE(""Currency:EURKZT"")*K118)"),1770351)</f>
        <v>1770351</v>
      </c>
      <c r="P118" s="26">
        <f ca="1">IFERROR(__xludf.DUMMYFUNCTION("ROUND(GOOGLEFINANCE(""Currency:EURKZT"")*M118)"),238785)</f>
        <v>238785</v>
      </c>
      <c r="Q118" s="26">
        <f ca="1">IFERROR(__xludf.DUMMYFUNCTION("ROUND(GOOGLEFINANCE(""Currency:EURKZT"")*N118)"),238785)</f>
        <v>238785</v>
      </c>
      <c r="R118" s="26">
        <f t="shared" ca="1" si="4"/>
        <v>212442</v>
      </c>
      <c r="S118" s="26">
        <f t="shared" ca="1" si="5"/>
        <v>2460363</v>
      </c>
      <c r="T118" s="26">
        <f ca="1">IFERROR(__xludf.DUMMYFUNCTION("ROUND(GOOGLEFINANCE(""Currency:EURKZT"")*L118+S118)"),2796730)</f>
        <v>2796730</v>
      </c>
      <c r="U118" s="26">
        <f ca="1">IFERROR(__xludf.DUMMYFUNCTION("D118*GOOGLEFINANCE(""RUBKZT"")*1000/F118"),3218277.8715878)</f>
        <v>3218277.8715877999</v>
      </c>
      <c r="V118" s="27">
        <f t="shared" ca="1" si="6"/>
        <v>0.1507288410349944</v>
      </c>
    </row>
    <row r="119" spans="1:22" ht="12.75" customHeight="1" x14ac:dyDescent="0.2">
      <c r="A119" s="6" t="s">
        <v>160</v>
      </c>
      <c r="B119" s="6" t="s">
        <v>15</v>
      </c>
      <c r="C119" s="7">
        <v>134130</v>
      </c>
      <c r="D119" s="8">
        <v>98462.399999999994</v>
      </c>
      <c r="E119" s="9" t="s">
        <v>16</v>
      </c>
      <c r="F119" s="36">
        <v>208</v>
      </c>
      <c r="G119" s="25"/>
      <c r="H119" s="14">
        <f t="shared" si="0"/>
        <v>0.55000000000000004</v>
      </c>
      <c r="I119" s="25">
        <f ca="1">IFERROR(__xludf.DUMMYFUNCTION("ROUND(D119*GOOGLEFINANCE(""RUBKZT"")*H119)"),422594)</f>
        <v>422594</v>
      </c>
      <c r="J119" s="26">
        <f ca="1">IFERROR(__xludf.DUMMYFUNCTION("ROUND(I119*GOOGLEFINANCE(""KZTEUR""))"),885)</f>
        <v>885</v>
      </c>
      <c r="K119" s="26">
        <f t="shared" ca="1" si="1"/>
        <v>4255</v>
      </c>
      <c r="L119" s="26">
        <f t="shared" ca="1" si="2"/>
        <v>808.45</v>
      </c>
      <c r="M119" s="26">
        <f t="shared" ref="M119:N119" si="120">M$3</f>
        <v>500</v>
      </c>
      <c r="N119" s="26">
        <f t="shared" si="120"/>
        <v>500</v>
      </c>
      <c r="O119" s="26">
        <f ca="1">IFERROR(__xludf.DUMMYFUNCTION("ROUND(GOOGLEFINANCE(""Currency:EURKZT"")*K119)"),2032059)</f>
        <v>2032059</v>
      </c>
      <c r="P119" s="26">
        <f ca="1">IFERROR(__xludf.DUMMYFUNCTION("ROUND(GOOGLEFINANCE(""Currency:EURKZT"")*M119)"),238785)</f>
        <v>238785</v>
      </c>
      <c r="Q119" s="26">
        <f ca="1">IFERROR(__xludf.DUMMYFUNCTION("ROUND(GOOGLEFINANCE(""Currency:EURKZT"")*N119)"),238785)</f>
        <v>238785</v>
      </c>
      <c r="R119" s="26">
        <f t="shared" ca="1" si="4"/>
        <v>243847</v>
      </c>
      <c r="S119" s="26">
        <f t="shared" ca="1" si="5"/>
        <v>2753476</v>
      </c>
      <c r="T119" s="26">
        <f ca="1">IFERROR(__xludf.DUMMYFUNCTION("ROUND(GOOGLEFINANCE(""Currency:EURKZT"")*L119+S119)"),3139567)</f>
        <v>3139567</v>
      </c>
      <c r="U119" s="26">
        <f ca="1">IFERROR(__xludf.DUMMYFUNCTION("D119*GOOGLEFINANCE(""RUBKZT"")*1000/F119"),3694007.63684021)</f>
        <v>3694007.6368402098</v>
      </c>
      <c r="V119" s="27">
        <f t="shared" ca="1" si="6"/>
        <v>0.17659780372268208</v>
      </c>
    </row>
    <row r="120" spans="1:22" ht="12.75" customHeight="1" x14ac:dyDescent="0.2">
      <c r="A120" s="6" t="s">
        <v>177</v>
      </c>
      <c r="B120" s="6" t="s">
        <v>15</v>
      </c>
      <c r="C120" s="7">
        <v>140215</v>
      </c>
      <c r="D120" s="8">
        <v>89706</v>
      </c>
      <c r="E120" s="9" t="s">
        <v>16</v>
      </c>
      <c r="F120" s="36">
        <v>208</v>
      </c>
      <c r="G120" s="25"/>
      <c r="H120" s="14">
        <f t="shared" si="0"/>
        <v>0.55000000000000004</v>
      </c>
      <c r="I120" s="25">
        <f ca="1">IFERROR(__xludf.DUMMYFUNCTION("ROUND(D120*GOOGLEFINANCE(""RUBKZT"")*H120)"),385013)</f>
        <v>385013</v>
      </c>
      <c r="J120" s="26">
        <f ca="1">IFERROR(__xludf.DUMMYFUNCTION("ROUND(I120*GOOGLEFINANCE(""KZTEUR""))"),806)</f>
        <v>806</v>
      </c>
      <c r="K120" s="26">
        <f t="shared" ca="1" si="1"/>
        <v>3875</v>
      </c>
      <c r="L120" s="26">
        <f t="shared" ca="1" si="2"/>
        <v>736.25</v>
      </c>
      <c r="M120" s="26">
        <f t="shared" ref="M120:N120" si="121">M$3</f>
        <v>500</v>
      </c>
      <c r="N120" s="26">
        <f t="shared" si="121"/>
        <v>500</v>
      </c>
      <c r="O120" s="26">
        <f ca="1">IFERROR(__xludf.DUMMYFUNCTION("ROUND(GOOGLEFINANCE(""Currency:EURKZT"")*K120)"),1850582)</f>
        <v>1850582</v>
      </c>
      <c r="P120" s="26">
        <f ca="1">IFERROR(__xludf.DUMMYFUNCTION("ROUND(GOOGLEFINANCE(""Currency:EURKZT"")*M120)"),238785)</f>
        <v>238785</v>
      </c>
      <c r="Q120" s="26">
        <f ca="1">IFERROR(__xludf.DUMMYFUNCTION("ROUND(GOOGLEFINANCE(""Currency:EURKZT"")*N120)"),238785)</f>
        <v>238785</v>
      </c>
      <c r="R120" s="26">
        <f t="shared" ca="1" si="4"/>
        <v>222070</v>
      </c>
      <c r="S120" s="26">
        <f t="shared" ca="1" si="5"/>
        <v>2550222</v>
      </c>
      <c r="T120" s="26">
        <f ca="1">IFERROR(__xludf.DUMMYFUNCTION("ROUND(GOOGLEFINANCE(""Currency:EURKZT"")*L120+S120)"),2901833)</f>
        <v>2901833</v>
      </c>
      <c r="U120" s="26">
        <f ca="1">IFERROR(__xludf.DUMMYFUNCTION("D120*GOOGLEFINANCE(""RUBKZT"")*1000/F120"),3365494.33154573)</f>
        <v>3365494.3315457301</v>
      </c>
      <c r="V120" s="27">
        <f t="shared" ca="1" si="6"/>
        <v>0.15978222438911202</v>
      </c>
    </row>
    <row r="121" spans="1:22" ht="12.75" customHeight="1" x14ac:dyDescent="0.2">
      <c r="A121" s="6" t="s">
        <v>179</v>
      </c>
      <c r="B121" s="6" t="s">
        <v>15</v>
      </c>
      <c r="C121" s="7">
        <v>146193</v>
      </c>
      <c r="D121" s="8">
        <v>120126</v>
      </c>
      <c r="E121" s="9" t="s">
        <v>16</v>
      </c>
      <c r="F121" s="36">
        <v>208</v>
      </c>
      <c r="G121" s="25"/>
      <c r="H121" s="14">
        <f t="shared" si="0"/>
        <v>0.55000000000000004</v>
      </c>
      <c r="I121" s="25">
        <f ca="1">IFERROR(__xludf.DUMMYFUNCTION("ROUND(D121*GOOGLEFINANCE(""RUBKZT"")*H121)"),515573)</f>
        <v>515573</v>
      </c>
      <c r="J121" s="26">
        <f ca="1">IFERROR(__xludf.DUMMYFUNCTION("ROUND(I121*GOOGLEFINANCE(""KZTEUR""))"),1080)</f>
        <v>1080</v>
      </c>
      <c r="K121" s="26">
        <f t="shared" ca="1" si="1"/>
        <v>5192</v>
      </c>
      <c r="L121" s="26">
        <f t="shared" ca="1" si="2"/>
        <v>986.48</v>
      </c>
      <c r="M121" s="26">
        <f t="shared" ref="M121:N121" si="122">M$3</f>
        <v>500</v>
      </c>
      <c r="N121" s="26">
        <f t="shared" si="122"/>
        <v>500</v>
      </c>
      <c r="O121" s="26">
        <f ca="1">IFERROR(__xludf.DUMMYFUNCTION("ROUND(GOOGLEFINANCE(""Currency:EURKZT"")*K121)"),2479541)</f>
        <v>2479541</v>
      </c>
      <c r="P121" s="26">
        <f ca="1">IFERROR(__xludf.DUMMYFUNCTION("ROUND(GOOGLEFINANCE(""Currency:EURKZT"")*M121)"),238785)</f>
        <v>238785</v>
      </c>
      <c r="Q121" s="26">
        <f ca="1">IFERROR(__xludf.DUMMYFUNCTION("ROUND(GOOGLEFINANCE(""Currency:EURKZT"")*N121)"),238785)</f>
        <v>238785</v>
      </c>
      <c r="R121" s="26">
        <f t="shared" ca="1" si="4"/>
        <v>297545</v>
      </c>
      <c r="S121" s="26">
        <f t="shared" ca="1" si="5"/>
        <v>3254656</v>
      </c>
      <c r="T121" s="26">
        <f ca="1">IFERROR(__xludf.DUMMYFUNCTION("ROUND(GOOGLEFINANCE(""Currency:EURKZT"")*L121+S121)"),3725769)</f>
        <v>3725769</v>
      </c>
      <c r="U121" s="26">
        <f ca="1">IFERROR(__xludf.DUMMYFUNCTION("D121*GOOGLEFINANCE(""RUBKZT"")*1000/F121"),4506759.54865073)</f>
        <v>4506759.5486507304</v>
      </c>
      <c r="V121" s="27">
        <f t="shared" ca="1" si="6"/>
        <v>0.20961861796872819</v>
      </c>
    </row>
    <row r="122" spans="1:22" ht="12.75" customHeight="1" x14ac:dyDescent="0.2">
      <c r="A122" s="6" t="s">
        <v>181</v>
      </c>
      <c r="B122" s="6" t="s">
        <v>15</v>
      </c>
      <c r="C122" s="7">
        <v>147627</v>
      </c>
      <c r="D122" s="8">
        <v>87560.4</v>
      </c>
      <c r="E122" s="9" t="s">
        <v>16</v>
      </c>
      <c r="F122" s="36">
        <v>208</v>
      </c>
      <c r="G122" s="25"/>
      <c r="H122" s="14">
        <f t="shared" si="0"/>
        <v>0.55000000000000004</v>
      </c>
      <c r="I122" s="25">
        <f ca="1">IFERROR(__xludf.DUMMYFUNCTION("ROUND(D122*GOOGLEFINANCE(""RUBKZT"")*H122)"),375804)</f>
        <v>375804</v>
      </c>
      <c r="J122" s="26">
        <f ca="1">IFERROR(__xludf.DUMMYFUNCTION("ROUND(I122*GOOGLEFINANCE(""KZTEUR""))"),787)</f>
        <v>787</v>
      </c>
      <c r="K122" s="26">
        <f t="shared" ca="1" si="1"/>
        <v>3784</v>
      </c>
      <c r="L122" s="26">
        <f t="shared" ca="1" si="2"/>
        <v>718.96</v>
      </c>
      <c r="M122" s="26">
        <f t="shared" ref="M122:N122" si="123">M$3</f>
        <v>500</v>
      </c>
      <c r="N122" s="26">
        <f t="shared" si="123"/>
        <v>500</v>
      </c>
      <c r="O122" s="26">
        <f ca="1">IFERROR(__xludf.DUMMYFUNCTION("ROUND(GOOGLEFINANCE(""Currency:EURKZT"")*K122)"),1807123)</f>
        <v>1807123</v>
      </c>
      <c r="P122" s="26">
        <f ca="1">IFERROR(__xludf.DUMMYFUNCTION("ROUND(GOOGLEFINANCE(""Currency:EURKZT"")*M122)"),238785)</f>
        <v>238785</v>
      </c>
      <c r="Q122" s="26">
        <f ca="1">IFERROR(__xludf.DUMMYFUNCTION("ROUND(GOOGLEFINANCE(""Currency:EURKZT"")*N122)"),238785)</f>
        <v>238785</v>
      </c>
      <c r="R122" s="26">
        <f t="shared" ca="1" si="4"/>
        <v>216855</v>
      </c>
      <c r="S122" s="26">
        <f t="shared" ca="1" si="5"/>
        <v>2501548</v>
      </c>
      <c r="T122" s="26">
        <f ca="1">IFERROR(__xludf.DUMMYFUNCTION("ROUND(GOOGLEFINANCE(""Currency:EURKZT"")*L122+S122)"),2844901)</f>
        <v>2844901</v>
      </c>
      <c r="U122" s="26">
        <f ca="1">IFERROR(__xludf.DUMMYFUNCTION("D122*GOOGLEFINANCE(""RUBKZT"")*1000/F122"),3284997.9919724)</f>
        <v>3284997.9919723999</v>
      </c>
      <c r="V122" s="27">
        <f t="shared" ca="1" si="6"/>
        <v>0.15469676870035193</v>
      </c>
    </row>
    <row r="123" spans="1:22" ht="12.75" customHeight="1" x14ac:dyDescent="0.2">
      <c r="A123" s="6" t="s">
        <v>187</v>
      </c>
      <c r="B123" s="6" t="s">
        <v>15</v>
      </c>
      <c r="C123" s="7">
        <v>148005</v>
      </c>
      <c r="D123" s="8">
        <v>103201.2</v>
      </c>
      <c r="E123" s="9" t="s">
        <v>16</v>
      </c>
      <c r="F123" s="36">
        <v>208</v>
      </c>
      <c r="G123" s="25"/>
      <c r="H123" s="14">
        <f t="shared" si="0"/>
        <v>0.55000000000000004</v>
      </c>
      <c r="I123" s="25">
        <f ca="1">IFERROR(__xludf.DUMMYFUNCTION("ROUND(D123*GOOGLEFINANCE(""RUBKZT"")*H123)"),442933)</f>
        <v>442933</v>
      </c>
      <c r="J123" s="26">
        <f ca="1">IFERROR(__xludf.DUMMYFUNCTION("ROUND(I123*GOOGLEFINANCE(""KZTEUR""))"),928)</f>
        <v>928</v>
      </c>
      <c r="K123" s="26">
        <f t="shared" ca="1" si="1"/>
        <v>4462</v>
      </c>
      <c r="L123" s="26">
        <f t="shared" ca="1" si="2"/>
        <v>847.78</v>
      </c>
      <c r="M123" s="26">
        <f t="shared" ref="M123:N123" si="124">M$3</f>
        <v>500</v>
      </c>
      <c r="N123" s="26">
        <f t="shared" si="124"/>
        <v>500</v>
      </c>
      <c r="O123" s="26">
        <f ca="1">IFERROR(__xludf.DUMMYFUNCTION("ROUND(GOOGLEFINANCE(""Currency:EURKZT"")*K123)"),2130916)</f>
        <v>2130916</v>
      </c>
      <c r="P123" s="26">
        <f ca="1">IFERROR(__xludf.DUMMYFUNCTION("ROUND(GOOGLEFINANCE(""Currency:EURKZT"")*M123)"),238785)</f>
        <v>238785</v>
      </c>
      <c r="Q123" s="26">
        <f ca="1">IFERROR(__xludf.DUMMYFUNCTION("ROUND(GOOGLEFINANCE(""Currency:EURKZT"")*N123)"),238785)</f>
        <v>238785</v>
      </c>
      <c r="R123" s="26">
        <f t="shared" ca="1" si="4"/>
        <v>255710</v>
      </c>
      <c r="S123" s="26">
        <f t="shared" ca="1" si="5"/>
        <v>2864196</v>
      </c>
      <c r="T123" s="26">
        <f ca="1">IFERROR(__xludf.DUMMYFUNCTION("ROUND(GOOGLEFINANCE(""Currency:EURKZT"")*L123+S123)"),3269070)</f>
        <v>3269070</v>
      </c>
      <c r="U123" s="26">
        <f ca="1">IFERROR(__xludf.DUMMYFUNCTION("D123*GOOGLEFINANCE(""RUBKZT"")*1000/F123"),3871792.89689337)</f>
        <v>3871792.89689337</v>
      </c>
      <c r="V123" s="27">
        <f t="shared" ca="1" si="6"/>
        <v>0.18437136460625497</v>
      </c>
    </row>
    <row r="124" spans="1:22" ht="12.75" customHeight="1" x14ac:dyDescent="0.2">
      <c r="A124" s="6" t="s">
        <v>188</v>
      </c>
      <c r="B124" s="6" t="s">
        <v>15</v>
      </c>
      <c r="C124" s="7">
        <v>148014</v>
      </c>
      <c r="D124" s="8">
        <v>81262.8</v>
      </c>
      <c r="E124" s="9" t="s">
        <v>16</v>
      </c>
      <c r="F124" s="36">
        <v>208</v>
      </c>
      <c r="G124" s="25"/>
      <c r="H124" s="14">
        <f t="shared" si="0"/>
        <v>0.55000000000000004</v>
      </c>
      <c r="I124" s="25">
        <f ca="1">IFERROR(__xludf.DUMMYFUNCTION("ROUND(D124*GOOGLEFINANCE(""RUBKZT"")*H124)"),348775)</f>
        <v>348775</v>
      </c>
      <c r="J124" s="26">
        <f ca="1">IFERROR(__xludf.DUMMYFUNCTION("ROUND(I124*GOOGLEFINANCE(""KZTEUR""))"),730)</f>
        <v>730</v>
      </c>
      <c r="K124" s="26">
        <f t="shared" ca="1" si="1"/>
        <v>3510</v>
      </c>
      <c r="L124" s="26">
        <f t="shared" ca="1" si="2"/>
        <v>666.9</v>
      </c>
      <c r="M124" s="26">
        <f t="shared" ref="M124:N124" si="125">M$3</f>
        <v>500</v>
      </c>
      <c r="N124" s="26">
        <f t="shared" si="125"/>
        <v>500</v>
      </c>
      <c r="O124" s="26">
        <f ca="1">IFERROR(__xludf.DUMMYFUNCTION("ROUND(GOOGLEFINANCE(""Currency:EURKZT"")*K124)"),1676269)</f>
        <v>1676269</v>
      </c>
      <c r="P124" s="26">
        <f ca="1">IFERROR(__xludf.DUMMYFUNCTION("ROUND(GOOGLEFINANCE(""Currency:EURKZT"")*M124)"),238785)</f>
        <v>238785</v>
      </c>
      <c r="Q124" s="26">
        <f ca="1">IFERROR(__xludf.DUMMYFUNCTION("ROUND(GOOGLEFINANCE(""Currency:EURKZT"")*N124)"),238785)</f>
        <v>238785</v>
      </c>
      <c r="R124" s="26">
        <f t="shared" ca="1" si="4"/>
        <v>201152</v>
      </c>
      <c r="S124" s="26">
        <f t="shared" ca="1" si="5"/>
        <v>2354991</v>
      </c>
      <c r="T124" s="26">
        <f ca="1">IFERROR(__xludf.DUMMYFUNCTION("ROUND(GOOGLEFINANCE(""Currency:EURKZT"")*L124+S124)"),2673482)</f>
        <v>2673482</v>
      </c>
      <c r="U124" s="26">
        <f ca="1">IFERROR(__xludf.DUMMYFUNCTION("D124*GOOGLEFINANCE(""RUBKZT"")*1000/F124"),3048731.33085339)</f>
        <v>3048731.33085339</v>
      </c>
      <c r="V124" s="27">
        <f t="shared" ca="1" si="6"/>
        <v>0.14035977457614829</v>
      </c>
    </row>
    <row r="125" spans="1:22" ht="12.75" customHeight="1" x14ac:dyDescent="0.2">
      <c r="A125" s="6" t="s">
        <v>189</v>
      </c>
      <c r="B125" s="6" t="s">
        <v>15</v>
      </c>
      <c r="C125" s="7">
        <v>148017</v>
      </c>
      <c r="D125" s="8">
        <v>101928</v>
      </c>
      <c r="E125" s="9" t="s">
        <v>16</v>
      </c>
      <c r="F125" s="36">
        <v>208</v>
      </c>
      <c r="G125" s="25"/>
      <c r="H125" s="14">
        <f t="shared" si="0"/>
        <v>0.55000000000000004</v>
      </c>
      <c r="I125" s="25">
        <f ca="1">IFERROR(__xludf.DUMMYFUNCTION("ROUND(D125*GOOGLEFINANCE(""RUBKZT"")*H125)"),437469)</f>
        <v>437469</v>
      </c>
      <c r="J125" s="26">
        <f ca="1">IFERROR(__xludf.DUMMYFUNCTION("ROUND(I125*GOOGLEFINANCE(""KZTEUR""))"),916)</f>
        <v>916</v>
      </c>
      <c r="K125" s="26">
        <f t="shared" ca="1" si="1"/>
        <v>4404</v>
      </c>
      <c r="L125" s="26">
        <f t="shared" ca="1" si="2"/>
        <v>836.76</v>
      </c>
      <c r="M125" s="26">
        <f t="shared" ref="M125:N125" si="126">M$3</f>
        <v>500</v>
      </c>
      <c r="N125" s="26">
        <f t="shared" si="126"/>
        <v>500</v>
      </c>
      <c r="O125" s="26">
        <f ca="1">IFERROR(__xludf.DUMMYFUNCTION("ROUND(GOOGLEFINANCE(""Currency:EURKZT"")*K125)"),2103217)</f>
        <v>2103217</v>
      </c>
      <c r="P125" s="26">
        <f ca="1">IFERROR(__xludf.DUMMYFUNCTION("ROUND(GOOGLEFINANCE(""Currency:EURKZT"")*M125)"),238785)</f>
        <v>238785</v>
      </c>
      <c r="Q125" s="26">
        <f ca="1">IFERROR(__xludf.DUMMYFUNCTION("ROUND(GOOGLEFINANCE(""Currency:EURKZT"")*N125)"),238785)</f>
        <v>238785</v>
      </c>
      <c r="R125" s="26">
        <f t="shared" ca="1" si="4"/>
        <v>252386</v>
      </c>
      <c r="S125" s="26">
        <f t="shared" ca="1" si="5"/>
        <v>2833173</v>
      </c>
      <c r="T125" s="26">
        <f ca="1">IFERROR(__xludf.DUMMYFUNCTION("ROUND(GOOGLEFINANCE(""Currency:EURKZT"")*L125+S125)"),3232784)</f>
        <v>3232784</v>
      </c>
      <c r="U125" s="26">
        <f ca="1">IFERROR(__xludf.DUMMYFUNCTION("D125*GOOGLEFINANCE(""RUBKZT"")*1000/F125"),3824026.3329743)</f>
        <v>3824026.3329742998</v>
      </c>
      <c r="V125" s="27">
        <f t="shared" ca="1" si="6"/>
        <v>0.18288952586201238</v>
      </c>
    </row>
    <row r="126" spans="1:22" ht="12.75" customHeight="1" x14ac:dyDescent="0.2">
      <c r="A126" s="6" t="s">
        <v>190</v>
      </c>
      <c r="B126" s="6" t="s">
        <v>15</v>
      </c>
      <c r="C126" s="7">
        <v>148018</v>
      </c>
      <c r="D126" s="8">
        <v>77042.399999999994</v>
      </c>
      <c r="E126" s="9" t="s">
        <v>16</v>
      </c>
      <c r="F126" s="36">
        <v>208</v>
      </c>
      <c r="G126" s="25"/>
      <c r="H126" s="14">
        <f t="shared" si="0"/>
        <v>0.55000000000000004</v>
      </c>
      <c r="I126" s="25">
        <f ca="1">IFERROR(__xludf.DUMMYFUNCTION("ROUND(D126*GOOGLEFINANCE(""RUBKZT"")*H126)"),330661)</f>
        <v>330661</v>
      </c>
      <c r="J126" s="26">
        <f ca="1">IFERROR(__xludf.DUMMYFUNCTION("ROUND(I126*GOOGLEFINANCE(""KZTEUR""))"),693)</f>
        <v>693</v>
      </c>
      <c r="K126" s="26">
        <f t="shared" ca="1" si="1"/>
        <v>3332</v>
      </c>
      <c r="L126" s="26">
        <f t="shared" ca="1" si="2"/>
        <v>633.08000000000004</v>
      </c>
      <c r="M126" s="26">
        <f t="shared" ref="M126:N126" si="127">M$3</f>
        <v>500</v>
      </c>
      <c r="N126" s="26">
        <f t="shared" si="127"/>
        <v>500</v>
      </c>
      <c r="O126" s="26">
        <f ca="1">IFERROR(__xludf.DUMMYFUNCTION("ROUND(GOOGLEFINANCE(""Currency:EURKZT"")*K126)"),1591262)</f>
        <v>1591262</v>
      </c>
      <c r="P126" s="26">
        <f ca="1">IFERROR(__xludf.DUMMYFUNCTION("ROUND(GOOGLEFINANCE(""Currency:EURKZT"")*M126)"),238785)</f>
        <v>238785</v>
      </c>
      <c r="Q126" s="26">
        <f ca="1">IFERROR(__xludf.DUMMYFUNCTION("ROUND(GOOGLEFINANCE(""Currency:EURKZT"")*N126)"),238785)</f>
        <v>238785</v>
      </c>
      <c r="R126" s="26">
        <f t="shared" ca="1" si="4"/>
        <v>190951</v>
      </c>
      <c r="S126" s="26">
        <f t="shared" ca="1" si="5"/>
        <v>2259783</v>
      </c>
      <c r="T126" s="26">
        <f ca="1">IFERROR(__xludf.DUMMYFUNCTION("ROUND(GOOGLEFINANCE(""Currency:EURKZT"")*L126+S126)"),2562123)</f>
        <v>2562123</v>
      </c>
      <c r="U126" s="26">
        <f ca="1">IFERROR(__xludf.DUMMYFUNCTION("D126*GOOGLEFINANCE(""RUBKZT"")*1000/F126"),2890394.85083136)</f>
        <v>2890394.8508313601</v>
      </c>
      <c r="V126" s="27">
        <f t="shared" ca="1" si="6"/>
        <v>0.12812493812020737</v>
      </c>
    </row>
    <row r="127" spans="1:22" ht="12.75" customHeight="1" x14ac:dyDescent="0.2">
      <c r="A127" s="6" t="s">
        <v>191</v>
      </c>
      <c r="B127" s="6" t="s">
        <v>15</v>
      </c>
      <c r="C127" s="7">
        <v>148019</v>
      </c>
      <c r="D127" s="8">
        <v>140757.6</v>
      </c>
      <c r="E127" s="9" t="s">
        <v>16</v>
      </c>
      <c r="F127" s="36">
        <v>208</v>
      </c>
      <c r="G127" s="25"/>
      <c r="H127" s="14">
        <f t="shared" si="0"/>
        <v>0.55000000000000004</v>
      </c>
      <c r="I127" s="25">
        <f ca="1">IFERROR(__xludf.DUMMYFUNCTION("ROUND(D127*GOOGLEFINANCE(""RUBKZT"")*H127)"),604123)</f>
        <v>604123</v>
      </c>
      <c r="J127" s="26">
        <f ca="1">IFERROR(__xludf.DUMMYFUNCTION("ROUND(I127*GOOGLEFINANCE(""KZTEUR""))"),1265)</f>
        <v>1265</v>
      </c>
      <c r="K127" s="26">
        <f t="shared" ca="1" si="1"/>
        <v>6082</v>
      </c>
      <c r="L127" s="26">
        <f t="shared" ca="1" si="2"/>
        <v>1155.58</v>
      </c>
      <c r="M127" s="26">
        <f t="shared" ref="M127:N127" si="128">M$3</f>
        <v>500</v>
      </c>
      <c r="N127" s="26">
        <f t="shared" si="128"/>
        <v>500</v>
      </c>
      <c r="O127" s="26">
        <f ca="1">IFERROR(__xludf.DUMMYFUNCTION("ROUND(GOOGLEFINANCE(""Currency:EURKZT"")*K127)"),2904578)</f>
        <v>2904578</v>
      </c>
      <c r="P127" s="26">
        <f ca="1">IFERROR(__xludf.DUMMYFUNCTION("ROUND(GOOGLEFINANCE(""Currency:EURKZT"")*M127)"),238785)</f>
        <v>238785</v>
      </c>
      <c r="Q127" s="26">
        <f ca="1">IFERROR(__xludf.DUMMYFUNCTION("ROUND(GOOGLEFINANCE(""Currency:EURKZT"")*N127)"),238785)</f>
        <v>238785</v>
      </c>
      <c r="R127" s="26">
        <f t="shared" ca="1" si="4"/>
        <v>348549</v>
      </c>
      <c r="S127" s="26">
        <f t="shared" ca="1" si="5"/>
        <v>3730697</v>
      </c>
      <c r="T127" s="26">
        <f ca="1">IFERROR(__xludf.DUMMYFUNCTION("ROUND(GOOGLEFINANCE(""Currency:EURKZT"")*L127+S127)"),4282567)</f>
        <v>4282567</v>
      </c>
      <c r="U127" s="26">
        <f ca="1">IFERROR(__xludf.DUMMYFUNCTION("D127*GOOGLEFINANCE(""RUBKZT"")*1000/F127"),5280793.98169555)</f>
        <v>5280793.9816955496</v>
      </c>
      <c r="V127" s="27">
        <f t="shared" ca="1" si="6"/>
        <v>0.23309080317845571</v>
      </c>
    </row>
    <row r="128" spans="1:22" ht="12.75" customHeight="1" x14ac:dyDescent="0.2">
      <c r="A128" s="6" t="s">
        <v>192</v>
      </c>
      <c r="B128" s="6" t="s">
        <v>15</v>
      </c>
      <c r="C128" s="7">
        <v>148020</v>
      </c>
      <c r="D128" s="8">
        <v>71968.800000000003</v>
      </c>
      <c r="E128" s="9" t="s">
        <v>16</v>
      </c>
      <c r="F128" s="36">
        <v>208</v>
      </c>
      <c r="G128" s="25"/>
      <c r="H128" s="14">
        <f t="shared" si="0"/>
        <v>0.55000000000000004</v>
      </c>
      <c r="I128" s="25">
        <f ca="1">IFERROR(__xludf.DUMMYFUNCTION("ROUND(D128*GOOGLEFINANCE(""RUBKZT"")*H128)"),308886)</f>
        <v>308886</v>
      </c>
      <c r="J128" s="26">
        <f ca="1">IFERROR(__xludf.DUMMYFUNCTION("ROUND(I128*GOOGLEFINANCE(""KZTEUR""))"),647)</f>
        <v>647</v>
      </c>
      <c r="K128" s="26">
        <f t="shared" ca="1" si="1"/>
        <v>3111</v>
      </c>
      <c r="L128" s="26">
        <f t="shared" ca="1" si="2"/>
        <v>591.09</v>
      </c>
      <c r="M128" s="26">
        <f t="shared" ref="M128:N128" si="129">M$3</f>
        <v>500</v>
      </c>
      <c r="N128" s="26">
        <f t="shared" si="129"/>
        <v>500</v>
      </c>
      <c r="O128" s="26">
        <f ca="1">IFERROR(__xludf.DUMMYFUNCTION("ROUND(GOOGLEFINANCE(""Currency:EURKZT"")*K128)"),1485719)</f>
        <v>1485719</v>
      </c>
      <c r="P128" s="26">
        <f ca="1">IFERROR(__xludf.DUMMYFUNCTION("ROUND(GOOGLEFINANCE(""Currency:EURKZT"")*M128)"),238785)</f>
        <v>238785</v>
      </c>
      <c r="Q128" s="26">
        <f ca="1">IFERROR(__xludf.DUMMYFUNCTION("ROUND(GOOGLEFINANCE(""Currency:EURKZT"")*N128)"),238785)</f>
        <v>238785</v>
      </c>
      <c r="R128" s="26">
        <f t="shared" ca="1" si="4"/>
        <v>178286</v>
      </c>
      <c r="S128" s="26">
        <f t="shared" ca="1" si="5"/>
        <v>2141575</v>
      </c>
      <c r="T128" s="26">
        <f ca="1">IFERROR(__xludf.DUMMYFUNCTION("ROUND(GOOGLEFINANCE(""Currency:EURKZT"")*L128+S128)"),2423862)</f>
        <v>2423862</v>
      </c>
      <c r="U128" s="26">
        <f ca="1">IFERROR(__xludf.DUMMYFUNCTION("D128*GOOGLEFINANCE(""RUBKZT"")*1000/F128"),2700048.92034143)</f>
        <v>2700048.9203414302</v>
      </c>
      <c r="V128" s="27">
        <f t="shared" ca="1" si="6"/>
        <v>0.11394498545768292</v>
      </c>
    </row>
    <row r="129" spans="1:22" ht="12.75" customHeight="1" x14ac:dyDescent="0.2">
      <c r="A129" s="6" t="s">
        <v>193</v>
      </c>
      <c r="B129" s="6" t="s">
        <v>15</v>
      </c>
      <c r="C129" s="7">
        <v>148022</v>
      </c>
      <c r="D129" s="8">
        <v>77316</v>
      </c>
      <c r="E129" s="9" t="s">
        <v>16</v>
      </c>
      <c r="F129" s="36">
        <v>208</v>
      </c>
      <c r="G129" s="25"/>
      <c r="H129" s="14">
        <f t="shared" si="0"/>
        <v>0.55000000000000004</v>
      </c>
      <c r="I129" s="25">
        <f ca="1">IFERROR(__xludf.DUMMYFUNCTION("ROUND(D129*GOOGLEFINANCE(""RUBKZT"")*H129)"),331835)</f>
        <v>331835</v>
      </c>
      <c r="J129" s="26">
        <f ca="1">IFERROR(__xludf.DUMMYFUNCTION("ROUND(I129*GOOGLEFINANCE(""KZTEUR""))"),695)</f>
        <v>695</v>
      </c>
      <c r="K129" s="26">
        <f t="shared" ca="1" si="1"/>
        <v>3341</v>
      </c>
      <c r="L129" s="26">
        <f t="shared" ca="1" si="2"/>
        <v>634.79</v>
      </c>
      <c r="M129" s="26">
        <f t="shared" ref="M129:N129" si="130">M$3</f>
        <v>500</v>
      </c>
      <c r="N129" s="26">
        <f t="shared" si="130"/>
        <v>500</v>
      </c>
      <c r="O129" s="26">
        <f ca="1">IFERROR(__xludf.DUMMYFUNCTION("ROUND(GOOGLEFINANCE(""Currency:EURKZT"")*K129)"),1595560)</f>
        <v>1595560</v>
      </c>
      <c r="P129" s="26">
        <f ca="1">IFERROR(__xludf.DUMMYFUNCTION("ROUND(GOOGLEFINANCE(""Currency:EURKZT"")*M129)"),238785)</f>
        <v>238785</v>
      </c>
      <c r="Q129" s="26">
        <f ca="1">IFERROR(__xludf.DUMMYFUNCTION("ROUND(GOOGLEFINANCE(""Currency:EURKZT"")*N129)"),238785)</f>
        <v>238785</v>
      </c>
      <c r="R129" s="26">
        <f t="shared" ca="1" si="4"/>
        <v>191467</v>
      </c>
      <c r="S129" s="26">
        <f t="shared" ca="1" si="5"/>
        <v>2264597</v>
      </c>
      <c r="T129" s="26">
        <f ca="1">IFERROR(__xludf.DUMMYFUNCTION("ROUND(GOOGLEFINANCE(""Currency:EURKZT"")*L129+S129)"),2567753)</f>
        <v>2567753</v>
      </c>
      <c r="U129" s="26">
        <f ca="1">IFERROR(__xludf.DUMMYFUNCTION("D129*GOOGLEFINANCE(""RUBKZT"")*1000/F129"),2900659.48473669)</f>
        <v>2900659.4847366898</v>
      </c>
      <c r="V129" s="27">
        <f t="shared" ca="1" si="6"/>
        <v>0.12964895172420784</v>
      </c>
    </row>
    <row r="130" spans="1:22" ht="12.75" customHeight="1" x14ac:dyDescent="0.2">
      <c r="A130" s="6" t="s">
        <v>194</v>
      </c>
      <c r="B130" s="6" t="s">
        <v>15</v>
      </c>
      <c r="C130" s="7">
        <v>148070</v>
      </c>
      <c r="D130" s="8">
        <v>138856.79999999999</v>
      </c>
      <c r="E130" s="9" t="s">
        <v>16</v>
      </c>
      <c r="F130" s="36">
        <v>208</v>
      </c>
      <c r="G130" s="25"/>
      <c r="H130" s="14">
        <f t="shared" si="0"/>
        <v>0.55000000000000004</v>
      </c>
      <c r="I130" s="25">
        <f ca="1">IFERROR(__xludf.DUMMYFUNCTION("ROUND(D130*GOOGLEFINANCE(""RUBKZT"")*H130)"),595965)</f>
        <v>595965</v>
      </c>
      <c r="J130" s="26">
        <f ca="1">IFERROR(__xludf.DUMMYFUNCTION("ROUND(I130*GOOGLEFINANCE(""KZTEUR""))"),1248)</f>
        <v>1248</v>
      </c>
      <c r="K130" s="26">
        <f t="shared" ca="1" si="1"/>
        <v>6000</v>
      </c>
      <c r="L130" s="26">
        <f t="shared" ca="1" si="2"/>
        <v>1140</v>
      </c>
      <c r="M130" s="26">
        <f t="shared" ref="M130:N130" si="131">M$3</f>
        <v>500</v>
      </c>
      <c r="N130" s="26">
        <f t="shared" si="131"/>
        <v>500</v>
      </c>
      <c r="O130" s="26">
        <f ca="1">IFERROR(__xludf.DUMMYFUNCTION("ROUND(GOOGLEFINANCE(""Currency:EURKZT"")*K130)"),2865418)</f>
        <v>2865418</v>
      </c>
      <c r="P130" s="26">
        <f ca="1">IFERROR(__xludf.DUMMYFUNCTION("ROUND(GOOGLEFINANCE(""Currency:EURKZT"")*M130)"),238785)</f>
        <v>238785</v>
      </c>
      <c r="Q130" s="26">
        <f ca="1">IFERROR(__xludf.DUMMYFUNCTION("ROUND(GOOGLEFINANCE(""Currency:EURKZT"")*N130)"),238785)</f>
        <v>238785</v>
      </c>
      <c r="R130" s="26">
        <f t="shared" ca="1" si="4"/>
        <v>343850</v>
      </c>
      <c r="S130" s="26">
        <f t="shared" ca="1" si="5"/>
        <v>3686838</v>
      </c>
      <c r="T130" s="26">
        <f ca="1">IFERROR(__xludf.DUMMYFUNCTION("ROUND(GOOGLEFINANCE(""Currency:EURKZT"")*L130+S130)"),4231267)</f>
        <v>4231267</v>
      </c>
      <c r="U130" s="26">
        <f ca="1">IFERROR(__xludf.DUMMYFUNCTION("D130*GOOGLEFINANCE(""RUBKZT"")*1000/F130"),5209481.78824804)</f>
        <v>5209481.7882480398</v>
      </c>
      <c r="V130" s="27">
        <f t="shared" ca="1" si="6"/>
        <v>0.23118720426955797</v>
      </c>
    </row>
    <row r="131" spans="1:22" ht="12.75" customHeight="1" x14ac:dyDescent="0.2">
      <c r="A131" s="6" t="s">
        <v>195</v>
      </c>
      <c r="B131" s="6" t="s">
        <v>15</v>
      </c>
      <c r="C131" s="7">
        <v>148073</v>
      </c>
      <c r="D131" s="8">
        <v>118388.4</v>
      </c>
      <c r="E131" s="9" t="s">
        <v>16</v>
      </c>
      <c r="F131" s="36">
        <v>208</v>
      </c>
      <c r="G131" s="25"/>
      <c r="H131" s="14">
        <f t="shared" si="0"/>
        <v>0.55000000000000004</v>
      </c>
      <c r="I131" s="25">
        <f ca="1">IFERROR(__xludf.DUMMYFUNCTION("ROUND(D131*GOOGLEFINANCE(""RUBKZT"")*H131)"),508116)</f>
        <v>508116</v>
      </c>
      <c r="J131" s="26">
        <f ca="1">IFERROR(__xludf.DUMMYFUNCTION("ROUND(I131*GOOGLEFINANCE(""KZTEUR""))"),1064)</f>
        <v>1064</v>
      </c>
      <c r="K131" s="26">
        <f t="shared" ca="1" si="1"/>
        <v>5115</v>
      </c>
      <c r="L131" s="26">
        <f t="shared" ca="1" si="2"/>
        <v>971.85</v>
      </c>
      <c r="M131" s="26">
        <f t="shared" ref="M131:N131" si="132">M$3</f>
        <v>500</v>
      </c>
      <c r="N131" s="26">
        <f t="shared" si="132"/>
        <v>500</v>
      </c>
      <c r="O131" s="26">
        <f ca="1">IFERROR(__xludf.DUMMYFUNCTION("ROUND(GOOGLEFINANCE(""Currency:EURKZT"")*K131)"),2442769)</f>
        <v>2442769</v>
      </c>
      <c r="P131" s="26">
        <f ca="1">IFERROR(__xludf.DUMMYFUNCTION("ROUND(GOOGLEFINANCE(""Currency:EURKZT"")*M131)"),238785)</f>
        <v>238785</v>
      </c>
      <c r="Q131" s="26">
        <f ca="1">IFERROR(__xludf.DUMMYFUNCTION("ROUND(GOOGLEFINANCE(""Currency:EURKZT"")*N131)"),238785)</f>
        <v>238785</v>
      </c>
      <c r="R131" s="26">
        <f t="shared" ca="1" si="4"/>
        <v>293132</v>
      </c>
      <c r="S131" s="26">
        <f t="shared" ca="1" si="5"/>
        <v>3213471</v>
      </c>
      <c r="T131" s="26">
        <f ca="1">IFERROR(__xludf.DUMMYFUNCTION("ROUND(GOOGLEFINANCE(""Currency:EURKZT"")*L131+S131)"),3677597)</f>
        <v>3677597</v>
      </c>
      <c r="U131" s="26">
        <f ca="1">IFERROR(__xludf.DUMMYFUNCTION("D131*GOOGLEFINANCE(""RUBKZT"")*1000/F131"),4441570.1192871)</f>
        <v>4441570.1192870997</v>
      </c>
      <c r="V131" s="27">
        <f t="shared" ca="1" si="6"/>
        <v>0.20773704114047833</v>
      </c>
    </row>
    <row r="132" spans="1:22" ht="12.75" customHeight="1" x14ac:dyDescent="0.2">
      <c r="A132" s="6" t="s">
        <v>198</v>
      </c>
      <c r="B132" s="6" t="s">
        <v>15</v>
      </c>
      <c r="C132" s="7">
        <v>150050</v>
      </c>
      <c r="D132" s="8">
        <v>58870.799999999996</v>
      </c>
      <c r="E132" s="9" t="s">
        <v>16</v>
      </c>
      <c r="F132" s="36">
        <v>208</v>
      </c>
      <c r="G132" s="25"/>
      <c r="H132" s="14">
        <f t="shared" si="0"/>
        <v>0.55000000000000004</v>
      </c>
      <c r="I132" s="25">
        <f ca="1">IFERROR(__xludf.DUMMYFUNCTION("ROUND(D132*GOOGLEFINANCE(""RUBKZT"")*H132)"),252670)</f>
        <v>252670</v>
      </c>
      <c r="J132" s="26">
        <f ca="1">IFERROR(__xludf.DUMMYFUNCTION("ROUND(I132*GOOGLEFINANCE(""KZTEUR""))"),529)</f>
        <v>529</v>
      </c>
      <c r="K132" s="26">
        <f t="shared" ca="1" si="1"/>
        <v>2543</v>
      </c>
      <c r="L132" s="26">
        <f t="shared" ca="1" si="2"/>
        <v>483.17</v>
      </c>
      <c r="M132" s="26">
        <f t="shared" ref="M132:N132" si="133">M$3</f>
        <v>500</v>
      </c>
      <c r="N132" s="26">
        <f t="shared" si="133"/>
        <v>500</v>
      </c>
      <c r="O132" s="26">
        <f ca="1">IFERROR(__xludf.DUMMYFUNCTION("ROUND(GOOGLEFINANCE(""Currency:EURKZT"")*K132)"),1214460)</f>
        <v>1214460</v>
      </c>
      <c r="P132" s="26">
        <f ca="1">IFERROR(__xludf.DUMMYFUNCTION("ROUND(GOOGLEFINANCE(""Currency:EURKZT"")*M132)"),238785)</f>
        <v>238785</v>
      </c>
      <c r="Q132" s="26">
        <f ca="1">IFERROR(__xludf.DUMMYFUNCTION("ROUND(GOOGLEFINANCE(""Currency:EURKZT"")*N132)"),238785)</f>
        <v>238785</v>
      </c>
      <c r="R132" s="26">
        <f t="shared" ca="1" si="4"/>
        <v>145735</v>
      </c>
      <c r="S132" s="26">
        <f t="shared" ca="1" si="5"/>
        <v>1837765</v>
      </c>
      <c r="T132" s="26">
        <f ca="1">IFERROR(__xludf.DUMMYFUNCTION("ROUND(GOOGLEFINANCE(""Currency:EURKZT"")*L132+S132)"),2068512)</f>
        <v>2068512</v>
      </c>
      <c r="U132" s="26">
        <f ca="1">IFERROR(__xludf.DUMMYFUNCTION("D132*GOOGLEFINANCE(""RUBKZT"")*1000/F132"),2208652.08228616)</f>
        <v>2208652.08228616</v>
      </c>
      <c r="V132" s="27">
        <f t="shared" ca="1" si="6"/>
        <v>6.7749223734819994E-2</v>
      </c>
    </row>
    <row r="133" spans="1:22" ht="12.75" customHeight="1" x14ac:dyDescent="0.2">
      <c r="A133" s="6" t="s">
        <v>199</v>
      </c>
      <c r="B133" s="6" t="s">
        <v>15</v>
      </c>
      <c r="C133" s="7">
        <v>150841</v>
      </c>
      <c r="D133" s="8">
        <v>91968</v>
      </c>
      <c r="E133" s="9" t="s">
        <v>16</v>
      </c>
      <c r="F133" s="36">
        <v>208</v>
      </c>
      <c r="G133" s="25"/>
      <c r="H133" s="14">
        <f t="shared" si="0"/>
        <v>0.55000000000000004</v>
      </c>
      <c r="I133" s="25">
        <f ca="1">IFERROR(__xludf.DUMMYFUNCTION("ROUND(D133*GOOGLEFINANCE(""RUBKZT"")*H133)"),394721)</f>
        <v>394721</v>
      </c>
      <c r="J133" s="26">
        <f ca="1">IFERROR(__xludf.DUMMYFUNCTION("ROUND(I133*GOOGLEFINANCE(""KZTEUR""))"),827)</f>
        <v>827</v>
      </c>
      <c r="K133" s="26">
        <f t="shared" ca="1" si="1"/>
        <v>3976</v>
      </c>
      <c r="L133" s="26">
        <f t="shared" ca="1" si="2"/>
        <v>755.44</v>
      </c>
      <c r="M133" s="26">
        <f t="shared" ref="M133:N133" si="134">M$3</f>
        <v>500</v>
      </c>
      <c r="N133" s="26">
        <f t="shared" si="134"/>
        <v>500</v>
      </c>
      <c r="O133" s="26">
        <f ca="1">IFERROR(__xludf.DUMMYFUNCTION("ROUND(GOOGLEFINANCE(""Currency:EURKZT"")*K133)"),1898817)</f>
        <v>1898817</v>
      </c>
      <c r="P133" s="26">
        <f ca="1">IFERROR(__xludf.DUMMYFUNCTION("ROUND(GOOGLEFINANCE(""Currency:EURKZT"")*M133)"),238785)</f>
        <v>238785</v>
      </c>
      <c r="Q133" s="26">
        <f ca="1">IFERROR(__xludf.DUMMYFUNCTION("ROUND(GOOGLEFINANCE(""Currency:EURKZT"")*N133)"),238785)</f>
        <v>238785</v>
      </c>
      <c r="R133" s="26">
        <f t="shared" ca="1" si="4"/>
        <v>227858</v>
      </c>
      <c r="S133" s="26">
        <f t="shared" ca="1" si="5"/>
        <v>2604245</v>
      </c>
      <c r="T133" s="26">
        <f ca="1">IFERROR(__xludf.DUMMYFUNCTION("ROUND(GOOGLEFINANCE(""Currency:EURKZT"")*L133+S133)"),2965020)</f>
        <v>2965020</v>
      </c>
      <c r="U133" s="26">
        <f ca="1">IFERROR(__xludf.DUMMYFUNCTION("D133*GOOGLEFINANCE(""RUBKZT"")*1000/F133"),3450357.64256123)</f>
        <v>3450357.6425612299</v>
      </c>
      <c r="V133" s="27">
        <f t="shared" ca="1" si="6"/>
        <v>0.16368781409947653</v>
      </c>
    </row>
    <row r="134" spans="1:22" ht="12.75" customHeight="1" x14ac:dyDescent="0.2">
      <c r="A134" s="6" t="s">
        <v>200</v>
      </c>
      <c r="B134" s="6" t="s">
        <v>15</v>
      </c>
      <c r="C134" s="7">
        <v>150895</v>
      </c>
      <c r="D134" s="8">
        <v>96504</v>
      </c>
      <c r="E134" s="9" t="s">
        <v>16</v>
      </c>
      <c r="F134" s="36">
        <v>208</v>
      </c>
      <c r="G134" s="25"/>
      <c r="H134" s="14">
        <f t="shared" si="0"/>
        <v>0.55000000000000004</v>
      </c>
      <c r="I134" s="25">
        <f ca="1">IFERROR(__xludf.DUMMYFUNCTION("ROUND(D134*GOOGLEFINANCE(""RUBKZT"")*H134)"),414189)</f>
        <v>414189</v>
      </c>
      <c r="J134" s="26">
        <f ca="1">IFERROR(__xludf.DUMMYFUNCTION("ROUND(I134*GOOGLEFINANCE(""KZTEUR""))"),867)</f>
        <v>867</v>
      </c>
      <c r="K134" s="26">
        <f t="shared" ca="1" si="1"/>
        <v>4168</v>
      </c>
      <c r="L134" s="26">
        <f t="shared" ca="1" si="2"/>
        <v>791.92</v>
      </c>
      <c r="M134" s="26">
        <f t="shared" ref="M134:N134" si="135">M$3</f>
        <v>500</v>
      </c>
      <c r="N134" s="26">
        <f t="shared" si="135"/>
        <v>500</v>
      </c>
      <c r="O134" s="26">
        <f ca="1">IFERROR(__xludf.DUMMYFUNCTION("ROUND(GOOGLEFINANCE(""Currency:EURKZT"")*K134)"),1990510)</f>
        <v>1990510</v>
      </c>
      <c r="P134" s="26">
        <f ca="1">IFERROR(__xludf.DUMMYFUNCTION("ROUND(GOOGLEFINANCE(""Currency:EURKZT"")*M134)"),238785)</f>
        <v>238785</v>
      </c>
      <c r="Q134" s="26">
        <f ca="1">IFERROR(__xludf.DUMMYFUNCTION("ROUND(GOOGLEFINANCE(""Currency:EURKZT"")*N134)"),238785)</f>
        <v>238785</v>
      </c>
      <c r="R134" s="26">
        <f t="shared" ca="1" si="4"/>
        <v>238861</v>
      </c>
      <c r="S134" s="26">
        <f t="shared" ca="1" si="5"/>
        <v>2706941</v>
      </c>
      <c r="T134" s="26">
        <f ca="1">IFERROR(__xludf.DUMMYFUNCTION("ROUND(GOOGLEFINANCE(""Currency:EURKZT"")*L134+S134)"),3085138)</f>
        <v>3085138</v>
      </c>
      <c r="U134" s="26">
        <f ca="1">IFERROR(__xludf.DUMMYFUNCTION("D134*GOOGLEFINANCE(""RUBKZT"")*1000/F134"),3620534.46783369)</f>
        <v>3620534.4678336899</v>
      </c>
      <c r="V134" s="27">
        <f t="shared" ca="1" si="6"/>
        <v>0.17354052487561006</v>
      </c>
    </row>
    <row r="135" spans="1:22" ht="12.75" customHeight="1" x14ac:dyDescent="0.2">
      <c r="A135" s="6" t="s">
        <v>201</v>
      </c>
      <c r="B135" s="6" t="s">
        <v>15</v>
      </c>
      <c r="C135" s="7">
        <v>150896</v>
      </c>
      <c r="D135" s="8">
        <v>123226.79999999999</v>
      </c>
      <c r="E135" s="9" t="s">
        <v>16</v>
      </c>
      <c r="F135" s="36">
        <v>208</v>
      </c>
      <c r="G135" s="25"/>
      <c r="H135" s="14">
        <f t="shared" si="0"/>
        <v>0.55000000000000004</v>
      </c>
      <c r="I135" s="25">
        <f ca="1">IFERROR(__xludf.DUMMYFUNCTION("ROUND(D135*GOOGLEFINANCE(""RUBKZT"")*H135)"),528882)</f>
        <v>528882</v>
      </c>
      <c r="J135" s="26">
        <f ca="1">IFERROR(__xludf.DUMMYFUNCTION("ROUND(I135*GOOGLEFINANCE(""KZTEUR""))"),1108)</f>
        <v>1108</v>
      </c>
      <c r="K135" s="26">
        <f t="shared" ca="1" si="1"/>
        <v>5327</v>
      </c>
      <c r="L135" s="26">
        <f t="shared" ca="1" si="2"/>
        <v>1012.13</v>
      </c>
      <c r="M135" s="26">
        <f t="shared" ref="M135:N135" si="136">M$3</f>
        <v>500</v>
      </c>
      <c r="N135" s="26">
        <f t="shared" si="136"/>
        <v>500</v>
      </c>
      <c r="O135" s="26">
        <f ca="1">IFERROR(__xludf.DUMMYFUNCTION("ROUND(GOOGLEFINANCE(""Currency:EURKZT"")*K135)"),2544013)</f>
        <v>2544013</v>
      </c>
      <c r="P135" s="26">
        <f ca="1">IFERROR(__xludf.DUMMYFUNCTION("ROUND(GOOGLEFINANCE(""Currency:EURKZT"")*M135)"),238785)</f>
        <v>238785</v>
      </c>
      <c r="Q135" s="26">
        <f ca="1">IFERROR(__xludf.DUMMYFUNCTION("ROUND(GOOGLEFINANCE(""Currency:EURKZT"")*N135)"),238785)</f>
        <v>238785</v>
      </c>
      <c r="R135" s="26">
        <f t="shared" ca="1" si="4"/>
        <v>305282</v>
      </c>
      <c r="S135" s="26">
        <f t="shared" ca="1" si="5"/>
        <v>3326865</v>
      </c>
      <c r="T135" s="26">
        <f ca="1">IFERROR(__xludf.DUMMYFUNCTION("ROUND(GOOGLEFINANCE(""Currency:EURKZT"")*L135+S135)"),3810228)</f>
        <v>3810228</v>
      </c>
      <c r="U135" s="26">
        <f ca="1">IFERROR(__xludf.DUMMYFUNCTION("D135*GOOGLEFINANCE(""RUBKZT"")*1000/F135"),4623092.06624439)</f>
        <v>4623092.0662443899</v>
      </c>
      <c r="V135" s="27">
        <f t="shared" ca="1" si="6"/>
        <v>0.21333738197409444</v>
      </c>
    </row>
    <row r="136" spans="1:22" ht="12.75" customHeight="1" x14ac:dyDescent="0.2">
      <c r="A136" s="6" t="s">
        <v>202</v>
      </c>
      <c r="B136" s="6" t="s">
        <v>15</v>
      </c>
      <c r="C136" s="7">
        <v>151170</v>
      </c>
      <c r="D136" s="8">
        <v>245654.39999999999</v>
      </c>
      <c r="E136" s="9" t="s">
        <v>16</v>
      </c>
      <c r="F136" s="36">
        <v>208</v>
      </c>
      <c r="G136" s="25"/>
      <c r="H136" s="14">
        <f t="shared" si="0"/>
        <v>0.55000000000000004</v>
      </c>
      <c r="I136" s="25">
        <f ca="1">IFERROR(__xludf.DUMMYFUNCTION("ROUND(D136*GOOGLEFINANCE(""RUBKZT"")*H136)"),1054333)</f>
        <v>1054333</v>
      </c>
      <c r="J136" s="26">
        <f ca="1">IFERROR(__xludf.DUMMYFUNCTION("ROUND(I136*GOOGLEFINANCE(""KZTEUR""))"),2208)</f>
        <v>2208</v>
      </c>
      <c r="K136" s="26">
        <f t="shared" ca="1" si="1"/>
        <v>10615</v>
      </c>
      <c r="L136" s="26">
        <f t="shared" ca="1" si="2"/>
        <v>2016.8500000000001</v>
      </c>
      <c r="M136" s="26">
        <f t="shared" ref="M136:N136" si="137">M$3</f>
        <v>500</v>
      </c>
      <c r="N136" s="26">
        <f t="shared" si="137"/>
        <v>500</v>
      </c>
      <c r="O136" s="26">
        <f ca="1">IFERROR(__xludf.DUMMYFUNCTION("ROUND(GOOGLEFINANCE(""Currency:EURKZT"")*K136)"),5069401)</f>
        <v>5069401</v>
      </c>
      <c r="P136" s="26">
        <f ca="1">IFERROR(__xludf.DUMMYFUNCTION("ROUND(GOOGLEFINANCE(""Currency:EURKZT"")*M136)"),238785)</f>
        <v>238785</v>
      </c>
      <c r="Q136" s="26">
        <f ca="1">IFERROR(__xludf.DUMMYFUNCTION("ROUND(GOOGLEFINANCE(""Currency:EURKZT"")*N136)"),238785)</f>
        <v>238785</v>
      </c>
      <c r="R136" s="26">
        <f t="shared" ca="1" si="4"/>
        <v>608328</v>
      </c>
      <c r="S136" s="26">
        <f t="shared" ca="1" si="5"/>
        <v>6155299</v>
      </c>
      <c r="T136" s="26">
        <f ca="1">IFERROR(__xludf.DUMMYFUNCTION("ROUND(GOOGLEFINANCE(""Currency:EURKZT"")*L136+S136)"),7118485)</f>
        <v>7118485</v>
      </c>
      <c r="U136" s="26">
        <f ca="1">IFERROR(__xludf.DUMMYFUNCTION("D136*GOOGLEFINANCE(""RUBKZT"")*1000/F136"),9216200.59660744)</f>
        <v>9216200.5966074392</v>
      </c>
      <c r="V136" s="27">
        <f t="shared" ca="1" si="6"/>
        <v>0.29468568053559702</v>
      </c>
    </row>
    <row r="137" spans="1:22" ht="12.75" customHeight="1" x14ac:dyDescent="0.2">
      <c r="A137" s="6" t="s">
        <v>203</v>
      </c>
      <c r="B137" s="6" t="s">
        <v>15</v>
      </c>
      <c r="C137" s="7">
        <v>151260</v>
      </c>
      <c r="D137" s="8">
        <v>126194.4</v>
      </c>
      <c r="E137" s="9" t="s">
        <v>16</v>
      </c>
      <c r="F137" s="36">
        <v>208</v>
      </c>
      <c r="G137" s="25"/>
      <c r="H137" s="14">
        <f t="shared" si="0"/>
        <v>0.55000000000000004</v>
      </c>
      <c r="I137" s="25">
        <f ca="1">IFERROR(__xludf.DUMMYFUNCTION("ROUND(D137*GOOGLEFINANCE(""RUBKZT"")*H137)"),541618)</f>
        <v>541618</v>
      </c>
      <c r="J137" s="26">
        <f ca="1">IFERROR(__xludf.DUMMYFUNCTION("ROUND(I137*GOOGLEFINANCE(""KZTEUR""))"),1134)</f>
        <v>1134</v>
      </c>
      <c r="K137" s="26">
        <f t="shared" ca="1" si="1"/>
        <v>5452</v>
      </c>
      <c r="L137" s="26">
        <f t="shared" ca="1" si="2"/>
        <v>1035.8800000000001</v>
      </c>
      <c r="M137" s="26">
        <f t="shared" ref="M137:N137" si="138">M$3</f>
        <v>500</v>
      </c>
      <c r="N137" s="26">
        <f t="shared" si="138"/>
        <v>500</v>
      </c>
      <c r="O137" s="26">
        <f ca="1">IFERROR(__xludf.DUMMYFUNCTION("ROUND(GOOGLEFINANCE(""Currency:EURKZT"")*K137)"),2603710)</f>
        <v>2603710</v>
      </c>
      <c r="P137" s="26">
        <f ca="1">IFERROR(__xludf.DUMMYFUNCTION("ROUND(GOOGLEFINANCE(""Currency:EURKZT"")*M137)"),238785)</f>
        <v>238785</v>
      </c>
      <c r="Q137" s="26">
        <f ca="1">IFERROR(__xludf.DUMMYFUNCTION("ROUND(GOOGLEFINANCE(""Currency:EURKZT"")*N137)"),238785)</f>
        <v>238785</v>
      </c>
      <c r="R137" s="26">
        <f t="shared" ca="1" si="4"/>
        <v>312445</v>
      </c>
      <c r="S137" s="26">
        <f t="shared" ca="1" si="5"/>
        <v>3393725</v>
      </c>
      <c r="T137" s="26">
        <f ca="1">IFERROR(__xludf.DUMMYFUNCTION("ROUND(GOOGLEFINANCE(""Currency:EURKZT"")*L137+S137)"),3888430)</f>
        <v>3888430</v>
      </c>
      <c r="U137" s="26">
        <f ca="1">IFERROR(__xludf.DUMMYFUNCTION("D137*GOOGLEFINANCE(""RUBKZT"")*1000/F137"),4734427.32785783)</f>
        <v>4734427.3278578296</v>
      </c>
      <c r="V137" s="27">
        <f t="shared" ca="1" si="6"/>
        <v>0.21756784302606183</v>
      </c>
    </row>
    <row r="138" spans="1:22" ht="12.75" customHeight="1" x14ac:dyDescent="0.2">
      <c r="A138" s="6" t="s">
        <v>204</v>
      </c>
      <c r="B138" s="6" t="s">
        <v>15</v>
      </c>
      <c r="C138" s="7">
        <v>151263</v>
      </c>
      <c r="D138" s="8">
        <v>140845.19999999998</v>
      </c>
      <c r="E138" s="9" t="s">
        <v>16</v>
      </c>
      <c r="F138" s="36">
        <v>208</v>
      </c>
      <c r="G138" s="25"/>
      <c r="H138" s="14">
        <f t="shared" si="0"/>
        <v>0.55000000000000004</v>
      </c>
      <c r="I138" s="25">
        <f ca="1">IFERROR(__xludf.DUMMYFUNCTION("ROUND(D138*GOOGLEFINANCE(""RUBKZT"")*H138)"),604499)</f>
        <v>604499</v>
      </c>
      <c r="J138" s="26">
        <f ca="1">IFERROR(__xludf.DUMMYFUNCTION("ROUND(I138*GOOGLEFINANCE(""KZTEUR""))"),1266)</f>
        <v>1266</v>
      </c>
      <c r="K138" s="26">
        <f t="shared" ca="1" si="1"/>
        <v>6087</v>
      </c>
      <c r="L138" s="26">
        <f t="shared" ca="1" si="2"/>
        <v>1156.53</v>
      </c>
      <c r="M138" s="26">
        <f t="shared" ref="M138:N138" si="139">M$3</f>
        <v>500</v>
      </c>
      <c r="N138" s="26">
        <f t="shared" si="139"/>
        <v>500</v>
      </c>
      <c r="O138" s="26">
        <f ca="1">IFERROR(__xludf.DUMMYFUNCTION("ROUND(GOOGLEFINANCE(""Currency:EURKZT"")*K138)"),2906966)</f>
        <v>2906966</v>
      </c>
      <c r="P138" s="26">
        <f ca="1">IFERROR(__xludf.DUMMYFUNCTION("ROUND(GOOGLEFINANCE(""Currency:EURKZT"")*M138)"),238785)</f>
        <v>238785</v>
      </c>
      <c r="Q138" s="26">
        <f ca="1">IFERROR(__xludf.DUMMYFUNCTION("ROUND(GOOGLEFINANCE(""Currency:EURKZT"")*N138)"),238785)</f>
        <v>238785</v>
      </c>
      <c r="R138" s="26">
        <f t="shared" ca="1" si="4"/>
        <v>348836</v>
      </c>
      <c r="S138" s="26">
        <f t="shared" ca="1" si="5"/>
        <v>3733372</v>
      </c>
      <c r="T138" s="26">
        <f ca="1">IFERROR(__xludf.DUMMYFUNCTION("ROUND(GOOGLEFINANCE(""Currency:EURKZT"")*L138+S138)"),4285696)</f>
        <v>4285696</v>
      </c>
      <c r="U138" s="26">
        <f ca="1">IFERROR(__xludf.DUMMYFUNCTION("D138*GOOGLEFINANCE(""RUBKZT"")*1000/F138"),5284080.46535822)</f>
        <v>5284080.46535822</v>
      </c>
      <c r="V138" s="27">
        <f t="shared" ca="1" si="6"/>
        <v>0.23295736920169327</v>
      </c>
    </row>
    <row r="139" spans="1:22" ht="12.75" customHeight="1" x14ac:dyDescent="0.2">
      <c r="A139" s="6" t="s">
        <v>205</v>
      </c>
      <c r="B139" s="6" t="s">
        <v>15</v>
      </c>
      <c r="C139" s="7">
        <v>151520</v>
      </c>
      <c r="D139" s="8">
        <v>137528.4</v>
      </c>
      <c r="E139" s="9" t="s">
        <v>16</v>
      </c>
      <c r="F139" s="36">
        <v>208</v>
      </c>
      <c r="G139" s="25"/>
      <c r="H139" s="14">
        <f t="shared" si="0"/>
        <v>0.55000000000000004</v>
      </c>
      <c r="I139" s="25">
        <f ca="1">IFERROR(__xludf.DUMMYFUNCTION("ROUND(D139*GOOGLEFINANCE(""RUBKZT"")*H139)"),590263)</f>
        <v>590263</v>
      </c>
      <c r="J139" s="26">
        <f ca="1">IFERROR(__xludf.DUMMYFUNCTION("ROUND(I139*GOOGLEFINANCE(""KZTEUR""))"),1236)</f>
        <v>1236</v>
      </c>
      <c r="K139" s="26">
        <f t="shared" ca="1" si="1"/>
        <v>5942</v>
      </c>
      <c r="L139" s="26">
        <f t="shared" ca="1" si="2"/>
        <v>1128.98</v>
      </c>
      <c r="M139" s="26">
        <f t="shared" ref="M139:N139" si="140">M$3</f>
        <v>500</v>
      </c>
      <c r="N139" s="26">
        <f t="shared" si="140"/>
        <v>500</v>
      </c>
      <c r="O139" s="26">
        <f ca="1">IFERROR(__xludf.DUMMYFUNCTION("ROUND(GOOGLEFINANCE(""Currency:EURKZT"")*K139)"),2837719)</f>
        <v>2837719</v>
      </c>
      <c r="P139" s="26">
        <f ca="1">IFERROR(__xludf.DUMMYFUNCTION("ROUND(GOOGLEFINANCE(""Currency:EURKZT"")*M139)"),238785)</f>
        <v>238785</v>
      </c>
      <c r="Q139" s="26">
        <f ca="1">IFERROR(__xludf.DUMMYFUNCTION("ROUND(GOOGLEFINANCE(""Currency:EURKZT"")*N139)"),238785)</f>
        <v>238785</v>
      </c>
      <c r="R139" s="26">
        <f t="shared" ca="1" si="4"/>
        <v>340526</v>
      </c>
      <c r="S139" s="26">
        <f t="shared" ca="1" si="5"/>
        <v>3655815</v>
      </c>
      <c r="T139" s="26">
        <f ca="1">IFERROR(__xludf.DUMMYFUNCTION("ROUND(GOOGLEFINANCE(""Currency:EURKZT"")*L139+S139)"),4194982)</f>
        <v>4194982</v>
      </c>
      <c r="U139" s="26">
        <f ca="1">IFERROR(__xludf.DUMMYFUNCTION("D139*GOOGLEFINANCE(""RUBKZT"")*1000/F139"),5159644.28941825)</f>
        <v>5159644.2894182503</v>
      </c>
      <c r="V139" s="27">
        <f t="shared" ca="1" si="6"/>
        <v>0.22995624043637145</v>
      </c>
    </row>
    <row r="140" spans="1:22" ht="12.75" customHeight="1" x14ac:dyDescent="0.2">
      <c r="A140" s="6" t="s">
        <v>207</v>
      </c>
      <c r="B140" s="6" t="s">
        <v>15</v>
      </c>
      <c r="C140" s="7">
        <v>154212</v>
      </c>
      <c r="D140" s="8">
        <v>129225.59999999999</v>
      </c>
      <c r="E140" s="9" t="s">
        <v>16</v>
      </c>
      <c r="F140" s="36">
        <v>208</v>
      </c>
      <c r="G140" s="25"/>
      <c r="H140" s="14">
        <f t="shared" si="0"/>
        <v>0.55000000000000004</v>
      </c>
      <c r="I140" s="25">
        <f ca="1">IFERROR(__xludf.DUMMYFUNCTION("ROUND(D140*GOOGLEFINANCE(""RUBKZT"")*H140)"),554628)</f>
        <v>554628</v>
      </c>
      <c r="J140" s="26">
        <f ca="1">IFERROR(__xludf.DUMMYFUNCTION("ROUND(I140*GOOGLEFINANCE(""KZTEUR""))"),1162)</f>
        <v>1162</v>
      </c>
      <c r="K140" s="26">
        <f t="shared" ca="1" si="1"/>
        <v>5587</v>
      </c>
      <c r="L140" s="26">
        <f t="shared" ca="1" si="2"/>
        <v>1061.53</v>
      </c>
      <c r="M140" s="26">
        <f t="shared" ref="M140:N140" si="141">M$3</f>
        <v>500</v>
      </c>
      <c r="N140" s="26">
        <f t="shared" si="141"/>
        <v>500</v>
      </c>
      <c r="O140" s="26">
        <f ca="1">IFERROR(__xludf.DUMMYFUNCTION("ROUND(GOOGLEFINANCE(""Currency:EURKZT"")*K140)"),2668181)</f>
        <v>2668181</v>
      </c>
      <c r="P140" s="26">
        <f ca="1">IFERROR(__xludf.DUMMYFUNCTION("ROUND(GOOGLEFINANCE(""Currency:EURKZT"")*M140)"),238785)</f>
        <v>238785</v>
      </c>
      <c r="Q140" s="26">
        <f ca="1">IFERROR(__xludf.DUMMYFUNCTION("ROUND(GOOGLEFINANCE(""Currency:EURKZT"")*N140)"),238785)</f>
        <v>238785</v>
      </c>
      <c r="R140" s="26">
        <f t="shared" ca="1" si="4"/>
        <v>320182</v>
      </c>
      <c r="S140" s="26">
        <f t="shared" ca="1" si="5"/>
        <v>3465933</v>
      </c>
      <c r="T140" s="26">
        <f ca="1">IFERROR(__xludf.DUMMYFUNCTION("ROUND(GOOGLEFINANCE(""Currency:EURKZT"")*L140+S140)"),3972887)</f>
        <v>3972887</v>
      </c>
      <c r="U140" s="26">
        <f ca="1">IFERROR(__xludf.DUMMYFUNCTION("D140*GOOGLEFINANCE(""RUBKZT"")*1000/F140"),4848148.66665101)</f>
        <v>4848148.6666510096</v>
      </c>
      <c r="V140" s="27">
        <f t="shared" ca="1" si="6"/>
        <v>0.22030872427305623</v>
      </c>
    </row>
    <row r="141" spans="1:22" ht="12.75" customHeight="1" x14ac:dyDescent="0.2">
      <c r="A141" s="6" t="s">
        <v>208</v>
      </c>
      <c r="B141" s="6" t="s">
        <v>15</v>
      </c>
      <c r="C141" s="7">
        <v>154240</v>
      </c>
      <c r="D141" s="8">
        <v>84028.800000000003</v>
      </c>
      <c r="E141" s="9" t="s">
        <v>16</v>
      </c>
      <c r="F141" s="36">
        <v>208</v>
      </c>
      <c r="G141" s="25"/>
      <c r="H141" s="14">
        <f t="shared" si="0"/>
        <v>0.55000000000000004</v>
      </c>
      <c r="I141" s="25">
        <f ca="1">IFERROR(__xludf.DUMMYFUNCTION("ROUND(D141*GOOGLEFINANCE(""RUBKZT"")*H141)"),360646)</f>
        <v>360646</v>
      </c>
      <c r="J141" s="26">
        <f ca="1">IFERROR(__xludf.DUMMYFUNCTION("ROUND(I141*GOOGLEFINANCE(""KZTEUR""))"),755)</f>
        <v>755</v>
      </c>
      <c r="K141" s="26">
        <f t="shared" ca="1" si="1"/>
        <v>3630</v>
      </c>
      <c r="L141" s="26">
        <f t="shared" ca="1" si="2"/>
        <v>689.7</v>
      </c>
      <c r="M141" s="26">
        <f t="shared" ref="M141:N141" si="142">M$3</f>
        <v>500</v>
      </c>
      <c r="N141" s="26">
        <f t="shared" si="142"/>
        <v>500</v>
      </c>
      <c r="O141" s="26">
        <f ca="1">IFERROR(__xludf.DUMMYFUNCTION("ROUND(GOOGLEFINANCE(""Currency:EURKZT"")*K141)"),1733578)</f>
        <v>1733578</v>
      </c>
      <c r="P141" s="26">
        <f ca="1">IFERROR(__xludf.DUMMYFUNCTION("ROUND(GOOGLEFINANCE(""Currency:EURKZT"")*M141)"),238785)</f>
        <v>238785</v>
      </c>
      <c r="Q141" s="26">
        <f ca="1">IFERROR(__xludf.DUMMYFUNCTION("ROUND(GOOGLEFINANCE(""Currency:EURKZT"")*N141)"),238785)</f>
        <v>238785</v>
      </c>
      <c r="R141" s="26">
        <f t="shared" ca="1" si="4"/>
        <v>208029</v>
      </c>
      <c r="S141" s="26">
        <f t="shared" ca="1" si="5"/>
        <v>2419177</v>
      </c>
      <c r="T141" s="26">
        <f ca="1">IFERROR(__xludf.DUMMYFUNCTION("ROUND(GOOGLEFINANCE(""Currency:EURKZT"")*L141+S141)"),2748557)</f>
        <v>2748557</v>
      </c>
      <c r="U141" s="26">
        <f ca="1">IFERROR(__xludf.DUMMYFUNCTION("D141*GOOGLEFINANCE(""RUBKZT"")*1000/F141"),3152503.17801027)</f>
        <v>3152503.17801027</v>
      </c>
      <c r="V141" s="27">
        <f t="shared" ca="1" si="6"/>
        <v>0.14696663667890825</v>
      </c>
    </row>
    <row r="142" spans="1:22" ht="12.75" customHeight="1" x14ac:dyDescent="0.2">
      <c r="A142" s="6" t="s">
        <v>209</v>
      </c>
      <c r="B142" s="6" t="s">
        <v>15</v>
      </c>
      <c r="C142" s="7">
        <v>154940</v>
      </c>
      <c r="D142" s="8">
        <v>162878.39999999999</v>
      </c>
      <c r="E142" s="9" t="s">
        <v>16</v>
      </c>
      <c r="F142" s="36">
        <v>208</v>
      </c>
      <c r="G142" s="25"/>
      <c r="H142" s="14">
        <f t="shared" si="0"/>
        <v>0.55000000000000004</v>
      </c>
      <c r="I142" s="25">
        <f ca="1">IFERROR(__xludf.DUMMYFUNCTION("ROUND(D142*GOOGLEFINANCE(""RUBKZT"")*H142)"),699064)</f>
        <v>699064</v>
      </c>
      <c r="J142" s="26">
        <f ca="1">IFERROR(__xludf.DUMMYFUNCTION("ROUND(I142*GOOGLEFINANCE(""KZTEUR""))"),1464)</f>
        <v>1464</v>
      </c>
      <c r="K142" s="26">
        <f t="shared" ca="1" si="1"/>
        <v>7038</v>
      </c>
      <c r="L142" s="26">
        <f t="shared" ca="1" si="2"/>
        <v>1337.22</v>
      </c>
      <c r="M142" s="26">
        <f t="shared" ref="M142:N142" si="143">M$3</f>
        <v>500</v>
      </c>
      <c r="N142" s="26">
        <f t="shared" si="143"/>
        <v>500</v>
      </c>
      <c r="O142" s="26">
        <f ca="1">IFERROR(__xludf.DUMMYFUNCTION("ROUND(GOOGLEFINANCE(""Currency:EURKZT"")*K142)"),3361135)</f>
        <v>3361135</v>
      </c>
      <c r="P142" s="26">
        <f ca="1">IFERROR(__xludf.DUMMYFUNCTION("ROUND(GOOGLEFINANCE(""Currency:EURKZT"")*M142)"),238785)</f>
        <v>238785</v>
      </c>
      <c r="Q142" s="26">
        <f ca="1">IFERROR(__xludf.DUMMYFUNCTION("ROUND(GOOGLEFINANCE(""Currency:EURKZT"")*N142)"),238785)</f>
        <v>238785</v>
      </c>
      <c r="R142" s="26">
        <f t="shared" ca="1" si="4"/>
        <v>403336</v>
      </c>
      <c r="S142" s="26">
        <f t="shared" ca="1" si="5"/>
        <v>4242041</v>
      </c>
      <c r="T142" s="26">
        <f ca="1">IFERROR(__xludf.DUMMYFUNCTION("ROUND(GOOGLEFINANCE(""Currency:EURKZT"")*L142+S142)"),4880657)</f>
        <v>4880657</v>
      </c>
      <c r="U142" s="26">
        <f ca="1">IFERROR(__xludf.DUMMYFUNCTION("D142*GOOGLEFINANCE(""RUBKZT"")*1000/F142"),6110698.63700575)</f>
        <v>6110698.6370057501</v>
      </c>
      <c r="V142" s="27">
        <f t="shared" ca="1" si="6"/>
        <v>0.25202378225016636</v>
      </c>
    </row>
    <row r="143" spans="1:22" ht="12.75" customHeight="1" x14ac:dyDescent="0.2">
      <c r="A143" s="6" t="s">
        <v>210</v>
      </c>
      <c r="B143" s="6" t="s">
        <v>15</v>
      </c>
      <c r="C143" s="7">
        <v>154941</v>
      </c>
      <c r="D143" s="8">
        <v>173186.4</v>
      </c>
      <c r="E143" s="9" t="s">
        <v>16</v>
      </c>
      <c r="F143" s="36">
        <v>208</v>
      </c>
      <c r="G143" s="25"/>
      <c r="H143" s="14">
        <f t="shared" si="0"/>
        <v>0.55000000000000004</v>
      </c>
      <c r="I143" s="25">
        <f ca="1">IFERROR(__xludf.DUMMYFUNCTION("ROUND(D143*GOOGLEFINANCE(""RUBKZT"")*H143)"),743305)</f>
        <v>743305</v>
      </c>
      <c r="J143" s="26">
        <f ca="1">IFERROR(__xludf.DUMMYFUNCTION("ROUND(I143*GOOGLEFINANCE(""KZTEUR""))"),1557)</f>
        <v>1557</v>
      </c>
      <c r="K143" s="26">
        <f t="shared" ca="1" si="1"/>
        <v>7486</v>
      </c>
      <c r="L143" s="26">
        <f t="shared" ca="1" si="2"/>
        <v>1422.34</v>
      </c>
      <c r="M143" s="26">
        <f t="shared" ref="M143:N143" si="144">M$3</f>
        <v>500</v>
      </c>
      <c r="N143" s="26">
        <f t="shared" si="144"/>
        <v>500</v>
      </c>
      <c r="O143" s="26">
        <f ca="1">IFERROR(__xludf.DUMMYFUNCTION("ROUND(GOOGLEFINANCE(""Currency:EURKZT"")*K143)"),3575086)</f>
        <v>3575086</v>
      </c>
      <c r="P143" s="26">
        <f ca="1">IFERROR(__xludf.DUMMYFUNCTION("ROUND(GOOGLEFINANCE(""Currency:EURKZT"")*M143)"),238785)</f>
        <v>238785</v>
      </c>
      <c r="Q143" s="26">
        <f ca="1">IFERROR(__xludf.DUMMYFUNCTION("ROUND(GOOGLEFINANCE(""Currency:EURKZT"")*N143)"),238785)</f>
        <v>238785</v>
      </c>
      <c r="R143" s="26">
        <f t="shared" ca="1" si="4"/>
        <v>429010</v>
      </c>
      <c r="S143" s="26">
        <f t="shared" ca="1" si="5"/>
        <v>4481666</v>
      </c>
      <c r="T143" s="26">
        <f ca="1">IFERROR(__xludf.DUMMYFUNCTION("ROUND(GOOGLEFINANCE(""Currency:EURKZT"")*L143+S143)"),5160932)</f>
        <v>5160932</v>
      </c>
      <c r="U143" s="26">
        <f ca="1">IFERROR(__xludf.DUMMYFUNCTION("D143*GOOGLEFINANCE(""RUBKZT"")*1000/F143"),6497423.22142121)</f>
        <v>6497423.2214212101</v>
      </c>
      <c r="V143" s="27">
        <f t="shared" ca="1" si="6"/>
        <v>0.25896315266723335</v>
      </c>
    </row>
    <row r="144" spans="1:22" ht="12.75" customHeight="1" x14ac:dyDescent="0.2">
      <c r="A144" s="6" t="s">
        <v>212</v>
      </c>
      <c r="B144" s="6" t="s">
        <v>15</v>
      </c>
      <c r="C144" s="7">
        <v>156106</v>
      </c>
      <c r="D144" s="8">
        <v>115778.4</v>
      </c>
      <c r="E144" s="9" t="s">
        <v>16</v>
      </c>
      <c r="F144" s="36">
        <v>208</v>
      </c>
      <c r="G144" s="25"/>
      <c r="H144" s="14">
        <f t="shared" si="0"/>
        <v>0.55000000000000004</v>
      </c>
      <c r="I144" s="25">
        <f ca="1">IFERROR(__xludf.DUMMYFUNCTION("ROUND(D144*GOOGLEFINANCE(""RUBKZT"")*H144)"),496914)</f>
        <v>496914</v>
      </c>
      <c r="J144" s="26">
        <f ca="1">IFERROR(__xludf.DUMMYFUNCTION("ROUND(I144*GOOGLEFINANCE(""KZTEUR""))"),1041)</f>
        <v>1041</v>
      </c>
      <c r="K144" s="26">
        <f t="shared" ca="1" si="1"/>
        <v>5005</v>
      </c>
      <c r="L144" s="26">
        <f t="shared" ca="1" si="2"/>
        <v>950.95</v>
      </c>
      <c r="M144" s="26">
        <f t="shared" ref="M144:N144" si="145">M$3</f>
        <v>500</v>
      </c>
      <c r="N144" s="26">
        <f t="shared" si="145"/>
        <v>500</v>
      </c>
      <c r="O144" s="26">
        <f ca="1">IFERROR(__xludf.DUMMYFUNCTION("ROUND(GOOGLEFINANCE(""Currency:EURKZT"")*K144)"),2390236)</f>
        <v>2390236</v>
      </c>
      <c r="P144" s="26">
        <f ca="1">IFERROR(__xludf.DUMMYFUNCTION("ROUND(GOOGLEFINANCE(""Currency:EURKZT"")*M144)"),238785)</f>
        <v>238785</v>
      </c>
      <c r="Q144" s="26">
        <f ca="1">IFERROR(__xludf.DUMMYFUNCTION("ROUND(GOOGLEFINANCE(""Currency:EURKZT"")*N144)"),238785)</f>
        <v>238785</v>
      </c>
      <c r="R144" s="26">
        <f t="shared" ca="1" si="4"/>
        <v>286828</v>
      </c>
      <c r="S144" s="26">
        <f t="shared" ca="1" si="5"/>
        <v>3154634</v>
      </c>
      <c r="T144" s="26">
        <f ca="1">IFERROR(__xludf.DUMMYFUNCTION("ROUND(GOOGLEFINANCE(""Currency:EURKZT"")*L144+S144)"),3608779)</f>
        <v>3608779</v>
      </c>
      <c r="U144" s="26">
        <f ca="1">IFERROR(__xludf.DUMMYFUNCTION("D144*GOOGLEFINANCE(""RUBKZT"")*1000/F144"),4343650.91426921)</f>
        <v>4343650.9142692098</v>
      </c>
      <c r="V144" s="27">
        <f t="shared" ca="1" si="6"/>
        <v>0.20363450193797122</v>
      </c>
    </row>
    <row r="145" spans="1:22" ht="12.75" customHeight="1" x14ac:dyDescent="0.2">
      <c r="A145" s="6" t="s">
        <v>119</v>
      </c>
      <c r="B145" s="6" t="s">
        <v>15</v>
      </c>
      <c r="C145" s="7">
        <v>156216</v>
      </c>
      <c r="D145" s="8">
        <v>345040.8</v>
      </c>
      <c r="E145" s="9" t="s">
        <v>16</v>
      </c>
      <c r="F145" s="36">
        <v>208</v>
      </c>
      <c r="G145" s="25"/>
      <c r="H145" s="14">
        <f t="shared" si="0"/>
        <v>0.55000000000000004</v>
      </c>
      <c r="I145" s="25">
        <f ca="1">IFERROR(__xludf.DUMMYFUNCTION("ROUND(D145*GOOGLEFINANCE(""RUBKZT"")*H145)"),1480894)</f>
        <v>1480894</v>
      </c>
      <c r="J145" s="26">
        <f ca="1">IFERROR(__xludf.DUMMYFUNCTION("ROUND(I145*GOOGLEFINANCE(""KZTEUR""))"),3101)</f>
        <v>3101</v>
      </c>
      <c r="K145" s="26">
        <f t="shared" ca="1" si="1"/>
        <v>14909</v>
      </c>
      <c r="L145" s="26">
        <f t="shared" ca="1" si="2"/>
        <v>2832.71</v>
      </c>
      <c r="M145" s="26">
        <f t="shared" ref="M145:N145" si="146">M$3</f>
        <v>500</v>
      </c>
      <c r="N145" s="26">
        <f t="shared" si="146"/>
        <v>500</v>
      </c>
      <c r="O145" s="26">
        <f ca="1">IFERROR(__xludf.DUMMYFUNCTION("ROUND(GOOGLEFINANCE(""Currency:EURKZT"")*K145)"),7120085)</f>
        <v>7120085</v>
      </c>
      <c r="P145" s="26">
        <f ca="1">IFERROR(__xludf.DUMMYFUNCTION("ROUND(GOOGLEFINANCE(""Currency:EURKZT"")*M145)"),238785)</f>
        <v>238785</v>
      </c>
      <c r="Q145" s="26">
        <f ca="1">IFERROR(__xludf.DUMMYFUNCTION("ROUND(GOOGLEFINANCE(""Currency:EURKZT"")*N145)"),238785)</f>
        <v>238785</v>
      </c>
      <c r="R145" s="26">
        <f t="shared" ca="1" si="4"/>
        <v>854410</v>
      </c>
      <c r="S145" s="26">
        <f t="shared" ca="1" si="5"/>
        <v>8452065</v>
      </c>
      <c r="T145" s="26">
        <f ca="1">IFERROR(__xludf.DUMMYFUNCTION("ROUND(GOOGLEFINANCE(""Currency:EURKZT"")*L145+S145)"),9804881)</f>
        <v>9804881</v>
      </c>
      <c r="U145" s="26">
        <f ca="1">IFERROR(__xludf.DUMMYFUNCTION("D145*GOOGLEFINANCE(""RUBKZT"")*1000/F145"),12944873.8830402)</f>
        <v>12944873.883040201</v>
      </c>
      <c r="V145" s="27">
        <f t="shared" ca="1" si="6"/>
        <v>0.32024793396678664</v>
      </c>
    </row>
    <row r="146" spans="1:22" ht="12.75" customHeight="1" x14ac:dyDescent="0.2">
      <c r="A146" s="6" t="s">
        <v>214</v>
      </c>
      <c r="B146" s="6" t="s">
        <v>15</v>
      </c>
      <c r="C146" s="7">
        <v>156340</v>
      </c>
      <c r="D146" s="8">
        <v>130527.59999999999</v>
      </c>
      <c r="E146" s="9" t="s">
        <v>16</v>
      </c>
      <c r="F146" s="36">
        <v>208</v>
      </c>
      <c r="G146" s="25"/>
      <c r="H146" s="14">
        <f t="shared" si="0"/>
        <v>0.55000000000000004</v>
      </c>
      <c r="I146" s="25">
        <f ca="1">IFERROR(__xludf.DUMMYFUNCTION("ROUND(D146*GOOGLEFINANCE(""RUBKZT"")*H146)"),560216)</f>
        <v>560216</v>
      </c>
      <c r="J146" s="26">
        <f ca="1">IFERROR(__xludf.DUMMYFUNCTION("ROUND(I146*GOOGLEFINANCE(""KZTEUR""))"),1173)</f>
        <v>1173</v>
      </c>
      <c r="K146" s="26">
        <f t="shared" ca="1" si="1"/>
        <v>5639</v>
      </c>
      <c r="L146" s="26">
        <f t="shared" ca="1" si="2"/>
        <v>1071.4100000000001</v>
      </c>
      <c r="M146" s="26">
        <f t="shared" ref="M146:N146" si="147">M$3</f>
        <v>500</v>
      </c>
      <c r="N146" s="26">
        <f t="shared" si="147"/>
        <v>500</v>
      </c>
      <c r="O146" s="26">
        <f ca="1">IFERROR(__xludf.DUMMYFUNCTION("ROUND(GOOGLEFINANCE(""Currency:EURKZT"")*K146)"),2693015)</f>
        <v>2693015</v>
      </c>
      <c r="P146" s="26">
        <f ca="1">IFERROR(__xludf.DUMMYFUNCTION("ROUND(GOOGLEFINANCE(""Currency:EURKZT"")*M146)"),238785)</f>
        <v>238785</v>
      </c>
      <c r="Q146" s="26">
        <f ca="1">IFERROR(__xludf.DUMMYFUNCTION("ROUND(GOOGLEFINANCE(""Currency:EURKZT"")*N146)"),238785)</f>
        <v>238785</v>
      </c>
      <c r="R146" s="26">
        <f t="shared" ca="1" si="4"/>
        <v>323162</v>
      </c>
      <c r="S146" s="26">
        <f t="shared" ca="1" si="5"/>
        <v>3493747</v>
      </c>
      <c r="T146" s="26">
        <f ca="1">IFERROR(__xludf.DUMMYFUNCTION("ROUND(GOOGLEFINANCE(""Currency:EURKZT"")*L146+S146)"),4005420)</f>
        <v>4005420</v>
      </c>
      <c r="U146" s="26">
        <f ca="1">IFERROR(__xludf.DUMMYFUNCTION("D146*GOOGLEFINANCE(""RUBKZT"")*1000/F146"),4896995.71834959)</f>
        <v>4896995.71834959</v>
      </c>
      <c r="V146" s="27">
        <f t="shared" ca="1" si="6"/>
        <v>0.22259231699786539</v>
      </c>
    </row>
    <row r="147" spans="1:22" ht="12.75" customHeight="1" x14ac:dyDescent="0.2">
      <c r="A147" s="6" t="s">
        <v>216</v>
      </c>
      <c r="B147" s="6" t="s">
        <v>15</v>
      </c>
      <c r="C147" s="7">
        <v>156692</v>
      </c>
      <c r="D147" s="8">
        <v>72150</v>
      </c>
      <c r="E147" s="9" t="s">
        <v>16</v>
      </c>
      <c r="F147" s="36">
        <v>208</v>
      </c>
      <c r="G147" s="25"/>
      <c r="H147" s="14">
        <f t="shared" si="0"/>
        <v>0.55000000000000004</v>
      </c>
      <c r="I147" s="25">
        <f ca="1">IFERROR(__xludf.DUMMYFUNCTION("ROUND(D147*GOOGLEFINANCE(""RUBKZT"")*H147)"),309663)</f>
        <v>309663</v>
      </c>
      <c r="J147" s="26">
        <f ca="1">IFERROR(__xludf.DUMMYFUNCTION("ROUND(I147*GOOGLEFINANCE(""KZTEUR""))"),649)</f>
        <v>649</v>
      </c>
      <c r="K147" s="26">
        <f t="shared" ca="1" si="1"/>
        <v>3120</v>
      </c>
      <c r="L147" s="26">
        <f t="shared" ca="1" si="2"/>
        <v>592.79999999999995</v>
      </c>
      <c r="M147" s="26">
        <f t="shared" ref="M147:N147" si="148">M$3</f>
        <v>500</v>
      </c>
      <c r="N147" s="26">
        <f t="shared" si="148"/>
        <v>500</v>
      </c>
      <c r="O147" s="26">
        <f ca="1">IFERROR(__xludf.DUMMYFUNCTION("ROUND(GOOGLEFINANCE(""Currency:EURKZT"")*K147)"),1490017)</f>
        <v>1490017</v>
      </c>
      <c r="P147" s="26">
        <f ca="1">IFERROR(__xludf.DUMMYFUNCTION("ROUND(GOOGLEFINANCE(""Currency:EURKZT"")*M147)"),238785)</f>
        <v>238785</v>
      </c>
      <c r="Q147" s="26">
        <f ca="1">IFERROR(__xludf.DUMMYFUNCTION("ROUND(GOOGLEFINANCE(""Currency:EURKZT"")*N147)"),238785)</f>
        <v>238785</v>
      </c>
      <c r="R147" s="26">
        <f t="shared" ca="1" si="4"/>
        <v>178802</v>
      </c>
      <c r="S147" s="26">
        <f t="shared" ca="1" si="5"/>
        <v>2146389</v>
      </c>
      <c r="T147" s="26">
        <f ca="1">IFERROR(__xludf.DUMMYFUNCTION("ROUND(GOOGLEFINANCE(""Currency:EURKZT"")*L147+S147)"),2429492)</f>
        <v>2429492</v>
      </c>
      <c r="U147" s="26">
        <f ca="1">IFERROR(__xludf.DUMMYFUNCTION("D147*GOOGLEFINANCE(""RUBKZT"")*1000/F147"),2706846.9892875)</f>
        <v>2706846.9892874998</v>
      </c>
      <c r="V147" s="27">
        <f t="shared" ca="1" si="6"/>
        <v>0.11416172158109589</v>
      </c>
    </row>
    <row r="148" spans="1:22" ht="12.75" customHeight="1" x14ac:dyDescent="0.2">
      <c r="A148" s="6" t="s">
        <v>217</v>
      </c>
      <c r="B148" s="6" t="s">
        <v>15</v>
      </c>
      <c r="C148" s="7">
        <v>156713</v>
      </c>
      <c r="D148" s="8">
        <v>117476.4</v>
      </c>
      <c r="E148" s="9" t="s">
        <v>16</v>
      </c>
      <c r="F148" s="36">
        <v>208</v>
      </c>
      <c r="G148" s="25"/>
      <c r="H148" s="14">
        <f t="shared" si="0"/>
        <v>0.55000000000000004</v>
      </c>
      <c r="I148" s="25">
        <f ca="1">IFERROR(__xludf.DUMMYFUNCTION("ROUND(D148*GOOGLEFINANCE(""RUBKZT"")*H148)"),504201)</f>
        <v>504201</v>
      </c>
      <c r="J148" s="26">
        <f ca="1">IFERROR(__xludf.DUMMYFUNCTION("ROUND(I148*GOOGLEFINANCE(""KZTEUR""))"),1056)</f>
        <v>1056</v>
      </c>
      <c r="K148" s="26">
        <f t="shared" ca="1" si="1"/>
        <v>5077</v>
      </c>
      <c r="L148" s="26">
        <f t="shared" ca="1" si="2"/>
        <v>964.63</v>
      </c>
      <c r="M148" s="26">
        <f t="shared" ref="M148:N148" si="149">M$3</f>
        <v>500</v>
      </c>
      <c r="N148" s="26">
        <f t="shared" si="149"/>
        <v>500</v>
      </c>
      <c r="O148" s="26">
        <f ca="1">IFERROR(__xludf.DUMMYFUNCTION("ROUND(GOOGLEFINANCE(""Currency:EURKZT"")*K148)"),2424621)</f>
        <v>2424621</v>
      </c>
      <c r="P148" s="26">
        <f ca="1">IFERROR(__xludf.DUMMYFUNCTION("ROUND(GOOGLEFINANCE(""Currency:EURKZT"")*M148)"),238785)</f>
        <v>238785</v>
      </c>
      <c r="Q148" s="26">
        <f ca="1">IFERROR(__xludf.DUMMYFUNCTION("ROUND(GOOGLEFINANCE(""Currency:EURKZT"")*N148)"),238785)</f>
        <v>238785</v>
      </c>
      <c r="R148" s="26">
        <f t="shared" ca="1" si="4"/>
        <v>290955</v>
      </c>
      <c r="S148" s="26">
        <f t="shared" ca="1" si="5"/>
        <v>3193146</v>
      </c>
      <c r="T148" s="26">
        <f ca="1">IFERROR(__xludf.DUMMYFUNCTION("ROUND(GOOGLEFINANCE(""Currency:EURKZT"")*L148+S148)"),3653824)</f>
        <v>3653824</v>
      </c>
      <c r="U148" s="26">
        <f ca="1">IFERROR(__xludf.DUMMYFUNCTION("D148*GOOGLEFINANCE(""RUBKZT"")*1000/F148"),4407354.67293602)</f>
        <v>4407354.6729360204</v>
      </c>
      <c r="V148" s="27">
        <f t="shared" ca="1" si="6"/>
        <v>0.20623069773914135</v>
      </c>
    </row>
    <row r="149" spans="1:22" ht="12.75" customHeight="1" x14ac:dyDescent="0.2">
      <c r="A149" s="6" t="s">
        <v>12</v>
      </c>
      <c r="B149" s="6" t="s">
        <v>15</v>
      </c>
      <c r="C149" s="7">
        <v>156933</v>
      </c>
      <c r="D149" s="8">
        <v>105993.59999999999</v>
      </c>
      <c r="E149" s="9" t="s">
        <v>7</v>
      </c>
      <c r="F149" s="36">
        <v>208</v>
      </c>
      <c r="G149" s="25"/>
      <c r="H149" s="14">
        <f t="shared" si="0"/>
        <v>0.55000000000000004</v>
      </c>
      <c r="I149" s="25">
        <f ca="1">IFERROR(__xludf.DUMMYFUNCTION("ROUND(D149*GOOGLEFINANCE(""RUBKZT"")*H149)"),454918)</f>
        <v>454918</v>
      </c>
      <c r="J149" s="26">
        <f ca="1">IFERROR(__xludf.DUMMYFUNCTION("ROUND(I149*GOOGLEFINANCE(""KZTEUR""))"),953)</f>
        <v>953</v>
      </c>
      <c r="K149" s="26">
        <f t="shared" ca="1" si="1"/>
        <v>4582</v>
      </c>
      <c r="L149" s="26">
        <f t="shared" ca="1" si="2"/>
        <v>870.58</v>
      </c>
      <c r="M149" s="26">
        <f t="shared" ref="M149:N149" si="150">M$3</f>
        <v>500</v>
      </c>
      <c r="N149" s="26">
        <f t="shared" si="150"/>
        <v>500</v>
      </c>
      <c r="O149" s="26">
        <f ca="1">IFERROR(__xludf.DUMMYFUNCTION("ROUND(GOOGLEFINANCE(""Currency:EURKZT"")*K149)"),2188224)</f>
        <v>2188224</v>
      </c>
      <c r="P149" s="26">
        <f ca="1">IFERROR(__xludf.DUMMYFUNCTION("ROUND(GOOGLEFINANCE(""Currency:EURKZT"")*M149)"),238785)</f>
        <v>238785</v>
      </c>
      <c r="Q149" s="26">
        <f ca="1">IFERROR(__xludf.DUMMYFUNCTION("ROUND(GOOGLEFINANCE(""Currency:EURKZT"")*N149)"),238785)</f>
        <v>238785</v>
      </c>
      <c r="R149" s="26">
        <f t="shared" ca="1" si="4"/>
        <v>262587</v>
      </c>
      <c r="S149" s="26">
        <f t="shared" ca="1" si="5"/>
        <v>2928381</v>
      </c>
      <c r="T149" s="26">
        <f ca="1">IFERROR(__xludf.DUMMYFUNCTION("ROUND(GOOGLEFINANCE(""Currency:EURKZT"")*L149+S149)"),3344144)</f>
        <v>3344144</v>
      </c>
      <c r="U149" s="26">
        <f ca="1">IFERROR(__xludf.DUMMYFUNCTION("D149*GOOGLEFINANCE(""RUBKZT"")*1000/F149"),3976555.19118147)</f>
        <v>3976555.1911814702</v>
      </c>
      <c r="V149" s="27">
        <f t="shared" ca="1" si="6"/>
        <v>0.18911003568670193</v>
      </c>
    </row>
    <row r="150" spans="1:22" ht="12.75" customHeight="1" x14ac:dyDescent="0.2">
      <c r="A150" s="6" t="s">
        <v>218</v>
      </c>
      <c r="B150" s="6" t="s">
        <v>15</v>
      </c>
      <c r="C150" s="7">
        <v>156934</v>
      </c>
      <c r="D150" s="8">
        <v>95683.199999999997</v>
      </c>
      <c r="E150" s="9" t="s">
        <v>7</v>
      </c>
      <c r="F150" s="36">
        <v>208</v>
      </c>
      <c r="G150" s="25"/>
      <c r="H150" s="14">
        <f t="shared" si="0"/>
        <v>0.55000000000000004</v>
      </c>
      <c r="I150" s="25">
        <f ca="1">IFERROR(__xludf.DUMMYFUNCTION("ROUND(D150*GOOGLEFINANCE(""RUBKZT"")*H150)"),410666)</f>
        <v>410666</v>
      </c>
      <c r="J150" s="26">
        <f ca="1">IFERROR(__xludf.DUMMYFUNCTION("ROUND(I150*GOOGLEFINANCE(""KZTEUR""))"),860)</f>
        <v>860</v>
      </c>
      <c r="K150" s="26">
        <f t="shared" ca="1" si="1"/>
        <v>4135</v>
      </c>
      <c r="L150" s="26">
        <f t="shared" ca="1" si="2"/>
        <v>785.65</v>
      </c>
      <c r="M150" s="26">
        <f t="shared" ref="M150:N150" si="151">M$3</f>
        <v>500</v>
      </c>
      <c r="N150" s="26">
        <f t="shared" si="151"/>
        <v>500</v>
      </c>
      <c r="O150" s="26">
        <f ca="1">IFERROR(__xludf.DUMMYFUNCTION("ROUND(GOOGLEFINANCE(""Currency:EURKZT"")*K150)"),1974750)</f>
        <v>1974750</v>
      </c>
      <c r="P150" s="26">
        <f ca="1">IFERROR(__xludf.DUMMYFUNCTION("ROUND(GOOGLEFINANCE(""Currency:EURKZT"")*M150)"),238785)</f>
        <v>238785</v>
      </c>
      <c r="Q150" s="26">
        <f ca="1">IFERROR(__xludf.DUMMYFUNCTION("ROUND(GOOGLEFINANCE(""Currency:EURKZT"")*N150)"),238785)</f>
        <v>238785</v>
      </c>
      <c r="R150" s="26">
        <f t="shared" ca="1" si="4"/>
        <v>236970</v>
      </c>
      <c r="S150" s="26">
        <f t="shared" ca="1" si="5"/>
        <v>2689290</v>
      </c>
      <c r="T150" s="26">
        <f ca="1">IFERROR(__xludf.DUMMYFUNCTION("ROUND(GOOGLEFINANCE(""Currency:EURKZT"")*L150+S150)"),3064493)</f>
        <v>3064493</v>
      </c>
      <c r="U150" s="26">
        <f ca="1">IFERROR(__xludf.DUMMYFUNCTION("D150*GOOGLEFINANCE(""RUBKZT"")*1000/F150"),3589740.56611772)</f>
        <v>3589740.5661177202</v>
      </c>
      <c r="V150" s="27">
        <f t="shared" ca="1" si="6"/>
        <v>0.17139786780968996</v>
      </c>
    </row>
    <row r="151" spans="1:22" ht="12.75" customHeight="1" x14ac:dyDescent="0.2">
      <c r="A151" s="6" t="s">
        <v>150</v>
      </c>
      <c r="B151" s="6" t="s">
        <v>15</v>
      </c>
      <c r="C151" s="7">
        <v>156974</v>
      </c>
      <c r="D151" s="8">
        <v>88896</v>
      </c>
      <c r="E151" s="9" t="s">
        <v>7</v>
      </c>
      <c r="F151" s="36">
        <v>208</v>
      </c>
      <c r="G151" s="25"/>
      <c r="H151" s="14">
        <f t="shared" si="0"/>
        <v>0.55000000000000004</v>
      </c>
      <c r="I151" s="25">
        <f ca="1">IFERROR(__xludf.DUMMYFUNCTION("ROUND(D151*GOOGLEFINANCE(""RUBKZT"")*H151)"),381536)</f>
        <v>381536</v>
      </c>
      <c r="J151" s="26">
        <f ca="1">IFERROR(__xludf.DUMMYFUNCTION("ROUND(I151*GOOGLEFINANCE(""KZTEUR""))"),799)</f>
        <v>799</v>
      </c>
      <c r="K151" s="26">
        <f t="shared" ca="1" si="1"/>
        <v>3841</v>
      </c>
      <c r="L151" s="26">
        <f t="shared" ca="1" si="2"/>
        <v>729.79</v>
      </c>
      <c r="M151" s="26">
        <f t="shared" ref="M151:N151" si="152">M$3</f>
        <v>500</v>
      </c>
      <c r="N151" s="26">
        <f t="shared" si="152"/>
        <v>500</v>
      </c>
      <c r="O151" s="26">
        <f ca="1">IFERROR(__xludf.DUMMYFUNCTION("ROUND(GOOGLEFINANCE(""Currency:EURKZT"")*K151)"),1834345)</f>
        <v>1834345</v>
      </c>
      <c r="P151" s="26">
        <f ca="1">IFERROR(__xludf.DUMMYFUNCTION("ROUND(GOOGLEFINANCE(""Currency:EURKZT"")*M151)"),238785)</f>
        <v>238785</v>
      </c>
      <c r="Q151" s="26">
        <f ca="1">IFERROR(__xludf.DUMMYFUNCTION("ROUND(GOOGLEFINANCE(""Currency:EURKZT"")*N151)"),238785)</f>
        <v>238785</v>
      </c>
      <c r="R151" s="26">
        <f t="shared" ca="1" si="4"/>
        <v>220121</v>
      </c>
      <c r="S151" s="26">
        <f t="shared" ca="1" si="5"/>
        <v>2532036</v>
      </c>
      <c r="T151" s="26">
        <f ca="1">IFERROR(__xludf.DUMMYFUNCTION("ROUND(GOOGLEFINANCE(""Currency:EURKZT"")*L151+S151)"),2880562)</f>
        <v>2880562</v>
      </c>
      <c r="U151" s="26">
        <f ca="1">IFERROR(__xludf.DUMMYFUNCTION("D151*GOOGLEFINANCE(""RUBKZT"")*1000/F151"),3335105.61274707)</f>
        <v>3335105.6127470699</v>
      </c>
      <c r="V151" s="27">
        <f t="shared" ca="1" si="6"/>
        <v>0.15779685101277804</v>
      </c>
    </row>
    <row r="152" spans="1:22" ht="12.75" customHeight="1" x14ac:dyDescent="0.2">
      <c r="A152" s="6" t="s">
        <v>154</v>
      </c>
      <c r="B152" s="6" t="s">
        <v>15</v>
      </c>
      <c r="C152" s="7">
        <v>157002</v>
      </c>
      <c r="D152" s="8">
        <v>144338.4</v>
      </c>
      <c r="E152" s="9" t="s">
        <v>7</v>
      </c>
      <c r="F152" s="36">
        <v>208</v>
      </c>
      <c r="G152" s="25"/>
      <c r="H152" s="14">
        <f t="shared" si="0"/>
        <v>0.55000000000000004</v>
      </c>
      <c r="I152" s="25">
        <f ca="1">IFERROR(__xludf.DUMMYFUNCTION("ROUND(D152*GOOGLEFINANCE(""RUBKZT"")*H152)"),619491)</f>
        <v>619491</v>
      </c>
      <c r="J152" s="26">
        <f ca="1">IFERROR(__xludf.DUMMYFUNCTION("ROUND(I152*GOOGLEFINANCE(""KZTEUR""))"),1297)</f>
        <v>1297</v>
      </c>
      <c r="K152" s="26">
        <f t="shared" ca="1" si="1"/>
        <v>6236</v>
      </c>
      <c r="L152" s="26">
        <f t="shared" ca="1" si="2"/>
        <v>1184.8399999999999</v>
      </c>
      <c r="M152" s="26">
        <f t="shared" ref="M152:N152" si="153">M$3</f>
        <v>500</v>
      </c>
      <c r="N152" s="26">
        <f t="shared" si="153"/>
        <v>500</v>
      </c>
      <c r="O152" s="26">
        <f ca="1">IFERROR(__xludf.DUMMYFUNCTION("ROUND(GOOGLEFINANCE(""Currency:EURKZT"")*K152)"),2978124)</f>
        <v>2978124</v>
      </c>
      <c r="P152" s="26">
        <f ca="1">IFERROR(__xludf.DUMMYFUNCTION("ROUND(GOOGLEFINANCE(""Currency:EURKZT"")*M152)"),238785)</f>
        <v>238785</v>
      </c>
      <c r="Q152" s="26">
        <f ca="1">IFERROR(__xludf.DUMMYFUNCTION("ROUND(GOOGLEFINANCE(""Currency:EURKZT"")*N152)"),238785)</f>
        <v>238785</v>
      </c>
      <c r="R152" s="26">
        <f t="shared" ca="1" si="4"/>
        <v>357375</v>
      </c>
      <c r="S152" s="26">
        <f t="shared" ca="1" si="5"/>
        <v>3813069</v>
      </c>
      <c r="T152" s="26">
        <f ca="1">IFERROR(__xludf.DUMMYFUNCTION("ROUND(GOOGLEFINANCE(""Currency:EURKZT"")*L152+S152)"),4378913)</f>
        <v>4378913</v>
      </c>
      <c r="U152" s="26">
        <f ca="1">IFERROR(__xludf.DUMMYFUNCTION("D152*GOOGLEFINANCE(""RUBKZT"")*1000/F152"),5415134.62894767)</f>
        <v>5415134.6289476696</v>
      </c>
      <c r="V152" s="27">
        <f t="shared" ca="1" si="6"/>
        <v>0.23663900811632238</v>
      </c>
    </row>
    <row r="153" spans="1:22" ht="12.75" customHeight="1" x14ac:dyDescent="0.2">
      <c r="A153" s="6" t="s">
        <v>180</v>
      </c>
      <c r="B153" s="6" t="s">
        <v>15</v>
      </c>
      <c r="C153" s="7">
        <v>157042</v>
      </c>
      <c r="D153" s="8">
        <v>88204.800000000003</v>
      </c>
      <c r="E153" s="9" t="s">
        <v>7</v>
      </c>
      <c r="F153" s="36">
        <v>208</v>
      </c>
      <c r="G153" s="25"/>
      <c r="H153" s="14">
        <f t="shared" si="0"/>
        <v>0.55000000000000004</v>
      </c>
      <c r="I153" s="25">
        <f ca="1">IFERROR(__xludf.DUMMYFUNCTION("ROUND(D153*GOOGLEFINANCE(""RUBKZT"")*H153)"),378569)</f>
        <v>378569</v>
      </c>
      <c r="J153" s="26">
        <f ca="1">IFERROR(__xludf.DUMMYFUNCTION("ROUND(I153*GOOGLEFINANCE(""KZTEUR""))"),793)</f>
        <v>793</v>
      </c>
      <c r="K153" s="26">
        <f t="shared" ca="1" si="1"/>
        <v>3813</v>
      </c>
      <c r="L153" s="26">
        <f t="shared" ca="1" si="2"/>
        <v>724.47</v>
      </c>
      <c r="M153" s="26">
        <f t="shared" ref="M153:N153" si="154">M$3</f>
        <v>500</v>
      </c>
      <c r="N153" s="26">
        <f t="shared" si="154"/>
        <v>500</v>
      </c>
      <c r="O153" s="26">
        <f ca="1">IFERROR(__xludf.DUMMYFUNCTION("ROUND(GOOGLEFINANCE(""Currency:EURKZT"")*K153)"),1820973)</f>
        <v>1820973</v>
      </c>
      <c r="P153" s="26">
        <f ca="1">IFERROR(__xludf.DUMMYFUNCTION("ROUND(GOOGLEFINANCE(""Currency:EURKZT"")*M153)"),238785)</f>
        <v>238785</v>
      </c>
      <c r="Q153" s="26">
        <f ca="1">IFERROR(__xludf.DUMMYFUNCTION("ROUND(GOOGLEFINANCE(""Currency:EURKZT"")*N153)"),238785)</f>
        <v>238785</v>
      </c>
      <c r="R153" s="26">
        <f t="shared" ca="1" si="4"/>
        <v>218517</v>
      </c>
      <c r="S153" s="26">
        <f t="shared" ca="1" si="5"/>
        <v>2517060</v>
      </c>
      <c r="T153" s="26">
        <f ca="1">IFERROR(__xludf.DUMMYFUNCTION("ROUND(GOOGLEFINANCE(""Currency:EURKZT"")*L153+S153)"),2863045)</f>
        <v>2863045</v>
      </c>
      <c r="U153" s="26">
        <f ca="1">IFERROR(__xludf.DUMMYFUNCTION("D153*GOOGLEFINANCE(""RUBKZT"")*1000/F153"),3309173.90603889)</f>
        <v>3309173.9060388901</v>
      </c>
      <c r="V153" s="27">
        <f t="shared" ca="1" si="6"/>
        <v>0.15582322528597703</v>
      </c>
    </row>
    <row r="154" spans="1:22" ht="12.75" customHeight="1" x14ac:dyDescent="0.2">
      <c r="A154" s="6" t="s">
        <v>8</v>
      </c>
      <c r="B154" s="6" t="s">
        <v>15</v>
      </c>
      <c r="C154" s="7">
        <v>157080</v>
      </c>
      <c r="D154" s="8">
        <v>103466.4</v>
      </c>
      <c r="E154" s="9" t="s">
        <v>7</v>
      </c>
      <c r="F154" s="36">
        <v>208</v>
      </c>
      <c r="G154" s="25"/>
      <c r="H154" s="14">
        <f t="shared" si="0"/>
        <v>0.55000000000000004</v>
      </c>
      <c r="I154" s="25">
        <f ca="1">IFERROR(__xludf.DUMMYFUNCTION("ROUND(D154*GOOGLEFINANCE(""RUBKZT"")*H154)"),444071)</f>
        <v>444071</v>
      </c>
      <c r="J154" s="26">
        <f ca="1">IFERROR(__xludf.DUMMYFUNCTION("ROUND(I154*GOOGLEFINANCE(""KZTEUR""))"),930)</f>
        <v>930</v>
      </c>
      <c r="K154" s="26">
        <f t="shared" ca="1" si="1"/>
        <v>4471</v>
      </c>
      <c r="L154" s="26">
        <f t="shared" ca="1" si="2"/>
        <v>849.49</v>
      </c>
      <c r="M154" s="26">
        <f t="shared" ref="M154:N154" si="155">M$3</f>
        <v>500</v>
      </c>
      <c r="N154" s="26">
        <f t="shared" si="155"/>
        <v>500</v>
      </c>
      <c r="O154" s="26">
        <f ca="1">IFERROR(__xludf.DUMMYFUNCTION("ROUND(GOOGLEFINANCE(""Currency:EURKZT"")*K154)"),2135214)</f>
        <v>2135214</v>
      </c>
      <c r="P154" s="26">
        <f ca="1">IFERROR(__xludf.DUMMYFUNCTION("ROUND(GOOGLEFINANCE(""Currency:EURKZT"")*M154)"),238785)</f>
        <v>238785</v>
      </c>
      <c r="Q154" s="26">
        <f ca="1">IFERROR(__xludf.DUMMYFUNCTION("ROUND(GOOGLEFINANCE(""Currency:EURKZT"")*N154)"),238785)</f>
        <v>238785</v>
      </c>
      <c r="R154" s="26">
        <f t="shared" ca="1" si="4"/>
        <v>256226</v>
      </c>
      <c r="S154" s="26">
        <f t="shared" ca="1" si="5"/>
        <v>2869010</v>
      </c>
      <c r="T154" s="26">
        <f ca="1">IFERROR(__xludf.DUMMYFUNCTION("ROUND(GOOGLEFINANCE(""Currency:EURKZT"")*L154+S154)"),3274701)</f>
        <v>3274701</v>
      </c>
      <c r="U154" s="26">
        <f ca="1">IFERROR(__xludf.DUMMYFUNCTION("D154*GOOGLEFINANCE(""RUBKZT"")*1000/F154"),3881742.38852967)</f>
        <v>3881742.38852967</v>
      </c>
      <c r="V154" s="27">
        <f t="shared" ca="1" si="6"/>
        <v>0.18537307330643926</v>
      </c>
    </row>
    <row r="155" spans="1:22" ht="12.75" customHeight="1" x14ac:dyDescent="0.2">
      <c r="A155" s="6" t="s">
        <v>220</v>
      </c>
      <c r="B155" s="6" t="s">
        <v>15</v>
      </c>
      <c r="C155" s="7">
        <v>157422</v>
      </c>
      <c r="D155" s="8">
        <v>190959.6</v>
      </c>
      <c r="E155" s="9" t="s">
        <v>16</v>
      </c>
      <c r="F155" s="36">
        <v>208</v>
      </c>
      <c r="G155" s="25"/>
      <c r="H155" s="14">
        <f t="shared" si="0"/>
        <v>0.55000000000000004</v>
      </c>
      <c r="I155" s="25">
        <f ca="1">IFERROR(__xludf.DUMMYFUNCTION("ROUND(D155*GOOGLEFINANCE(""RUBKZT"")*H155)"),819587)</f>
        <v>819587</v>
      </c>
      <c r="J155" s="26">
        <f ca="1">IFERROR(__xludf.DUMMYFUNCTION("ROUND(I155*GOOGLEFINANCE(""KZTEUR""))"),1716)</f>
        <v>1716</v>
      </c>
      <c r="K155" s="26">
        <f t="shared" ca="1" si="1"/>
        <v>8250</v>
      </c>
      <c r="L155" s="26">
        <f t="shared" ca="1" si="2"/>
        <v>1567.5</v>
      </c>
      <c r="M155" s="26">
        <f t="shared" ref="M155:N155" si="156">M$3</f>
        <v>500</v>
      </c>
      <c r="N155" s="26">
        <f t="shared" si="156"/>
        <v>500</v>
      </c>
      <c r="O155" s="26">
        <f ca="1">IFERROR(__xludf.DUMMYFUNCTION("ROUND(GOOGLEFINANCE(""Currency:EURKZT"")*K155)"),3939949)</f>
        <v>3939949</v>
      </c>
      <c r="P155" s="26">
        <f ca="1">IFERROR(__xludf.DUMMYFUNCTION("ROUND(GOOGLEFINANCE(""Currency:EURKZT"")*M155)"),238785)</f>
        <v>238785</v>
      </c>
      <c r="Q155" s="26">
        <f ca="1">IFERROR(__xludf.DUMMYFUNCTION("ROUND(GOOGLEFINANCE(""Currency:EURKZT"")*N155)"),238785)</f>
        <v>238785</v>
      </c>
      <c r="R155" s="26">
        <f t="shared" ca="1" si="4"/>
        <v>472794</v>
      </c>
      <c r="S155" s="26">
        <f t="shared" ca="1" si="5"/>
        <v>4890313</v>
      </c>
      <c r="T155" s="26">
        <f ca="1">IFERROR(__xludf.DUMMYFUNCTION("ROUND(GOOGLEFINANCE(""Currency:EURKZT"")*L155+S155)"),5638903)</f>
        <v>5638903</v>
      </c>
      <c r="U155" s="26">
        <f ca="1">IFERROR(__xludf.DUMMYFUNCTION("D155*GOOGLEFINANCE(""RUBKZT"")*1000/F155"),7164219.2423499)</f>
        <v>7164219.2423499003</v>
      </c>
      <c r="V155" s="27">
        <f t="shared" ca="1" si="6"/>
        <v>0.27049875522772787</v>
      </c>
    </row>
    <row r="156" spans="1:22" ht="12.75" customHeight="1" x14ac:dyDescent="0.2">
      <c r="A156" s="6" t="s">
        <v>213</v>
      </c>
      <c r="B156" s="6" t="s">
        <v>15</v>
      </c>
      <c r="C156" s="7">
        <v>157460</v>
      </c>
      <c r="D156" s="8">
        <v>94538.4</v>
      </c>
      <c r="E156" s="9" t="s">
        <v>16</v>
      </c>
      <c r="F156" s="36">
        <v>208</v>
      </c>
      <c r="G156" s="25"/>
      <c r="H156" s="14">
        <f t="shared" si="0"/>
        <v>0.55000000000000004</v>
      </c>
      <c r="I156" s="25">
        <f ca="1">IFERROR(__xludf.DUMMYFUNCTION("ROUND(D156*GOOGLEFINANCE(""RUBKZT"")*H156)"),405753)</f>
        <v>405753</v>
      </c>
      <c r="J156" s="26">
        <f ca="1">IFERROR(__xludf.DUMMYFUNCTION("ROUND(I156*GOOGLEFINANCE(""KZTEUR""))"),850)</f>
        <v>850</v>
      </c>
      <c r="K156" s="26">
        <f t="shared" ca="1" si="1"/>
        <v>4087</v>
      </c>
      <c r="L156" s="26">
        <f t="shared" ca="1" si="2"/>
        <v>776.53</v>
      </c>
      <c r="M156" s="26">
        <f t="shared" ref="M156:N156" si="157">M$3</f>
        <v>500</v>
      </c>
      <c r="N156" s="26">
        <f t="shared" si="157"/>
        <v>500</v>
      </c>
      <c r="O156" s="26">
        <f ca="1">IFERROR(__xludf.DUMMYFUNCTION("ROUND(GOOGLEFINANCE(""Currency:EURKZT"")*K156)"),1951827)</f>
        <v>1951827</v>
      </c>
      <c r="P156" s="26">
        <f ca="1">IFERROR(__xludf.DUMMYFUNCTION("ROUND(GOOGLEFINANCE(""Currency:EURKZT"")*M156)"),238785)</f>
        <v>238785</v>
      </c>
      <c r="Q156" s="26">
        <f ca="1">IFERROR(__xludf.DUMMYFUNCTION("ROUND(GOOGLEFINANCE(""Currency:EURKZT"")*N156)"),238785)</f>
        <v>238785</v>
      </c>
      <c r="R156" s="26">
        <f t="shared" ca="1" si="4"/>
        <v>234219</v>
      </c>
      <c r="S156" s="26">
        <f t="shared" ca="1" si="5"/>
        <v>2663616</v>
      </c>
      <c r="T156" s="26">
        <f ca="1">IFERROR(__xludf.DUMMYFUNCTION("ROUND(GOOGLEFINANCE(""Currency:EURKZT"")*L156+S156)"),3034463)</f>
        <v>3034463</v>
      </c>
      <c r="U156" s="26">
        <f ca="1">IFERROR(__xludf.DUMMYFUNCTION("D156*GOOGLEFINANCE(""RUBKZT"")*1000/F156"),3546791.17688229)</f>
        <v>3546791.1768822898</v>
      </c>
      <c r="V156" s="27">
        <f t="shared" ca="1" si="6"/>
        <v>0.16883652128310342</v>
      </c>
    </row>
    <row r="157" spans="1:22" ht="12.75" customHeight="1" x14ac:dyDescent="0.2">
      <c r="A157" s="6" t="s">
        <v>222</v>
      </c>
      <c r="B157" s="6" t="s">
        <v>15</v>
      </c>
      <c r="C157" s="7">
        <v>157478</v>
      </c>
      <c r="D157" s="8">
        <v>244257.59999999998</v>
      </c>
      <c r="E157" s="9" t="s">
        <v>16</v>
      </c>
      <c r="F157" s="36">
        <v>208</v>
      </c>
      <c r="G157" s="25"/>
      <c r="H157" s="14">
        <f t="shared" si="0"/>
        <v>0.55000000000000004</v>
      </c>
      <c r="I157" s="25">
        <f ca="1">IFERROR(__xludf.DUMMYFUNCTION("ROUND(D157*GOOGLEFINANCE(""RUBKZT"")*H157)"),1048338)</f>
        <v>1048338</v>
      </c>
      <c r="J157" s="26">
        <f ca="1">IFERROR(__xludf.DUMMYFUNCTION("ROUND(I157*GOOGLEFINANCE(""KZTEUR""))"),2196)</f>
        <v>2196</v>
      </c>
      <c r="K157" s="26">
        <f t="shared" ca="1" si="1"/>
        <v>10558</v>
      </c>
      <c r="L157" s="26">
        <f t="shared" ca="1" si="2"/>
        <v>2006.02</v>
      </c>
      <c r="M157" s="26">
        <f t="shared" ref="M157:N157" si="158">M$3</f>
        <v>500</v>
      </c>
      <c r="N157" s="26">
        <f t="shared" si="158"/>
        <v>500</v>
      </c>
      <c r="O157" s="26">
        <f ca="1">IFERROR(__xludf.DUMMYFUNCTION("ROUND(GOOGLEFINANCE(""Currency:EURKZT"")*K157)"),5042180)</f>
        <v>5042180</v>
      </c>
      <c r="P157" s="26">
        <f ca="1">IFERROR(__xludf.DUMMYFUNCTION("ROUND(GOOGLEFINANCE(""Currency:EURKZT"")*M157)"),238785)</f>
        <v>238785</v>
      </c>
      <c r="Q157" s="26">
        <f ca="1">IFERROR(__xludf.DUMMYFUNCTION("ROUND(GOOGLEFINANCE(""Currency:EURKZT"")*N157)"),238785)</f>
        <v>238785</v>
      </c>
      <c r="R157" s="26">
        <f t="shared" ca="1" si="4"/>
        <v>605062</v>
      </c>
      <c r="S157" s="26">
        <f t="shared" ca="1" si="5"/>
        <v>6124812</v>
      </c>
      <c r="T157" s="26">
        <f ca="1">IFERROR(__xludf.DUMMYFUNCTION("ROUND(GOOGLEFINANCE(""Currency:EURKZT"")*L157+S157)"),7082826)</f>
        <v>7082826</v>
      </c>
      <c r="U157" s="26">
        <f ca="1">IFERROR(__xludf.DUMMYFUNCTION("D157*GOOGLEFINANCE(""RUBKZT"")*1000/F157"),9163796.93930132)</f>
        <v>9163796.9393013194</v>
      </c>
      <c r="V157" s="27">
        <f t="shared" ca="1" si="6"/>
        <v>0.29380517597090755</v>
      </c>
    </row>
    <row r="158" spans="1:22" ht="12.75" customHeight="1" x14ac:dyDescent="0.2">
      <c r="A158" s="6" t="s">
        <v>223</v>
      </c>
      <c r="B158" s="6" t="s">
        <v>15</v>
      </c>
      <c r="C158" s="7">
        <v>157530</v>
      </c>
      <c r="D158" s="8">
        <v>273061.2</v>
      </c>
      <c r="E158" s="9" t="s">
        <v>16</v>
      </c>
      <c r="F158" s="36">
        <v>208</v>
      </c>
      <c r="G158" s="25"/>
      <c r="H158" s="14">
        <f t="shared" si="0"/>
        <v>0.55000000000000004</v>
      </c>
      <c r="I158" s="25">
        <f ca="1">IFERROR(__xludf.DUMMYFUNCTION("ROUND(D158*GOOGLEFINANCE(""RUBKZT"")*H158)"),1171962)</f>
        <v>1171962</v>
      </c>
      <c r="J158" s="26">
        <f ca="1">IFERROR(__xludf.DUMMYFUNCTION("ROUND(I158*GOOGLEFINANCE(""KZTEUR""))"),2454)</f>
        <v>2454</v>
      </c>
      <c r="K158" s="26">
        <f t="shared" ca="1" si="1"/>
        <v>11798</v>
      </c>
      <c r="L158" s="26">
        <f t="shared" ca="1" si="2"/>
        <v>2241.62</v>
      </c>
      <c r="M158" s="26">
        <f t="shared" ref="M158:N158" si="159">M$3</f>
        <v>500</v>
      </c>
      <c r="N158" s="26">
        <f t="shared" si="159"/>
        <v>500</v>
      </c>
      <c r="O158" s="26">
        <f ca="1">IFERROR(__xludf.DUMMYFUNCTION("ROUND(GOOGLEFINANCE(""Currency:EURKZT"")*K158)"),5634366)</f>
        <v>5634366</v>
      </c>
      <c r="P158" s="26">
        <f ca="1">IFERROR(__xludf.DUMMYFUNCTION("ROUND(GOOGLEFINANCE(""Currency:EURKZT"")*M158)"),238785)</f>
        <v>238785</v>
      </c>
      <c r="Q158" s="26">
        <f ca="1">IFERROR(__xludf.DUMMYFUNCTION("ROUND(GOOGLEFINANCE(""Currency:EURKZT"")*N158)"),238785)</f>
        <v>238785</v>
      </c>
      <c r="R158" s="26">
        <f t="shared" ca="1" si="4"/>
        <v>676124</v>
      </c>
      <c r="S158" s="26">
        <f t="shared" ca="1" si="5"/>
        <v>6788060</v>
      </c>
      <c r="T158" s="26">
        <f ca="1">IFERROR(__xludf.DUMMYFUNCTION("ROUND(GOOGLEFINANCE(""Currency:EURKZT"")*L158+S158)"),7858590)</f>
        <v>7858590</v>
      </c>
      <c r="U158" s="26">
        <f ca="1">IFERROR(__xludf.DUMMYFUNCTION("D158*GOOGLEFINANCE(""RUBKZT"")*1000/F158"),10244419.7797814)</f>
        <v>10244419.779781399</v>
      </c>
      <c r="V158" s="27">
        <f t="shared" ca="1" si="6"/>
        <v>0.30359514617525529</v>
      </c>
    </row>
    <row r="159" spans="1:22" ht="12.75" customHeight="1" x14ac:dyDescent="0.2">
      <c r="A159" s="6" t="s">
        <v>227</v>
      </c>
      <c r="B159" s="6" t="s">
        <v>15</v>
      </c>
      <c r="C159" s="7">
        <v>157813</v>
      </c>
      <c r="D159" s="8">
        <v>172893.6</v>
      </c>
      <c r="E159" s="9" t="s">
        <v>16</v>
      </c>
      <c r="F159" s="36">
        <v>208</v>
      </c>
      <c r="G159" s="25"/>
      <c r="H159" s="14">
        <f t="shared" si="0"/>
        <v>0.55000000000000004</v>
      </c>
      <c r="I159" s="25">
        <f ca="1">IFERROR(__xludf.DUMMYFUNCTION("ROUND(D159*GOOGLEFINANCE(""RUBKZT"")*H159)"),742049)</f>
        <v>742049</v>
      </c>
      <c r="J159" s="26">
        <f ca="1">IFERROR(__xludf.DUMMYFUNCTION("ROUND(I159*GOOGLEFINANCE(""KZTEUR""))"),1554)</f>
        <v>1554</v>
      </c>
      <c r="K159" s="26">
        <f t="shared" ca="1" si="1"/>
        <v>7471</v>
      </c>
      <c r="L159" s="26">
        <f t="shared" ca="1" si="2"/>
        <v>1419.49</v>
      </c>
      <c r="M159" s="26">
        <f t="shared" ref="M159:N159" si="160">M$3</f>
        <v>500</v>
      </c>
      <c r="N159" s="26">
        <f t="shared" si="160"/>
        <v>500</v>
      </c>
      <c r="O159" s="26">
        <f ca="1">IFERROR(__xludf.DUMMYFUNCTION("ROUND(GOOGLEFINANCE(""Currency:EURKZT"")*K159)"),3567923)</f>
        <v>3567923</v>
      </c>
      <c r="P159" s="26">
        <f ca="1">IFERROR(__xludf.DUMMYFUNCTION("ROUND(GOOGLEFINANCE(""Currency:EURKZT"")*M159)"),238785)</f>
        <v>238785</v>
      </c>
      <c r="Q159" s="26">
        <f ca="1">IFERROR(__xludf.DUMMYFUNCTION("ROUND(GOOGLEFINANCE(""Currency:EURKZT"")*N159)"),238785)</f>
        <v>238785</v>
      </c>
      <c r="R159" s="26">
        <f t="shared" ca="1" si="4"/>
        <v>428151</v>
      </c>
      <c r="S159" s="26">
        <f t="shared" ca="1" si="5"/>
        <v>4473644</v>
      </c>
      <c r="T159" s="26">
        <f ca="1">IFERROR(__xludf.DUMMYFUNCTION("ROUND(GOOGLEFINANCE(""Currency:EURKZT"")*L159+S159)"),5151549)</f>
        <v>5151549</v>
      </c>
      <c r="U159" s="26">
        <f ca="1">IFERROR(__xludf.DUMMYFUNCTION("D159*GOOGLEFINANCE(""RUBKZT"")*1000/F159"),6486438.26232955)</f>
        <v>6486438.2623295505</v>
      </c>
      <c r="V159" s="27">
        <f t="shared" ca="1" si="6"/>
        <v>0.25912386009131438</v>
      </c>
    </row>
    <row r="160" spans="1:22" ht="12.75" customHeight="1" x14ac:dyDescent="0.2">
      <c r="A160" s="6" t="s">
        <v>228</v>
      </c>
      <c r="B160" s="6" t="s">
        <v>15</v>
      </c>
      <c r="C160" s="7">
        <v>158487</v>
      </c>
      <c r="D160" s="8">
        <v>119670</v>
      </c>
      <c r="E160" s="9" t="s">
        <v>7</v>
      </c>
      <c r="F160" s="36">
        <v>208</v>
      </c>
      <c r="G160" s="25"/>
      <c r="H160" s="14">
        <f t="shared" si="0"/>
        <v>0.55000000000000004</v>
      </c>
      <c r="I160" s="25">
        <f ca="1">IFERROR(__xludf.DUMMYFUNCTION("ROUND(D160*GOOGLEFINANCE(""RUBKZT"")*H160)"),513616)</f>
        <v>513616</v>
      </c>
      <c r="J160" s="26">
        <f ca="1">IFERROR(__xludf.DUMMYFUNCTION("ROUND(I160*GOOGLEFINANCE(""KZTEUR""))"),1076)</f>
        <v>1076</v>
      </c>
      <c r="K160" s="26">
        <f t="shared" ca="1" si="1"/>
        <v>5173</v>
      </c>
      <c r="L160" s="26">
        <f t="shared" ca="1" si="2"/>
        <v>982.87</v>
      </c>
      <c r="M160" s="26">
        <f t="shared" ref="M160:N160" si="161">M$3</f>
        <v>500</v>
      </c>
      <c r="N160" s="26">
        <f t="shared" si="161"/>
        <v>500</v>
      </c>
      <c r="O160" s="26">
        <f ca="1">IFERROR(__xludf.DUMMYFUNCTION("ROUND(GOOGLEFINANCE(""Currency:EURKZT"")*K160)"),2470468)</f>
        <v>2470468</v>
      </c>
      <c r="P160" s="26">
        <f ca="1">IFERROR(__xludf.DUMMYFUNCTION("ROUND(GOOGLEFINANCE(""Currency:EURKZT"")*M160)"),238785)</f>
        <v>238785</v>
      </c>
      <c r="Q160" s="26">
        <f ca="1">IFERROR(__xludf.DUMMYFUNCTION("ROUND(GOOGLEFINANCE(""Currency:EURKZT"")*N160)"),238785)</f>
        <v>238785</v>
      </c>
      <c r="R160" s="26">
        <f t="shared" ca="1" si="4"/>
        <v>296456</v>
      </c>
      <c r="S160" s="26">
        <f t="shared" ca="1" si="5"/>
        <v>3244494</v>
      </c>
      <c r="T160" s="26">
        <f ca="1">IFERROR(__xludf.DUMMYFUNCTION("ROUND(GOOGLEFINANCE(""Currency:EURKZT"")*L160+S160)"),3713883)</f>
        <v>3713883</v>
      </c>
      <c r="U160" s="26">
        <f ca="1">IFERROR(__xludf.DUMMYFUNCTION("D160*GOOGLEFINANCE(""RUBKZT"")*1000/F160"),4489651.82547519)</f>
        <v>4489651.8254751898</v>
      </c>
      <c r="V160" s="27">
        <f t="shared" ca="1" si="6"/>
        <v>0.20888348541814317</v>
      </c>
    </row>
    <row r="161" spans="1:22" ht="12.75" customHeight="1" x14ac:dyDescent="0.2">
      <c r="A161" s="6" t="s">
        <v>229</v>
      </c>
      <c r="B161" s="6" t="s">
        <v>15</v>
      </c>
      <c r="C161" s="7">
        <v>158852</v>
      </c>
      <c r="D161" s="8">
        <v>126596.4</v>
      </c>
      <c r="E161" s="9" t="s">
        <v>16</v>
      </c>
      <c r="F161" s="36">
        <v>208</v>
      </c>
      <c r="G161" s="25"/>
      <c r="H161" s="14">
        <f t="shared" si="0"/>
        <v>0.55000000000000004</v>
      </c>
      <c r="I161" s="25">
        <f ca="1">IFERROR(__xludf.DUMMYFUNCTION("ROUND(D161*GOOGLEFINANCE(""RUBKZT"")*H161)"),543344)</f>
        <v>543344</v>
      </c>
      <c r="J161" s="26">
        <f ca="1">IFERROR(__xludf.DUMMYFUNCTION("ROUND(I161*GOOGLEFINANCE(""KZTEUR""))"),1138)</f>
        <v>1138</v>
      </c>
      <c r="K161" s="26">
        <f t="shared" ca="1" si="1"/>
        <v>5471</v>
      </c>
      <c r="L161" s="26">
        <f t="shared" ca="1" si="2"/>
        <v>1039.49</v>
      </c>
      <c r="M161" s="26">
        <f t="shared" ref="M161:N161" si="162">M$3</f>
        <v>500</v>
      </c>
      <c r="N161" s="26">
        <f t="shared" si="162"/>
        <v>500</v>
      </c>
      <c r="O161" s="26">
        <f ca="1">IFERROR(__xludf.DUMMYFUNCTION("ROUND(GOOGLEFINANCE(""Currency:EURKZT"")*K161)"),2612783)</f>
        <v>2612783</v>
      </c>
      <c r="P161" s="26">
        <f ca="1">IFERROR(__xludf.DUMMYFUNCTION("ROUND(GOOGLEFINANCE(""Currency:EURKZT"")*M161)"),238785)</f>
        <v>238785</v>
      </c>
      <c r="Q161" s="26">
        <f ca="1">IFERROR(__xludf.DUMMYFUNCTION("ROUND(GOOGLEFINANCE(""Currency:EURKZT"")*N161)"),238785)</f>
        <v>238785</v>
      </c>
      <c r="R161" s="26">
        <f t="shared" ca="1" si="4"/>
        <v>313534</v>
      </c>
      <c r="S161" s="26">
        <f t="shared" ca="1" si="5"/>
        <v>3403887</v>
      </c>
      <c r="T161" s="26">
        <f ca="1">IFERROR(__xludf.DUMMYFUNCTION("ROUND(GOOGLEFINANCE(""Currency:EURKZT"")*L161+S161)"),3900316)</f>
        <v>3900316</v>
      </c>
      <c r="U161" s="26">
        <f ca="1">IFERROR(__xludf.DUMMYFUNCTION("D161*GOOGLEFINANCE(""RUBKZT"")*1000/F161"),4749509.13644679)</f>
        <v>4749509.1364467898</v>
      </c>
      <c r="V161" s="27">
        <f t="shared" ca="1" si="6"/>
        <v>0.21772418861620182</v>
      </c>
    </row>
    <row r="162" spans="1:22" ht="12.75" customHeight="1" x14ac:dyDescent="0.2">
      <c r="A162" s="6" t="s">
        <v>230</v>
      </c>
      <c r="B162" s="6" t="s">
        <v>15</v>
      </c>
      <c r="C162" s="7">
        <v>158853</v>
      </c>
      <c r="D162" s="8">
        <v>120110.39999999999</v>
      </c>
      <c r="E162" s="9" t="s">
        <v>16</v>
      </c>
      <c r="F162" s="36">
        <v>208</v>
      </c>
      <c r="G162" s="25"/>
      <c r="H162" s="14">
        <f t="shared" si="0"/>
        <v>0.55000000000000004</v>
      </c>
      <c r="I162" s="25">
        <f ca="1">IFERROR(__xludf.DUMMYFUNCTION("ROUND(D162*GOOGLEFINANCE(""RUBKZT"")*H162)"),515506)</f>
        <v>515506</v>
      </c>
      <c r="J162" s="26">
        <f ca="1">IFERROR(__xludf.DUMMYFUNCTION("ROUND(I162*GOOGLEFINANCE(""KZTEUR""))"),1080)</f>
        <v>1080</v>
      </c>
      <c r="K162" s="26">
        <f t="shared" ca="1" si="1"/>
        <v>5192</v>
      </c>
      <c r="L162" s="26">
        <f t="shared" ca="1" si="2"/>
        <v>986.48</v>
      </c>
      <c r="M162" s="26">
        <f t="shared" ref="M162:N162" si="163">M$3</f>
        <v>500</v>
      </c>
      <c r="N162" s="26">
        <f t="shared" si="163"/>
        <v>500</v>
      </c>
      <c r="O162" s="26">
        <f ca="1">IFERROR(__xludf.DUMMYFUNCTION("ROUND(GOOGLEFINANCE(""Currency:EURKZT"")*K162)"),2479541)</f>
        <v>2479541</v>
      </c>
      <c r="P162" s="26">
        <f ca="1">IFERROR(__xludf.DUMMYFUNCTION("ROUND(GOOGLEFINANCE(""Currency:EURKZT"")*M162)"),238785)</f>
        <v>238785</v>
      </c>
      <c r="Q162" s="26">
        <f ca="1">IFERROR(__xludf.DUMMYFUNCTION("ROUND(GOOGLEFINANCE(""Currency:EURKZT"")*N162)"),238785)</f>
        <v>238785</v>
      </c>
      <c r="R162" s="26">
        <f t="shared" ca="1" si="4"/>
        <v>297545</v>
      </c>
      <c r="S162" s="26">
        <f t="shared" ca="1" si="5"/>
        <v>3254656</v>
      </c>
      <c r="T162" s="26">
        <f ca="1">IFERROR(__xludf.DUMMYFUNCTION("ROUND(GOOGLEFINANCE(""Currency:EURKZT"")*L162+S162)"),3725769)</f>
        <v>3725769</v>
      </c>
      <c r="U162" s="26">
        <f ca="1">IFERROR(__xludf.DUMMYFUNCTION("D162*GOOGLEFINANCE(""RUBKZT"")*1000/F162"),4506174.28443683)</f>
        <v>4506174.2844368303</v>
      </c>
      <c r="V162" s="27">
        <f t="shared" ca="1" si="6"/>
        <v>0.20946153248814683</v>
      </c>
    </row>
    <row r="163" spans="1:22" ht="12.75" customHeight="1" x14ac:dyDescent="0.2">
      <c r="A163" s="6" t="s">
        <v>231</v>
      </c>
      <c r="B163" s="6" t="s">
        <v>15</v>
      </c>
      <c r="C163" s="7">
        <v>158854</v>
      </c>
      <c r="D163" s="8">
        <v>121719.59999999999</v>
      </c>
      <c r="E163" s="9" t="s">
        <v>16</v>
      </c>
      <c r="F163" s="36">
        <v>208</v>
      </c>
      <c r="G163" s="25"/>
      <c r="H163" s="14">
        <f t="shared" si="0"/>
        <v>0.55000000000000004</v>
      </c>
      <c r="I163" s="25">
        <f ca="1">IFERROR(__xludf.DUMMYFUNCTION("ROUND(D163*GOOGLEFINANCE(""RUBKZT"")*H163)"),522413)</f>
        <v>522413</v>
      </c>
      <c r="J163" s="26">
        <f ca="1">IFERROR(__xludf.DUMMYFUNCTION("ROUND(I163*GOOGLEFINANCE(""KZTEUR""))"),1094)</f>
        <v>1094</v>
      </c>
      <c r="K163" s="26">
        <f t="shared" ca="1" si="1"/>
        <v>5260</v>
      </c>
      <c r="L163" s="26">
        <f t="shared" ca="1" si="2"/>
        <v>999.4</v>
      </c>
      <c r="M163" s="26">
        <f t="shared" ref="M163:N163" si="164">M$3</f>
        <v>500</v>
      </c>
      <c r="N163" s="26">
        <f t="shared" si="164"/>
        <v>500</v>
      </c>
      <c r="O163" s="26">
        <f ca="1">IFERROR(__xludf.DUMMYFUNCTION("ROUND(GOOGLEFINANCE(""Currency:EURKZT"")*K163)"),2512016)</f>
        <v>2512016</v>
      </c>
      <c r="P163" s="26">
        <f ca="1">IFERROR(__xludf.DUMMYFUNCTION("ROUND(GOOGLEFINANCE(""Currency:EURKZT"")*M163)"),238785)</f>
        <v>238785</v>
      </c>
      <c r="Q163" s="26">
        <f ca="1">IFERROR(__xludf.DUMMYFUNCTION("ROUND(GOOGLEFINANCE(""Currency:EURKZT"")*N163)"),238785)</f>
        <v>238785</v>
      </c>
      <c r="R163" s="26">
        <f t="shared" ca="1" si="4"/>
        <v>301442</v>
      </c>
      <c r="S163" s="26">
        <f t="shared" ca="1" si="5"/>
        <v>3291028</v>
      </c>
      <c r="T163" s="26">
        <f ca="1">IFERROR(__xludf.DUMMYFUNCTION("ROUND(GOOGLEFINANCE(""Currency:EURKZT"")*L163+S163)"),3768311)</f>
        <v>3768311</v>
      </c>
      <c r="U163" s="26">
        <f ca="1">IFERROR(__xludf.DUMMYFUNCTION("D163*GOOGLEFINANCE(""RUBKZT"")*1000/F163"),4566546.53911682)</f>
        <v>4566546.5391168203</v>
      </c>
      <c r="V163" s="27">
        <f t="shared" ca="1" si="6"/>
        <v>0.21182846615282558</v>
      </c>
    </row>
    <row r="164" spans="1:22" ht="12.75" customHeight="1" x14ac:dyDescent="0.2">
      <c r="A164" s="6" t="s">
        <v>232</v>
      </c>
      <c r="B164" s="6" t="s">
        <v>15</v>
      </c>
      <c r="C164" s="7">
        <v>159212</v>
      </c>
      <c r="D164" s="8">
        <v>87855.599999999991</v>
      </c>
      <c r="E164" s="9" t="s">
        <v>16</v>
      </c>
      <c r="F164" s="36">
        <v>208</v>
      </c>
      <c r="G164" s="25"/>
      <c r="H164" s="14">
        <f t="shared" si="0"/>
        <v>0.55000000000000004</v>
      </c>
      <c r="I164" s="25">
        <f ca="1">IFERROR(__xludf.DUMMYFUNCTION("ROUND(D164*GOOGLEFINANCE(""RUBKZT"")*H164)"),377071)</f>
        <v>377071</v>
      </c>
      <c r="J164" s="26">
        <f ca="1">IFERROR(__xludf.DUMMYFUNCTION("ROUND(I164*GOOGLEFINANCE(""KZTEUR""))"),790)</f>
        <v>790</v>
      </c>
      <c r="K164" s="26">
        <f t="shared" ca="1" si="1"/>
        <v>3798</v>
      </c>
      <c r="L164" s="26">
        <f t="shared" ca="1" si="2"/>
        <v>721.62</v>
      </c>
      <c r="M164" s="26">
        <f t="shared" ref="M164:N164" si="165">M$3</f>
        <v>500</v>
      </c>
      <c r="N164" s="26">
        <f t="shared" si="165"/>
        <v>500</v>
      </c>
      <c r="O164" s="26">
        <f ca="1">IFERROR(__xludf.DUMMYFUNCTION("ROUND(GOOGLEFINANCE(""Currency:EURKZT"")*K164)"),1813809)</f>
        <v>1813809</v>
      </c>
      <c r="P164" s="26">
        <f ca="1">IFERROR(__xludf.DUMMYFUNCTION("ROUND(GOOGLEFINANCE(""Currency:EURKZT"")*M164)"),238785)</f>
        <v>238785</v>
      </c>
      <c r="Q164" s="26">
        <f ca="1">IFERROR(__xludf.DUMMYFUNCTION("ROUND(GOOGLEFINANCE(""Currency:EURKZT"")*N164)"),238785)</f>
        <v>238785</v>
      </c>
      <c r="R164" s="26">
        <f t="shared" ca="1" si="4"/>
        <v>217657</v>
      </c>
      <c r="S164" s="26">
        <f t="shared" ca="1" si="5"/>
        <v>2509036</v>
      </c>
      <c r="T164" s="26">
        <f ca="1">IFERROR(__xludf.DUMMYFUNCTION("ROUND(GOOGLEFINANCE(""Currency:EURKZT"")*L164+S164)"),2853660)</f>
        <v>2853660</v>
      </c>
      <c r="U164" s="26">
        <f ca="1">IFERROR(__xludf.DUMMYFUNCTION("D164*GOOGLEFINANCE(""RUBKZT"")*1000/F164"),3296072.99171236)</f>
        <v>3296072.9917123602</v>
      </c>
      <c r="V164" s="27">
        <f t="shared" ca="1" si="6"/>
        <v>0.15503353297602385</v>
      </c>
    </row>
    <row r="165" spans="1:22" ht="12.75" customHeight="1" x14ac:dyDescent="0.2">
      <c r="A165" s="6" t="s">
        <v>233</v>
      </c>
      <c r="B165" s="6" t="s">
        <v>15</v>
      </c>
      <c r="C165" s="7">
        <v>160289</v>
      </c>
      <c r="D165" s="8">
        <v>103153.2</v>
      </c>
      <c r="E165" s="9" t="s">
        <v>16</v>
      </c>
      <c r="F165" s="36">
        <v>208</v>
      </c>
      <c r="G165" s="25"/>
      <c r="H165" s="14">
        <f t="shared" si="0"/>
        <v>0.55000000000000004</v>
      </c>
      <c r="I165" s="25">
        <f ca="1">IFERROR(__xludf.DUMMYFUNCTION("ROUND(D165*GOOGLEFINANCE(""RUBKZT"")*H165)"),442727)</f>
        <v>442727</v>
      </c>
      <c r="J165" s="26">
        <f ca="1">IFERROR(__xludf.DUMMYFUNCTION("ROUND(I165*GOOGLEFINANCE(""KZTEUR""))"),927)</f>
        <v>927</v>
      </c>
      <c r="K165" s="26">
        <f t="shared" ca="1" si="1"/>
        <v>4457</v>
      </c>
      <c r="L165" s="26">
        <f t="shared" ca="1" si="2"/>
        <v>846.83</v>
      </c>
      <c r="M165" s="26">
        <f t="shared" ref="M165:N165" si="166">M$3</f>
        <v>500</v>
      </c>
      <c r="N165" s="26">
        <f t="shared" si="166"/>
        <v>500</v>
      </c>
      <c r="O165" s="26">
        <f ca="1">IFERROR(__xludf.DUMMYFUNCTION("ROUND(GOOGLEFINANCE(""Currency:EURKZT"")*K165)"),2128528)</f>
        <v>2128528</v>
      </c>
      <c r="P165" s="26">
        <f ca="1">IFERROR(__xludf.DUMMYFUNCTION("ROUND(GOOGLEFINANCE(""Currency:EURKZT"")*M165)"),238785)</f>
        <v>238785</v>
      </c>
      <c r="Q165" s="26">
        <f ca="1">IFERROR(__xludf.DUMMYFUNCTION("ROUND(GOOGLEFINANCE(""Currency:EURKZT"")*N165)"),238785)</f>
        <v>238785</v>
      </c>
      <c r="R165" s="26">
        <f t="shared" ca="1" si="4"/>
        <v>255423</v>
      </c>
      <c r="S165" s="26">
        <f t="shared" ca="1" si="5"/>
        <v>2861521</v>
      </c>
      <c r="T165" s="26">
        <f ca="1">IFERROR(__xludf.DUMMYFUNCTION("ROUND(GOOGLEFINANCE(""Currency:EURKZT"")*L165+S165)"),3265941)</f>
        <v>3265941</v>
      </c>
      <c r="U165" s="26">
        <f ca="1">IFERROR(__xludf.DUMMYFUNCTION("D165*GOOGLEFINANCE(""RUBKZT"")*1000/F165"),3869992.08392753)</f>
        <v>3869992.0839275299</v>
      </c>
      <c r="V165" s="27">
        <f t="shared" ca="1" si="6"/>
        <v>0.18495468348250316</v>
      </c>
    </row>
    <row r="166" spans="1:22" ht="12.75" customHeight="1" x14ac:dyDescent="0.2">
      <c r="A166" s="6" t="s">
        <v>234</v>
      </c>
      <c r="B166" s="6" t="s">
        <v>15</v>
      </c>
      <c r="C166" s="7">
        <v>160664</v>
      </c>
      <c r="D166" s="8">
        <v>233797.19999999998</v>
      </c>
      <c r="E166" s="9" t="s">
        <v>16</v>
      </c>
      <c r="F166" s="36">
        <v>208</v>
      </c>
      <c r="G166" s="25"/>
      <c r="H166" s="14">
        <f t="shared" si="0"/>
        <v>0.55000000000000004</v>
      </c>
      <c r="I166" s="25">
        <f ca="1">IFERROR(__xludf.DUMMYFUNCTION("ROUND(D166*GOOGLEFINANCE(""RUBKZT"")*H166)"),1003443)</f>
        <v>1003443</v>
      </c>
      <c r="J166" s="26">
        <f ca="1">IFERROR(__xludf.DUMMYFUNCTION("ROUND(I166*GOOGLEFINANCE(""KZTEUR""))"),2102)</f>
        <v>2102</v>
      </c>
      <c r="K166" s="26">
        <f t="shared" ca="1" si="1"/>
        <v>10106</v>
      </c>
      <c r="L166" s="26">
        <f t="shared" ca="1" si="2"/>
        <v>1920.14</v>
      </c>
      <c r="M166" s="26">
        <f t="shared" ref="M166:N166" si="167">M$3</f>
        <v>500</v>
      </c>
      <c r="N166" s="26">
        <f t="shared" si="167"/>
        <v>500</v>
      </c>
      <c r="O166" s="26">
        <f ca="1">IFERROR(__xludf.DUMMYFUNCTION("ROUND(GOOGLEFINANCE(""Currency:EURKZT"")*K166)"),4826319)</f>
        <v>4826319</v>
      </c>
      <c r="P166" s="26">
        <f ca="1">IFERROR(__xludf.DUMMYFUNCTION("ROUND(GOOGLEFINANCE(""Currency:EURKZT"")*M166)"),238785)</f>
        <v>238785</v>
      </c>
      <c r="Q166" s="26">
        <f ca="1">IFERROR(__xludf.DUMMYFUNCTION("ROUND(GOOGLEFINANCE(""Currency:EURKZT"")*N166)"),238785)</f>
        <v>238785</v>
      </c>
      <c r="R166" s="26">
        <f t="shared" ca="1" si="4"/>
        <v>579158</v>
      </c>
      <c r="S166" s="26">
        <f t="shared" ca="1" si="5"/>
        <v>5883047</v>
      </c>
      <c r="T166" s="26">
        <f ca="1">IFERROR(__xludf.DUMMYFUNCTION("ROUND(GOOGLEFINANCE(""Currency:EURKZT"")*L166+S166)"),6800048)</f>
        <v>6800048</v>
      </c>
      <c r="U166" s="26">
        <f ca="1">IFERROR(__xludf.DUMMYFUNCTION("D166*GOOGLEFINANCE(""RUBKZT"")*1000/F166"),8771354.7737193)</f>
        <v>8771354.7737192996</v>
      </c>
      <c r="V166" s="27">
        <f t="shared" ca="1" si="6"/>
        <v>0.28989600863395371</v>
      </c>
    </row>
    <row r="167" spans="1:22" ht="12.75" customHeight="1" x14ac:dyDescent="0.2">
      <c r="A167" s="6" t="s">
        <v>235</v>
      </c>
      <c r="B167" s="6" t="s">
        <v>15</v>
      </c>
      <c r="C167" s="7">
        <v>160694</v>
      </c>
      <c r="D167" s="8">
        <v>124051.2</v>
      </c>
      <c r="E167" s="9" t="s">
        <v>16</v>
      </c>
      <c r="F167" s="36">
        <v>208</v>
      </c>
      <c r="G167" s="25"/>
      <c r="H167" s="14">
        <f t="shared" si="0"/>
        <v>0.55000000000000004</v>
      </c>
      <c r="I167" s="25">
        <f ca="1">IFERROR(__xludf.DUMMYFUNCTION("ROUND(D167*GOOGLEFINANCE(""RUBKZT"")*H167)"),532420)</f>
        <v>532420</v>
      </c>
      <c r="J167" s="26">
        <f ca="1">IFERROR(__xludf.DUMMYFUNCTION("ROUND(I167*GOOGLEFINANCE(""KZTEUR""))"),1115)</f>
        <v>1115</v>
      </c>
      <c r="K167" s="26">
        <f t="shared" ca="1" si="1"/>
        <v>5361</v>
      </c>
      <c r="L167" s="26">
        <f t="shared" ca="1" si="2"/>
        <v>1018.59</v>
      </c>
      <c r="M167" s="26">
        <f t="shared" ref="M167:N167" si="168">M$3</f>
        <v>500</v>
      </c>
      <c r="N167" s="26">
        <f t="shared" si="168"/>
        <v>500</v>
      </c>
      <c r="O167" s="26">
        <f ca="1">IFERROR(__xludf.DUMMYFUNCTION("ROUND(GOOGLEFINANCE(""Currency:EURKZT"")*K167)"),2560251)</f>
        <v>2560251</v>
      </c>
      <c r="P167" s="26">
        <f ca="1">IFERROR(__xludf.DUMMYFUNCTION("ROUND(GOOGLEFINANCE(""Currency:EURKZT"")*M167)"),238785)</f>
        <v>238785</v>
      </c>
      <c r="Q167" s="26">
        <f ca="1">IFERROR(__xludf.DUMMYFUNCTION("ROUND(GOOGLEFINANCE(""Currency:EURKZT"")*N167)"),238785)</f>
        <v>238785</v>
      </c>
      <c r="R167" s="26">
        <f t="shared" ca="1" si="4"/>
        <v>307230</v>
      </c>
      <c r="S167" s="26">
        <f t="shared" ca="1" si="5"/>
        <v>3345051</v>
      </c>
      <c r="T167" s="26">
        <f ca="1">IFERROR(__xludf.DUMMYFUNCTION("ROUND(GOOGLEFINANCE(""Currency:EURKZT"")*L167+S167)"),3831499)</f>
        <v>3831499</v>
      </c>
      <c r="U167" s="26">
        <f ca="1">IFERROR(__xludf.DUMMYFUNCTION("D167*GOOGLEFINANCE(""RUBKZT"")*1000/F167"),4654021.0289328)</f>
        <v>4654021.0289327996</v>
      </c>
      <c r="V167" s="27">
        <f t="shared" ca="1" si="6"/>
        <v>0.21467369009695672</v>
      </c>
    </row>
    <row r="168" spans="1:22" ht="12.75" customHeight="1" x14ac:dyDescent="0.2">
      <c r="A168" s="6" t="s">
        <v>237</v>
      </c>
      <c r="B168" s="6" t="s">
        <v>15</v>
      </c>
      <c r="C168" s="7">
        <v>160783</v>
      </c>
      <c r="D168" s="8">
        <v>112963.2</v>
      </c>
      <c r="E168" s="9" t="s">
        <v>16</v>
      </c>
      <c r="F168" s="36">
        <v>208</v>
      </c>
      <c r="G168" s="25"/>
      <c r="H168" s="14">
        <f t="shared" si="0"/>
        <v>0.55000000000000004</v>
      </c>
      <c r="I168" s="25">
        <f ca="1">IFERROR(__xludf.DUMMYFUNCTION("ROUND(D168*GOOGLEFINANCE(""RUBKZT"")*H168)"),484831)</f>
        <v>484831</v>
      </c>
      <c r="J168" s="26">
        <f ca="1">IFERROR(__xludf.DUMMYFUNCTION("ROUND(I168*GOOGLEFINANCE(""KZTEUR""))"),1015)</f>
        <v>1015</v>
      </c>
      <c r="K168" s="26">
        <f t="shared" ca="1" si="1"/>
        <v>4880</v>
      </c>
      <c r="L168" s="26">
        <f t="shared" ca="1" si="2"/>
        <v>927.2</v>
      </c>
      <c r="M168" s="26">
        <f t="shared" ref="M168:N168" si="169">M$3</f>
        <v>500</v>
      </c>
      <c r="N168" s="26">
        <f t="shared" si="169"/>
        <v>500</v>
      </c>
      <c r="O168" s="26">
        <f ca="1">IFERROR(__xludf.DUMMYFUNCTION("ROUND(GOOGLEFINANCE(""Currency:EURKZT"")*K168)"),2330540)</f>
        <v>2330540</v>
      </c>
      <c r="P168" s="26">
        <f ca="1">IFERROR(__xludf.DUMMYFUNCTION("ROUND(GOOGLEFINANCE(""Currency:EURKZT"")*M168)"),238785)</f>
        <v>238785</v>
      </c>
      <c r="Q168" s="26">
        <f ca="1">IFERROR(__xludf.DUMMYFUNCTION("ROUND(GOOGLEFINANCE(""Currency:EURKZT"")*N168)"),238785)</f>
        <v>238785</v>
      </c>
      <c r="R168" s="26">
        <f t="shared" ca="1" si="4"/>
        <v>279665</v>
      </c>
      <c r="S168" s="26">
        <f t="shared" ca="1" si="5"/>
        <v>3087775</v>
      </c>
      <c r="T168" s="26">
        <f ca="1">IFERROR(__xludf.DUMMYFUNCTION("ROUND(GOOGLEFINANCE(""Currency:EURKZT"")*L168+S168)"),3530578)</f>
        <v>3530578</v>
      </c>
      <c r="U168" s="26">
        <f ca="1">IFERROR(__xludf.DUMMYFUNCTION("D168*GOOGLEFINANCE(""RUBKZT"")*1000/F168"),4238033.23382233)</f>
        <v>4238033.2338223299</v>
      </c>
      <c r="V168" s="27">
        <f t="shared" ca="1" si="6"/>
        <v>0.2003794375375165</v>
      </c>
    </row>
    <row r="169" spans="1:22" ht="12.75" customHeight="1" x14ac:dyDescent="0.2">
      <c r="A169" s="6" t="s">
        <v>241</v>
      </c>
      <c r="B169" s="6" t="s">
        <v>15</v>
      </c>
      <c r="C169" s="7">
        <v>161408</v>
      </c>
      <c r="D169" s="8">
        <v>90786</v>
      </c>
      <c r="E169" s="9" t="s">
        <v>16</v>
      </c>
      <c r="F169" s="36">
        <v>208</v>
      </c>
      <c r="G169" s="25"/>
      <c r="H169" s="14">
        <f t="shared" si="0"/>
        <v>0.55000000000000004</v>
      </c>
      <c r="I169" s="25">
        <f ca="1">IFERROR(__xludf.DUMMYFUNCTION("ROUND(D169*GOOGLEFINANCE(""RUBKZT"")*H169)"),389648)</f>
        <v>389648</v>
      </c>
      <c r="J169" s="26">
        <f ca="1">IFERROR(__xludf.DUMMYFUNCTION("ROUND(I169*GOOGLEFINANCE(""KZTEUR""))"),816)</f>
        <v>816</v>
      </c>
      <c r="K169" s="26">
        <f t="shared" ca="1" si="1"/>
        <v>3923</v>
      </c>
      <c r="L169" s="26">
        <f t="shared" ca="1" si="2"/>
        <v>745.37</v>
      </c>
      <c r="M169" s="26">
        <f t="shared" ref="M169:N169" si="170">M$3</f>
        <v>500</v>
      </c>
      <c r="N169" s="26">
        <f t="shared" si="170"/>
        <v>500</v>
      </c>
      <c r="O169" s="26">
        <f ca="1">IFERROR(__xludf.DUMMYFUNCTION("ROUND(GOOGLEFINANCE(""Currency:EURKZT"")*K169)"),1873506)</f>
        <v>1873506</v>
      </c>
      <c r="P169" s="26">
        <f ca="1">IFERROR(__xludf.DUMMYFUNCTION("ROUND(GOOGLEFINANCE(""Currency:EURKZT"")*M169)"),238785)</f>
        <v>238785</v>
      </c>
      <c r="Q169" s="26">
        <f ca="1">IFERROR(__xludf.DUMMYFUNCTION("ROUND(GOOGLEFINANCE(""Currency:EURKZT"")*N169)"),238785)</f>
        <v>238785</v>
      </c>
      <c r="R169" s="26">
        <f t="shared" ca="1" si="4"/>
        <v>224821</v>
      </c>
      <c r="S169" s="26">
        <f t="shared" ca="1" si="5"/>
        <v>2575897</v>
      </c>
      <c r="T169" s="26">
        <f ca="1">IFERROR(__xludf.DUMMYFUNCTION("ROUND(GOOGLEFINANCE(""Currency:EURKZT"")*L169+S169)"),2931863)</f>
        <v>2931863</v>
      </c>
      <c r="U169" s="26">
        <f ca="1">IFERROR(__xludf.DUMMYFUNCTION("D169*GOOGLEFINANCE(""RUBKZT"")*1000/F169"),3406012.62327726)</f>
        <v>3406012.62327726</v>
      </c>
      <c r="V169" s="27">
        <f t="shared" ca="1" si="6"/>
        <v>0.16172298067039967</v>
      </c>
    </row>
    <row r="170" spans="1:22" ht="12.75" customHeight="1" x14ac:dyDescent="0.2">
      <c r="A170" s="6" t="s">
        <v>243</v>
      </c>
      <c r="B170" s="6" t="s">
        <v>15</v>
      </c>
      <c r="C170" s="7">
        <v>162117</v>
      </c>
      <c r="D170" s="8">
        <v>91472.4</v>
      </c>
      <c r="E170" s="9" t="s">
        <v>16</v>
      </c>
      <c r="F170" s="36">
        <v>208</v>
      </c>
      <c r="G170" s="25"/>
      <c r="H170" s="14">
        <f t="shared" si="0"/>
        <v>0.55000000000000004</v>
      </c>
      <c r="I170" s="25">
        <f ca="1">IFERROR(__xludf.DUMMYFUNCTION("ROUND(D170*GOOGLEFINANCE(""RUBKZT"")*H170)"),392594)</f>
        <v>392594</v>
      </c>
      <c r="J170" s="26">
        <f ca="1">IFERROR(__xludf.DUMMYFUNCTION("ROUND(I170*GOOGLEFINANCE(""KZTEUR""))"),822)</f>
        <v>822</v>
      </c>
      <c r="K170" s="26">
        <f t="shared" ca="1" si="1"/>
        <v>3952</v>
      </c>
      <c r="L170" s="26">
        <f t="shared" ca="1" si="2"/>
        <v>750.88</v>
      </c>
      <c r="M170" s="26">
        <f t="shared" ref="M170:N170" si="171">M$3</f>
        <v>500</v>
      </c>
      <c r="N170" s="26">
        <f t="shared" si="171"/>
        <v>500</v>
      </c>
      <c r="O170" s="26">
        <f ca="1">IFERROR(__xludf.DUMMYFUNCTION("ROUND(GOOGLEFINANCE(""Currency:EURKZT"")*K170)"),1887355)</f>
        <v>1887355</v>
      </c>
      <c r="P170" s="26">
        <f ca="1">IFERROR(__xludf.DUMMYFUNCTION("ROUND(GOOGLEFINANCE(""Currency:EURKZT"")*M170)"),238785)</f>
        <v>238785</v>
      </c>
      <c r="Q170" s="26">
        <f ca="1">IFERROR(__xludf.DUMMYFUNCTION("ROUND(GOOGLEFINANCE(""Currency:EURKZT"")*N170)"),238785)</f>
        <v>238785</v>
      </c>
      <c r="R170" s="26">
        <f t="shared" ca="1" si="4"/>
        <v>226483</v>
      </c>
      <c r="S170" s="26">
        <f t="shared" ca="1" si="5"/>
        <v>2591408</v>
      </c>
      <c r="T170" s="26">
        <f ca="1">IFERROR(__xludf.DUMMYFUNCTION("ROUND(GOOGLEFINANCE(""Currency:EURKZT"")*L170+S170)"),2950005)</f>
        <v>2950005</v>
      </c>
      <c r="U170" s="26">
        <f ca="1">IFERROR(__xludf.DUMMYFUNCTION("D170*GOOGLEFINANCE(""RUBKZT"")*1000/F170"),3431764.24868886)</f>
        <v>3431764.2486888599</v>
      </c>
      <c r="V170" s="27">
        <f t="shared" ca="1" si="6"/>
        <v>0.16330794310140487</v>
      </c>
    </row>
    <row r="171" spans="1:22" ht="12.75" customHeight="1" x14ac:dyDescent="0.2">
      <c r="A171" s="6" t="s">
        <v>244</v>
      </c>
      <c r="B171" s="6" t="s">
        <v>15</v>
      </c>
      <c r="C171" s="7">
        <v>162119</v>
      </c>
      <c r="D171" s="8">
        <v>91596</v>
      </c>
      <c r="E171" s="9" t="s">
        <v>16</v>
      </c>
      <c r="F171" s="36">
        <v>208</v>
      </c>
      <c r="G171" s="25"/>
      <c r="H171" s="14">
        <f t="shared" si="0"/>
        <v>0.55000000000000004</v>
      </c>
      <c r="I171" s="25">
        <f ca="1">IFERROR(__xludf.DUMMYFUNCTION("ROUND(D171*GOOGLEFINANCE(""RUBKZT"")*H171)"),393124)</f>
        <v>393124</v>
      </c>
      <c r="J171" s="26">
        <f ca="1">IFERROR(__xludf.DUMMYFUNCTION("ROUND(I171*GOOGLEFINANCE(""KZTEUR""))"),823)</f>
        <v>823</v>
      </c>
      <c r="K171" s="26">
        <f t="shared" ca="1" si="1"/>
        <v>3957</v>
      </c>
      <c r="L171" s="26">
        <f t="shared" ca="1" si="2"/>
        <v>751.83</v>
      </c>
      <c r="M171" s="26">
        <f t="shared" ref="M171:N171" si="172">M$3</f>
        <v>500</v>
      </c>
      <c r="N171" s="26">
        <f t="shared" si="172"/>
        <v>500</v>
      </c>
      <c r="O171" s="26">
        <f ca="1">IFERROR(__xludf.DUMMYFUNCTION("ROUND(GOOGLEFINANCE(""Currency:EURKZT"")*K171)"),1889743)</f>
        <v>1889743</v>
      </c>
      <c r="P171" s="26">
        <f ca="1">IFERROR(__xludf.DUMMYFUNCTION("ROUND(GOOGLEFINANCE(""Currency:EURKZT"")*M171)"),238785)</f>
        <v>238785</v>
      </c>
      <c r="Q171" s="26">
        <f ca="1">IFERROR(__xludf.DUMMYFUNCTION("ROUND(GOOGLEFINANCE(""Currency:EURKZT"")*N171)"),238785)</f>
        <v>238785</v>
      </c>
      <c r="R171" s="26">
        <f t="shared" ca="1" si="4"/>
        <v>226769</v>
      </c>
      <c r="S171" s="26">
        <f t="shared" ca="1" si="5"/>
        <v>2594082</v>
      </c>
      <c r="T171" s="26">
        <f ca="1">IFERROR(__xludf.DUMMYFUNCTION("ROUND(GOOGLEFINANCE(""Currency:EURKZT"")*L171+S171)"),2953133)</f>
        <v>2953133</v>
      </c>
      <c r="U171" s="26">
        <f ca="1">IFERROR(__xludf.DUMMYFUNCTION("D171*GOOGLEFINANCE(""RUBKZT"")*1000/F171"),3436401.34207592)</f>
        <v>3436401.3420759202</v>
      </c>
      <c r="V171" s="27">
        <f t="shared" ca="1" si="6"/>
        <v>0.16364597939744677</v>
      </c>
    </row>
    <row r="172" spans="1:22" ht="12.75" customHeight="1" x14ac:dyDescent="0.2">
      <c r="A172" s="6" t="s">
        <v>245</v>
      </c>
      <c r="B172" s="6" t="s">
        <v>15</v>
      </c>
      <c r="C172" s="7">
        <v>162121</v>
      </c>
      <c r="D172" s="8">
        <v>97206</v>
      </c>
      <c r="E172" s="9" t="s">
        <v>16</v>
      </c>
      <c r="F172" s="36">
        <v>208</v>
      </c>
      <c r="G172" s="25"/>
      <c r="H172" s="14">
        <f t="shared" si="0"/>
        <v>0.55000000000000004</v>
      </c>
      <c r="I172" s="25">
        <f ca="1">IFERROR(__xludf.DUMMYFUNCTION("ROUND(D172*GOOGLEFINANCE(""RUBKZT"")*H172)"),417202)</f>
        <v>417202</v>
      </c>
      <c r="J172" s="26">
        <f ca="1">IFERROR(__xludf.DUMMYFUNCTION("ROUND(I172*GOOGLEFINANCE(""KZTEUR""))"),874)</f>
        <v>874</v>
      </c>
      <c r="K172" s="26">
        <f t="shared" ca="1" si="1"/>
        <v>4202</v>
      </c>
      <c r="L172" s="26">
        <f t="shared" ca="1" si="2"/>
        <v>798.38</v>
      </c>
      <c r="M172" s="26">
        <f t="shared" ref="M172:N172" si="173">M$3</f>
        <v>500</v>
      </c>
      <c r="N172" s="26">
        <f t="shared" si="173"/>
        <v>500</v>
      </c>
      <c r="O172" s="26">
        <f ca="1">IFERROR(__xludf.DUMMYFUNCTION("ROUND(GOOGLEFINANCE(""Currency:EURKZT"")*K172)"),2006748)</f>
        <v>2006748</v>
      </c>
      <c r="P172" s="26">
        <f ca="1">IFERROR(__xludf.DUMMYFUNCTION("ROUND(GOOGLEFINANCE(""Currency:EURKZT"")*M172)"),238785)</f>
        <v>238785</v>
      </c>
      <c r="Q172" s="26">
        <f ca="1">IFERROR(__xludf.DUMMYFUNCTION("ROUND(GOOGLEFINANCE(""Currency:EURKZT"")*N172)"),238785)</f>
        <v>238785</v>
      </c>
      <c r="R172" s="26">
        <f t="shared" ca="1" si="4"/>
        <v>240810</v>
      </c>
      <c r="S172" s="26">
        <f t="shared" ca="1" si="5"/>
        <v>2725128</v>
      </c>
      <c r="T172" s="26">
        <f ca="1">IFERROR(__xludf.DUMMYFUNCTION("ROUND(GOOGLEFINANCE(""Currency:EURKZT"")*L172+S172)"),3106410)</f>
        <v>3106410</v>
      </c>
      <c r="U172" s="26">
        <f ca="1">IFERROR(__xludf.DUMMYFUNCTION("D172*GOOGLEFINANCE(""RUBKZT"")*1000/F172"),3646871.35745919)</f>
        <v>3646871.3574591898</v>
      </c>
      <c r="V172" s="27">
        <f t="shared" ca="1" si="6"/>
        <v>0.17398262220994326</v>
      </c>
    </row>
    <row r="173" spans="1:22" ht="12.75" customHeight="1" x14ac:dyDescent="0.2">
      <c r="A173" s="6" t="s">
        <v>246</v>
      </c>
      <c r="B173" s="6" t="s">
        <v>15</v>
      </c>
      <c r="C173" s="7">
        <v>162124</v>
      </c>
      <c r="D173" s="8">
        <v>99402</v>
      </c>
      <c r="E173" s="9" t="s">
        <v>16</v>
      </c>
      <c r="F173" s="36">
        <v>208</v>
      </c>
      <c r="G173" s="25"/>
      <c r="H173" s="14">
        <f t="shared" si="0"/>
        <v>0.55000000000000004</v>
      </c>
      <c r="I173" s="25">
        <f ca="1">IFERROR(__xludf.DUMMYFUNCTION("ROUND(D173*GOOGLEFINANCE(""RUBKZT"")*H173)"),426627)</f>
        <v>426627</v>
      </c>
      <c r="J173" s="26">
        <f ca="1">IFERROR(__xludf.DUMMYFUNCTION("ROUND(I173*GOOGLEFINANCE(""KZTEUR""))"),893)</f>
        <v>893</v>
      </c>
      <c r="K173" s="26">
        <f t="shared" ca="1" si="1"/>
        <v>4293</v>
      </c>
      <c r="L173" s="26">
        <f t="shared" ca="1" si="2"/>
        <v>815.67</v>
      </c>
      <c r="M173" s="26">
        <f t="shared" ref="M173:N173" si="174">M$3</f>
        <v>500</v>
      </c>
      <c r="N173" s="26">
        <f t="shared" si="174"/>
        <v>500</v>
      </c>
      <c r="O173" s="26">
        <f ca="1">IFERROR(__xludf.DUMMYFUNCTION("ROUND(GOOGLEFINANCE(""Currency:EURKZT"")*K173)"),2050206)</f>
        <v>2050206</v>
      </c>
      <c r="P173" s="26">
        <f ca="1">IFERROR(__xludf.DUMMYFUNCTION("ROUND(GOOGLEFINANCE(""Currency:EURKZT"")*M173)"),238785)</f>
        <v>238785</v>
      </c>
      <c r="Q173" s="26">
        <f ca="1">IFERROR(__xludf.DUMMYFUNCTION("ROUND(GOOGLEFINANCE(""Currency:EURKZT"")*N173)"),238785)</f>
        <v>238785</v>
      </c>
      <c r="R173" s="26">
        <f t="shared" ca="1" si="4"/>
        <v>246025</v>
      </c>
      <c r="S173" s="26">
        <f t="shared" ca="1" si="5"/>
        <v>2773801</v>
      </c>
      <c r="T173" s="26">
        <f ca="1">IFERROR(__xludf.DUMMYFUNCTION("ROUND(GOOGLEFINANCE(""Currency:EURKZT"")*L173+S173)"),3163340)</f>
        <v>3163340</v>
      </c>
      <c r="U173" s="26">
        <f ca="1">IFERROR(__xludf.DUMMYFUNCTION("D173*GOOGLEFINANCE(""RUBKZT"")*1000/F173"),3729258.55064665)</f>
        <v>3729258.5506466501</v>
      </c>
      <c r="V173" s="27">
        <f t="shared" ca="1" si="6"/>
        <v>0.17889905942663456</v>
      </c>
    </row>
    <row r="174" spans="1:22" ht="12.75" customHeight="1" x14ac:dyDescent="0.2">
      <c r="A174" s="6" t="s">
        <v>247</v>
      </c>
      <c r="B174" s="6" t="s">
        <v>15</v>
      </c>
      <c r="C174" s="7">
        <v>162126</v>
      </c>
      <c r="D174" s="8">
        <v>112923.59999999999</v>
      </c>
      <c r="E174" s="9" t="s">
        <v>16</v>
      </c>
      <c r="F174" s="36">
        <v>208</v>
      </c>
      <c r="G174" s="25"/>
      <c r="H174" s="14">
        <f t="shared" si="0"/>
        <v>0.55000000000000004</v>
      </c>
      <c r="I174" s="25">
        <f ca="1">IFERROR(__xludf.DUMMYFUNCTION("ROUND(D174*GOOGLEFINANCE(""RUBKZT"")*H174)"),484661)</f>
        <v>484661</v>
      </c>
      <c r="J174" s="26">
        <f ca="1">IFERROR(__xludf.DUMMYFUNCTION("ROUND(I174*GOOGLEFINANCE(""KZTEUR""))"),1015)</f>
        <v>1015</v>
      </c>
      <c r="K174" s="26">
        <f t="shared" ca="1" si="1"/>
        <v>4880</v>
      </c>
      <c r="L174" s="26">
        <f t="shared" ca="1" si="2"/>
        <v>927.2</v>
      </c>
      <c r="M174" s="26">
        <f t="shared" ref="M174:N174" si="175">M$3</f>
        <v>500</v>
      </c>
      <c r="N174" s="26">
        <f t="shared" si="175"/>
        <v>500</v>
      </c>
      <c r="O174" s="26">
        <f ca="1">IFERROR(__xludf.DUMMYFUNCTION("ROUND(GOOGLEFINANCE(""Currency:EURKZT"")*K174)"),2330540)</f>
        <v>2330540</v>
      </c>
      <c r="P174" s="26">
        <f ca="1">IFERROR(__xludf.DUMMYFUNCTION("ROUND(GOOGLEFINANCE(""Currency:EURKZT"")*M174)"),238785)</f>
        <v>238785</v>
      </c>
      <c r="Q174" s="26">
        <f ca="1">IFERROR(__xludf.DUMMYFUNCTION("ROUND(GOOGLEFINANCE(""Currency:EURKZT"")*N174)"),238785)</f>
        <v>238785</v>
      </c>
      <c r="R174" s="26">
        <f t="shared" ca="1" si="4"/>
        <v>279665</v>
      </c>
      <c r="S174" s="26">
        <f t="shared" ca="1" si="5"/>
        <v>3087775</v>
      </c>
      <c r="T174" s="26">
        <f ca="1">IFERROR(__xludf.DUMMYFUNCTION("ROUND(GOOGLEFINANCE(""Currency:EURKZT"")*L174+S174)"),3530578)</f>
        <v>3530578</v>
      </c>
      <c r="U174" s="26">
        <f ca="1">IFERROR(__xludf.DUMMYFUNCTION("D174*GOOGLEFINANCE(""RUBKZT"")*1000/F174"),4236547.56312551)</f>
        <v>4236547.5631255098</v>
      </c>
      <c r="V174" s="27">
        <f t="shared" ca="1" si="6"/>
        <v>0.19995863655342264</v>
      </c>
    </row>
    <row r="175" spans="1:22" ht="12.75" customHeight="1" x14ac:dyDescent="0.2">
      <c r="A175" s="6" t="s">
        <v>249</v>
      </c>
      <c r="B175" s="6" t="s">
        <v>15</v>
      </c>
      <c r="C175" s="7">
        <v>163822</v>
      </c>
      <c r="D175" s="8">
        <v>131258.4</v>
      </c>
      <c r="E175" s="9" t="s">
        <v>16</v>
      </c>
      <c r="F175" s="36">
        <v>208</v>
      </c>
      <c r="G175" s="25"/>
      <c r="H175" s="14">
        <f t="shared" si="0"/>
        <v>0.55000000000000004</v>
      </c>
      <c r="I175" s="25">
        <f ca="1">IFERROR(__xludf.DUMMYFUNCTION("ROUND(D175*GOOGLEFINANCE(""RUBKZT"")*H175)"),563353)</f>
        <v>563353</v>
      </c>
      <c r="J175" s="26">
        <f ca="1">IFERROR(__xludf.DUMMYFUNCTION("ROUND(I175*GOOGLEFINANCE(""KZTEUR""))"),1180)</f>
        <v>1180</v>
      </c>
      <c r="K175" s="26">
        <f t="shared" ca="1" si="1"/>
        <v>5673</v>
      </c>
      <c r="L175" s="26">
        <f t="shared" ca="1" si="2"/>
        <v>1077.8700000000001</v>
      </c>
      <c r="M175" s="26">
        <f t="shared" ref="M175:N175" si="176">M$3</f>
        <v>500</v>
      </c>
      <c r="N175" s="26">
        <f t="shared" si="176"/>
        <v>500</v>
      </c>
      <c r="O175" s="26">
        <f ca="1">IFERROR(__xludf.DUMMYFUNCTION("ROUND(GOOGLEFINANCE(""Currency:EURKZT"")*K175)"),2709252)</f>
        <v>2709252</v>
      </c>
      <c r="P175" s="26">
        <f ca="1">IFERROR(__xludf.DUMMYFUNCTION("ROUND(GOOGLEFINANCE(""Currency:EURKZT"")*M175)"),238785)</f>
        <v>238785</v>
      </c>
      <c r="Q175" s="26">
        <f ca="1">IFERROR(__xludf.DUMMYFUNCTION("ROUND(GOOGLEFINANCE(""Currency:EURKZT"")*N175)"),238785)</f>
        <v>238785</v>
      </c>
      <c r="R175" s="26">
        <f t="shared" ca="1" si="4"/>
        <v>325110</v>
      </c>
      <c r="S175" s="26">
        <f t="shared" ca="1" si="5"/>
        <v>3511932</v>
      </c>
      <c r="T175" s="26">
        <f ca="1">IFERROR(__xludf.DUMMYFUNCTION("ROUND(GOOGLEFINANCE(""Currency:EURKZT"")*L175+S175)"),4026690)</f>
        <v>4026690</v>
      </c>
      <c r="U175" s="26">
        <f ca="1">IFERROR(__xludf.DUMMYFUNCTION("D175*GOOGLEFINANCE(""RUBKZT"")*1000/F175"),4924413.0957546)</f>
        <v>4924413.0957546001</v>
      </c>
      <c r="V175" s="27">
        <f t="shared" ca="1" si="6"/>
        <v>0.22294318553317988</v>
      </c>
    </row>
    <row r="176" spans="1:22" ht="12.75" customHeight="1" x14ac:dyDescent="0.2">
      <c r="A176" s="6" t="s">
        <v>250</v>
      </c>
      <c r="B176" s="6" t="s">
        <v>15</v>
      </c>
      <c r="C176" s="7">
        <v>164389</v>
      </c>
      <c r="D176" s="8">
        <v>161091.6</v>
      </c>
      <c r="E176" s="9" t="s">
        <v>16</v>
      </c>
      <c r="F176" s="36">
        <v>208</v>
      </c>
      <c r="G176" s="25"/>
      <c r="H176" s="14">
        <f t="shared" si="0"/>
        <v>0.55000000000000004</v>
      </c>
      <c r="I176" s="25">
        <f ca="1">IFERROR(__xludf.DUMMYFUNCTION("ROUND(D176*GOOGLEFINANCE(""RUBKZT"")*H176)"),691395)</f>
        <v>691395</v>
      </c>
      <c r="J176" s="26">
        <f ca="1">IFERROR(__xludf.DUMMYFUNCTION("ROUND(I176*GOOGLEFINANCE(""KZTEUR""))"),1448)</f>
        <v>1448</v>
      </c>
      <c r="K176" s="26">
        <f t="shared" ca="1" si="1"/>
        <v>6962</v>
      </c>
      <c r="L176" s="26">
        <f t="shared" ca="1" si="2"/>
        <v>1322.78</v>
      </c>
      <c r="M176" s="26">
        <f t="shared" ref="M176:N176" si="177">M$3</f>
        <v>500</v>
      </c>
      <c r="N176" s="26">
        <f t="shared" si="177"/>
        <v>500</v>
      </c>
      <c r="O176" s="26">
        <f ca="1">IFERROR(__xludf.DUMMYFUNCTION("ROUND(GOOGLEFINANCE(""Currency:EURKZT"")*K176)"),3324840)</f>
        <v>3324840</v>
      </c>
      <c r="P176" s="26">
        <f ca="1">IFERROR(__xludf.DUMMYFUNCTION("ROUND(GOOGLEFINANCE(""Currency:EURKZT"")*M176)"),238785)</f>
        <v>238785</v>
      </c>
      <c r="Q176" s="26">
        <f ca="1">IFERROR(__xludf.DUMMYFUNCTION("ROUND(GOOGLEFINANCE(""Currency:EURKZT"")*N176)"),238785)</f>
        <v>238785</v>
      </c>
      <c r="R176" s="26">
        <f t="shared" ca="1" si="4"/>
        <v>398981</v>
      </c>
      <c r="S176" s="26">
        <f t="shared" ca="1" si="5"/>
        <v>4201391</v>
      </c>
      <c r="T176" s="26">
        <f ca="1">IFERROR(__xludf.DUMMYFUNCTION("ROUND(GOOGLEFINANCE(""Currency:EURKZT"")*L176+S176)"),4833111)</f>
        <v>4833111</v>
      </c>
      <c r="U176" s="26">
        <f ca="1">IFERROR(__xludf.DUMMYFUNCTION("D176*GOOGLEFINANCE(""RUBKZT"")*1000/F176"),6043663.37435213)</f>
        <v>6043663.3743521301</v>
      </c>
      <c r="V176" s="27">
        <f t="shared" ca="1" si="6"/>
        <v>0.25047063358406835</v>
      </c>
    </row>
    <row r="177" spans="1:22" ht="12.75" customHeight="1" x14ac:dyDescent="0.2">
      <c r="A177" s="6" t="s">
        <v>134</v>
      </c>
      <c r="B177" s="6" t="s">
        <v>15</v>
      </c>
      <c r="C177" s="7">
        <v>164510</v>
      </c>
      <c r="D177" s="8">
        <v>111142.8</v>
      </c>
      <c r="E177" s="9" t="s">
        <v>16</v>
      </c>
      <c r="F177" s="36">
        <v>208</v>
      </c>
      <c r="G177" s="25"/>
      <c r="H177" s="14">
        <f t="shared" si="0"/>
        <v>0.55000000000000004</v>
      </c>
      <c r="I177" s="25">
        <f ca="1">IFERROR(__xludf.DUMMYFUNCTION("ROUND(D177*GOOGLEFINANCE(""RUBKZT"")*H177)"),477018)</f>
        <v>477018</v>
      </c>
      <c r="J177" s="26">
        <f ca="1">IFERROR(__xludf.DUMMYFUNCTION("ROUND(I177*GOOGLEFINANCE(""KZTEUR""))"),999)</f>
        <v>999</v>
      </c>
      <c r="K177" s="26">
        <f t="shared" ca="1" si="1"/>
        <v>4803</v>
      </c>
      <c r="L177" s="26">
        <f t="shared" ca="1" si="2"/>
        <v>912.57</v>
      </c>
      <c r="M177" s="26">
        <f t="shared" ref="M177:N177" si="178">M$3</f>
        <v>500</v>
      </c>
      <c r="N177" s="26">
        <f t="shared" si="178"/>
        <v>500</v>
      </c>
      <c r="O177" s="26">
        <f ca="1">IFERROR(__xludf.DUMMYFUNCTION("ROUND(GOOGLEFINANCE(""Currency:EURKZT"")*K177)"),2293767)</f>
        <v>2293767</v>
      </c>
      <c r="P177" s="26">
        <f ca="1">IFERROR(__xludf.DUMMYFUNCTION("ROUND(GOOGLEFINANCE(""Currency:EURKZT"")*M177)"),238785)</f>
        <v>238785</v>
      </c>
      <c r="Q177" s="26">
        <f ca="1">IFERROR(__xludf.DUMMYFUNCTION("ROUND(GOOGLEFINANCE(""Currency:EURKZT"")*N177)"),238785)</f>
        <v>238785</v>
      </c>
      <c r="R177" s="26">
        <f t="shared" ca="1" si="4"/>
        <v>275252</v>
      </c>
      <c r="S177" s="26">
        <f t="shared" ca="1" si="5"/>
        <v>3046589</v>
      </c>
      <c r="T177" s="26">
        <f ca="1">IFERROR(__xludf.DUMMYFUNCTION("ROUND(GOOGLEFINANCE(""Currency:EURKZT"")*L177+S177)"),3482405)</f>
        <v>3482405</v>
      </c>
      <c r="U177" s="26">
        <f ca="1">IFERROR(__xludf.DUMMYFUNCTION("D177*GOOGLEFINANCE(""RUBKZT"")*1000/F177"),4169737.40209262)</f>
        <v>4169737.4020926198</v>
      </c>
      <c r="V177" s="27">
        <f t="shared" ca="1" si="6"/>
        <v>0.19737290811741307</v>
      </c>
    </row>
    <row r="178" spans="1:22" ht="12.75" customHeight="1" x14ac:dyDescent="0.2">
      <c r="A178" s="6" t="s">
        <v>251</v>
      </c>
      <c r="B178" s="6" t="s">
        <v>15</v>
      </c>
      <c r="C178" s="7">
        <v>164570</v>
      </c>
      <c r="D178" s="8">
        <v>105410.4</v>
      </c>
      <c r="E178" s="9" t="s">
        <v>16</v>
      </c>
      <c r="F178" s="36">
        <v>208</v>
      </c>
      <c r="G178" s="25"/>
      <c r="H178" s="14">
        <f t="shared" si="0"/>
        <v>0.55000000000000004</v>
      </c>
      <c r="I178" s="25">
        <f ca="1">IFERROR(__xludf.DUMMYFUNCTION("ROUND(D178*GOOGLEFINANCE(""RUBKZT"")*H178)"),452415)</f>
        <v>452415</v>
      </c>
      <c r="J178" s="26">
        <f ca="1">IFERROR(__xludf.DUMMYFUNCTION("ROUND(I178*GOOGLEFINANCE(""KZTEUR""))"),948)</f>
        <v>948</v>
      </c>
      <c r="K178" s="26">
        <f t="shared" ca="1" si="1"/>
        <v>4558</v>
      </c>
      <c r="L178" s="26">
        <f t="shared" ca="1" si="2"/>
        <v>866.02</v>
      </c>
      <c r="M178" s="26">
        <f t="shared" ref="M178:N178" si="179">M$3</f>
        <v>500</v>
      </c>
      <c r="N178" s="26">
        <f t="shared" si="179"/>
        <v>500</v>
      </c>
      <c r="O178" s="26">
        <f ca="1">IFERROR(__xludf.DUMMYFUNCTION("ROUND(GOOGLEFINANCE(""Currency:EURKZT"")*K178)"),2176762)</f>
        <v>2176762</v>
      </c>
      <c r="P178" s="26">
        <f ca="1">IFERROR(__xludf.DUMMYFUNCTION("ROUND(GOOGLEFINANCE(""Currency:EURKZT"")*M178)"),238785)</f>
        <v>238785</v>
      </c>
      <c r="Q178" s="26">
        <f ca="1">IFERROR(__xludf.DUMMYFUNCTION("ROUND(GOOGLEFINANCE(""Currency:EURKZT"")*N178)"),238785)</f>
        <v>238785</v>
      </c>
      <c r="R178" s="26">
        <f t="shared" ca="1" si="4"/>
        <v>261211</v>
      </c>
      <c r="S178" s="26">
        <f t="shared" ca="1" si="5"/>
        <v>2915543</v>
      </c>
      <c r="T178" s="26">
        <f ca="1">IFERROR(__xludf.DUMMYFUNCTION("ROUND(GOOGLEFINANCE(""Currency:EURKZT"")*L178+S178)"),3329128)</f>
        <v>3329128</v>
      </c>
      <c r="U178" s="26">
        <f ca="1">IFERROR(__xludf.DUMMYFUNCTION("D178*GOOGLEFINANCE(""RUBKZT"")*1000/F178"),3954675.31364644)</f>
        <v>3954675.3136464399</v>
      </c>
      <c r="V178" s="27">
        <f t="shared" ca="1" si="6"/>
        <v>0.18790125031132474</v>
      </c>
    </row>
    <row r="179" spans="1:22" ht="12.75" customHeight="1" x14ac:dyDescent="0.2">
      <c r="A179" s="6" t="s">
        <v>253</v>
      </c>
      <c r="B179" s="6" t="s">
        <v>15</v>
      </c>
      <c r="C179" s="7">
        <v>164607</v>
      </c>
      <c r="D179" s="8">
        <v>82312.800000000003</v>
      </c>
      <c r="E179" s="9" t="s">
        <v>16</v>
      </c>
      <c r="F179" s="36">
        <v>208</v>
      </c>
      <c r="G179" s="25"/>
      <c r="H179" s="14">
        <f t="shared" si="0"/>
        <v>0.55000000000000004</v>
      </c>
      <c r="I179" s="25">
        <f ca="1">IFERROR(__xludf.DUMMYFUNCTION("ROUND(D179*GOOGLEFINANCE(""RUBKZT"")*H179)"),353281)</f>
        <v>353281</v>
      </c>
      <c r="J179" s="26">
        <f ca="1">IFERROR(__xludf.DUMMYFUNCTION("ROUND(I179*GOOGLEFINANCE(""KZTEUR""))"),740)</f>
        <v>740</v>
      </c>
      <c r="K179" s="26">
        <f t="shared" ca="1" si="1"/>
        <v>3558</v>
      </c>
      <c r="L179" s="26">
        <f t="shared" ca="1" si="2"/>
        <v>676.02</v>
      </c>
      <c r="M179" s="26">
        <f t="shared" ref="M179:N179" si="180">M$3</f>
        <v>500</v>
      </c>
      <c r="N179" s="26">
        <f t="shared" si="180"/>
        <v>500</v>
      </c>
      <c r="O179" s="26">
        <f ca="1">IFERROR(__xludf.DUMMYFUNCTION("ROUND(GOOGLEFINANCE(""Currency:EURKZT"")*K179)"),1699193)</f>
        <v>1699193</v>
      </c>
      <c r="P179" s="26">
        <f ca="1">IFERROR(__xludf.DUMMYFUNCTION("ROUND(GOOGLEFINANCE(""Currency:EURKZT"")*M179)"),238785)</f>
        <v>238785</v>
      </c>
      <c r="Q179" s="26">
        <f ca="1">IFERROR(__xludf.DUMMYFUNCTION("ROUND(GOOGLEFINANCE(""Currency:EURKZT"")*N179)"),238785)</f>
        <v>238785</v>
      </c>
      <c r="R179" s="26">
        <f t="shared" ca="1" si="4"/>
        <v>203903</v>
      </c>
      <c r="S179" s="26">
        <f t="shared" ca="1" si="5"/>
        <v>2380666</v>
      </c>
      <c r="T179" s="26">
        <f ca="1">IFERROR(__xludf.DUMMYFUNCTION("ROUND(GOOGLEFINANCE(""Currency:EURKZT"")*L179+S179)"),2703513)</f>
        <v>2703513</v>
      </c>
      <c r="U179" s="26">
        <f ca="1">IFERROR(__xludf.DUMMYFUNCTION("D179*GOOGLEFINANCE(""RUBKZT"")*1000/F179"),3088124.11448127)</f>
        <v>3088124.1144812698</v>
      </c>
      <c r="V179" s="27">
        <f t="shared" ca="1" si="6"/>
        <v>0.1422634603500223</v>
      </c>
    </row>
    <row r="180" spans="1:22" ht="12.75" customHeight="1" x14ac:dyDescent="0.2">
      <c r="A180" s="6" t="s">
        <v>255</v>
      </c>
      <c r="B180" s="6" t="s">
        <v>15</v>
      </c>
      <c r="C180" s="7">
        <v>164840</v>
      </c>
      <c r="D180" s="8">
        <v>144367.19999999998</v>
      </c>
      <c r="E180" s="9" t="s">
        <v>16</v>
      </c>
      <c r="F180" s="36">
        <v>208</v>
      </c>
      <c r="G180" s="25"/>
      <c r="H180" s="14">
        <f t="shared" si="0"/>
        <v>0.55000000000000004</v>
      </c>
      <c r="I180" s="25">
        <f ca="1">IFERROR(__xludf.DUMMYFUNCTION("ROUND(D180*GOOGLEFINANCE(""RUBKZT"")*H180)"),619615)</f>
        <v>619615</v>
      </c>
      <c r="J180" s="26">
        <f ca="1">IFERROR(__xludf.DUMMYFUNCTION("ROUND(I180*GOOGLEFINANCE(""KZTEUR""))"),1298)</f>
        <v>1298</v>
      </c>
      <c r="K180" s="26">
        <f t="shared" ca="1" si="1"/>
        <v>6240</v>
      </c>
      <c r="L180" s="26">
        <f t="shared" ca="1" si="2"/>
        <v>1185.5999999999999</v>
      </c>
      <c r="M180" s="26">
        <f t="shared" ref="M180:N180" si="181">M$3</f>
        <v>500</v>
      </c>
      <c r="N180" s="26">
        <f t="shared" si="181"/>
        <v>500</v>
      </c>
      <c r="O180" s="26">
        <f ca="1">IFERROR(__xludf.DUMMYFUNCTION("ROUND(GOOGLEFINANCE(""Currency:EURKZT"")*K180)"),2980034)</f>
        <v>2980034</v>
      </c>
      <c r="P180" s="26">
        <f ca="1">IFERROR(__xludf.DUMMYFUNCTION("ROUND(GOOGLEFINANCE(""Currency:EURKZT"")*M180)"),238785)</f>
        <v>238785</v>
      </c>
      <c r="Q180" s="26">
        <f ca="1">IFERROR(__xludf.DUMMYFUNCTION("ROUND(GOOGLEFINANCE(""Currency:EURKZT"")*N180)"),238785)</f>
        <v>238785</v>
      </c>
      <c r="R180" s="26">
        <f t="shared" ca="1" si="4"/>
        <v>357604</v>
      </c>
      <c r="S180" s="26">
        <f t="shared" ca="1" si="5"/>
        <v>3815208</v>
      </c>
      <c r="T180" s="26">
        <f ca="1">IFERROR(__xludf.DUMMYFUNCTION("ROUND(GOOGLEFINANCE(""Currency:EURKZT"")*L180+S180)"),4381415)</f>
        <v>4381415</v>
      </c>
      <c r="U180" s="26">
        <f ca="1">IFERROR(__xludf.DUMMYFUNCTION("D180*GOOGLEFINANCE(""RUBKZT"")*1000/F180"),5416215.11672718)</f>
        <v>5416215.1167271798</v>
      </c>
      <c r="V180" s="27">
        <f t="shared" ca="1" si="6"/>
        <v>0.23617943443549169</v>
      </c>
    </row>
    <row r="181" spans="1:22" ht="12.75" customHeight="1" x14ac:dyDescent="0.2">
      <c r="A181" s="6" t="s">
        <v>257</v>
      </c>
      <c r="B181" s="6" t="s">
        <v>15</v>
      </c>
      <c r="C181" s="7">
        <v>166131</v>
      </c>
      <c r="D181" s="8">
        <v>196524</v>
      </c>
      <c r="E181" s="9" t="s">
        <v>16</v>
      </c>
      <c r="F181" s="36">
        <v>208</v>
      </c>
      <c r="G181" s="25"/>
      <c r="H181" s="14">
        <f t="shared" si="0"/>
        <v>0.55000000000000004</v>
      </c>
      <c r="I181" s="25">
        <f ca="1">IFERROR(__xludf.DUMMYFUNCTION("ROUND(D181*GOOGLEFINANCE(""RUBKZT"")*H181)"),843469)</f>
        <v>843469</v>
      </c>
      <c r="J181" s="26">
        <f ca="1">IFERROR(__xludf.DUMMYFUNCTION("ROUND(I181*GOOGLEFINANCE(""KZTEUR""))"),1766)</f>
        <v>1766</v>
      </c>
      <c r="K181" s="26">
        <f t="shared" ca="1" si="1"/>
        <v>8490</v>
      </c>
      <c r="L181" s="26">
        <f t="shared" ca="1" si="2"/>
        <v>1613.1</v>
      </c>
      <c r="M181" s="26">
        <f t="shared" ref="M181:N181" si="182">M$3</f>
        <v>500</v>
      </c>
      <c r="N181" s="26">
        <f t="shared" si="182"/>
        <v>500</v>
      </c>
      <c r="O181" s="26">
        <f ca="1">IFERROR(__xludf.DUMMYFUNCTION("ROUND(GOOGLEFINANCE(""Currency:EURKZT"")*K181)"),4054566)</f>
        <v>4054566</v>
      </c>
      <c r="P181" s="26">
        <f ca="1">IFERROR(__xludf.DUMMYFUNCTION("ROUND(GOOGLEFINANCE(""Currency:EURKZT"")*M181)"),238785)</f>
        <v>238785</v>
      </c>
      <c r="Q181" s="26">
        <f ca="1">IFERROR(__xludf.DUMMYFUNCTION("ROUND(GOOGLEFINANCE(""Currency:EURKZT"")*N181)"),238785)</f>
        <v>238785</v>
      </c>
      <c r="R181" s="26">
        <f t="shared" ca="1" si="4"/>
        <v>486548</v>
      </c>
      <c r="S181" s="26">
        <f t="shared" ca="1" si="5"/>
        <v>5018684</v>
      </c>
      <c r="T181" s="26">
        <f ca="1">IFERROR(__xludf.DUMMYFUNCTION("ROUND(GOOGLEFINANCE(""Currency:EURKZT"")*L181+S181)"),5789052)</f>
        <v>5789052</v>
      </c>
      <c r="U181" s="26">
        <f ca="1">IFERROR(__xludf.DUMMYFUNCTION("D181*GOOGLEFINANCE(""RUBKZT"")*1000/F181"),7372978.48541561)</f>
        <v>7372978.4854156096</v>
      </c>
      <c r="V181" s="27">
        <f t="shared" ca="1" si="6"/>
        <v>0.27360723058207276</v>
      </c>
    </row>
    <row r="182" spans="1:22" ht="12.75" customHeight="1" x14ac:dyDescent="0.2">
      <c r="A182" s="6" t="s">
        <v>259</v>
      </c>
      <c r="B182" s="6" t="s">
        <v>15</v>
      </c>
      <c r="C182" s="7">
        <v>167295</v>
      </c>
      <c r="D182" s="8">
        <v>88204.800000000003</v>
      </c>
      <c r="E182" s="9" t="s">
        <v>16</v>
      </c>
      <c r="F182" s="36">
        <v>208</v>
      </c>
      <c r="G182" s="25"/>
      <c r="H182" s="14">
        <f t="shared" si="0"/>
        <v>0.55000000000000004</v>
      </c>
      <c r="I182" s="25">
        <f ca="1">IFERROR(__xludf.DUMMYFUNCTION("ROUND(D182*GOOGLEFINANCE(""RUBKZT"")*H182)"),378569)</f>
        <v>378569</v>
      </c>
      <c r="J182" s="26">
        <f ca="1">IFERROR(__xludf.DUMMYFUNCTION("ROUND(I182*GOOGLEFINANCE(""KZTEUR""))"),793)</f>
        <v>793</v>
      </c>
      <c r="K182" s="26">
        <f t="shared" ca="1" si="1"/>
        <v>3813</v>
      </c>
      <c r="L182" s="26">
        <f t="shared" ca="1" si="2"/>
        <v>724.47</v>
      </c>
      <c r="M182" s="26">
        <f t="shared" ref="M182:N182" si="183">M$3</f>
        <v>500</v>
      </c>
      <c r="N182" s="26">
        <f t="shared" si="183"/>
        <v>500</v>
      </c>
      <c r="O182" s="26">
        <f ca="1">IFERROR(__xludf.DUMMYFUNCTION("ROUND(GOOGLEFINANCE(""Currency:EURKZT"")*K182)"),1820973)</f>
        <v>1820973</v>
      </c>
      <c r="P182" s="26">
        <f ca="1">IFERROR(__xludf.DUMMYFUNCTION("ROUND(GOOGLEFINANCE(""Currency:EURKZT"")*M182)"),238785)</f>
        <v>238785</v>
      </c>
      <c r="Q182" s="26">
        <f ca="1">IFERROR(__xludf.DUMMYFUNCTION("ROUND(GOOGLEFINANCE(""Currency:EURKZT"")*N182)"),238785)</f>
        <v>238785</v>
      </c>
      <c r="R182" s="26">
        <f t="shared" ca="1" si="4"/>
        <v>218517</v>
      </c>
      <c r="S182" s="26">
        <f t="shared" ca="1" si="5"/>
        <v>2517060</v>
      </c>
      <c r="T182" s="26">
        <f ca="1">IFERROR(__xludf.DUMMYFUNCTION("ROUND(GOOGLEFINANCE(""Currency:EURKZT"")*L182+S182)"),2863045)</f>
        <v>2863045</v>
      </c>
      <c r="U182" s="26">
        <f ca="1">IFERROR(__xludf.DUMMYFUNCTION("D182*GOOGLEFINANCE(""RUBKZT"")*1000/F182"),3309173.90603889)</f>
        <v>3309173.9060388901</v>
      </c>
      <c r="V182" s="27">
        <f t="shared" ca="1" si="6"/>
        <v>0.15582322528597703</v>
      </c>
    </row>
    <row r="183" spans="1:22" ht="12.75" customHeight="1" x14ac:dyDescent="0.2">
      <c r="A183" s="6" t="s">
        <v>260</v>
      </c>
      <c r="B183" s="6" t="s">
        <v>15</v>
      </c>
      <c r="C183" s="7">
        <v>167654</v>
      </c>
      <c r="D183" s="8">
        <v>113540.4</v>
      </c>
      <c r="E183" s="9" t="s">
        <v>7</v>
      </c>
      <c r="F183" s="36">
        <v>208</v>
      </c>
      <c r="G183" s="25"/>
      <c r="H183" s="14">
        <f t="shared" si="0"/>
        <v>0.55000000000000004</v>
      </c>
      <c r="I183" s="25">
        <f ca="1">IFERROR(__xludf.DUMMYFUNCTION("ROUND(D183*GOOGLEFINANCE(""RUBKZT"")*H183)"),487308)</f>
        <v>487308</v>
      </c>
      <c r="J183" s="26">
        <f ca="1">IFERROR(__xludf.DUMMYFUNCTION("ROUND(I183*GOOGLEFINANCE(""KZTEUR""))"),1021)</f>
        <v>1021</v>
      </c>
      <c r="K183" s="26">
        <f t="shared" ca="1" si="1"/>
        <v>4909</v>
      </c>
      <c r="L183" s="26">
        <f t="shared" ca="1" si="2"/>
        <v>932.71</v>
      </c>
      <c r="M183" s="26">
        <f t="shared" ref="M183:N183" si="184">M$3</f>
        <v>500</v>
      </c>
      <c r="N183" s="26">
        <f t="shared" si="184"/>
        <v>500</v>
      </c>
      <c r="O183" s="26">
        <f ca="1">IFERROR(__xludf.DUMMYFUNCTION("ROUND(GOOGLEFINANCE(""Currency:EURKZT"")*K183)"),2344389)</f>
        <v>2344389</v>
      </c>
      <c r="P183" s="26">
        <f ca="1">IFERROR(__xludf.DUMMYFUNCTION("ROUND(GOOGLEFINANCE(""Currency:EURKZT"")*M183)"),238785)</f>
        <v>238785</v>
      </c>
      <c r="Q183" s="26">
        <f ca="1">IFERROR(__xludf.DUMMYFUNCTION("ROUND(GOOGLEFINANCE(""Currency:EURKZT"")*N183)"),238785)</f>
        <v>238785</v>
      </c>
      <c r="R183" s="26">
        <f t="shared" ca="1" si="4"/>
        <v>281327</v>
      </c>
      <c r="S183" s="26">
        <f t="shared" ca="1" si="5"/>
        <v>3103286</v>
      </c>
      <c r="T183" s="26">
        <f ca="1">IFERROR(__xludf.DUMMYFUNCTION("ROUND(GOOGLEFINANCE(""Currency:EURKZT"")*L183+S183)"),3548720)</f>
        <v>3548720</v>
      </c>
      <c r="U183" s="26">
        <f ca="1">IFERROR(__xludf.DUMMYFUNCTION("D183*GOOGLEFINANCE(""RUBKZT"")*1000/F183"),4259688.00973663)</f>
        <v>4259688.0097366301</v>
      </c>
      <c r="V183" s="27">
        <f t="shared" ca="1" si="6"/>
        <v>0.20034491583912795</v>
      </c>
    </row>
    <row r="184" spans="1:22" ht="12.75" customHeight="1" x14ac:dyDescent="0.2">
      <c r="A184" s="6" t="s">
        <v>262</v>
      </c>
      <c r="B184" s="6" t="s">
        <v>15</v>
      </c>
      <c r="C184" s="7">
        <v>168517</v>
      </c>
      <c r="D184" s="8">
        <v>117505.2</v>
      </c>
      <c r="E184" s="9" t="s">
        <v>16</v>
      </c>
      <c r="F184" s="36">
        <v>208</v>
      </c>
      <c r="G184" s="25"/>
      <c r="H184" s="14">
        <f t="shared" si="0"/>
        <v>0.55000000000000004</v>
      </c>
      <c r="I184" s="25">
        <f ca="1">IFERROR(__xludf.DUMMYFUNCTION("ROUND(D184*GOOGLEFINANCE(""RUBKZT"")*H184)"),504325)</f>
        <v>504325</v>
      </c>
      <c r="J184" s="26">
        <f ca="1">IFERROR(__xludf.DUMMYFUNCTION("ROUND(I184*GOOGLEFINANCE(""KZTEUR""))"),1056)</f>
        <v>1056</v>
      </c>
      <c r="K184" s="26">
        <f t="shared" ca="1" si="1"/>
        <v>5077</v>
      </c>
      <c r="L184" s="26">
        <f t="shared" ca="1" si="2"/>
        <v>964.63</v>
      </c>
      <c r="M184" s="26">
        <f t="shared" ref="M184:N184" si="185">M$3</f>
        <v>500</v>
      </c>
      <c r="N184" s="26">
        <f t="shared" si="185"/>
        <v>500</v>
      </c>
      <c r="O184" s="26">
        <f ca="1">IFERROR(__xludf.DUMMYFUNCTION("ROUND(GOOGLEFINANCE(""Currency:EURKZT"")*K184)"),2424621)</f>
        <v>2424621</v>
      </c>
      <c r="P184" s="26">
        <f ca="1">IFERROR(__xludf.DUMMYFUNCTION("ROUND(GOOGLEFINANCE(""Currency:EURKZT"")*M184)"),238785)</f>
        <v>238785</v>
      </c>
      <c r="Q184" s="26">
        <f ca="1">IFERROR(__xludf.DUMMYFUNCTION("ROUND(GOOGLEFINANCE(""Currency:EURKZT"")*N184)"),238785)</f>
        <v>238785</v>
      </c>
      <c r="R184" s="26">
        <f t="shared" ca="1" si="4"/>
        <v>290955</v>
      </c>
      <c r="S184" s="26">
        <f t="shared" ca="1" si="5"/>
        <v>3193146</v>
      </c>
      <c r="T184" s="26">
        <f ca="1">IFERROR(__xludf.DUMMYFUNCTION("ROUND(GOOGLEFINANCE(""Currency:EURKZT"")*L184+S184)"),3653824)</f>
        <v>3653824</v>
      </c>
      <c r="U184" s="26">
        <f ca="1">IFERROR(__xludf.DUMMYFUNCTION("D184*GOOGLEFINANCE(""RUBKZT"")*1000/F184"),4408435.16071553)</f>
        <v>4408435.1607155297</v>
      </c>
      <c r="V184" s="27">
        <f t="shared" ca="1" si="6"/>
        <v>0.20652641197702179</v>
      </c>
    </row>
    <row r="185" spans="1:22" ht="12.75" customHeight="1" x14ac:dyDescent="0.2">
      <c r="A185" s="6" t="s">
        <v>263</v>
      </c>
      <c r="B185" s="6" t="s">
        <v>15</v>
      </c>
      <c r="C185" s="7">
        <v>168522</v>
      </c>
      <c r="D185" s="8">
        <v>107286</v>
      </c>
      <c r="E185" s="9" t="s">
        <v>16</v>
      </c>
      <c r="F185" s="36">
        <v>208</v>
      </c>
      <c r="G185" s="25"/>
      <c r="H185" s="14">
        <f t="shared" si="0"/>
        <v>0.55000000000000004</v>
      </c>
      <c r="I185" s="25">
        <f ca="1">IFERROR(__xludf.DUMMYFUNCTION("ROUND(D185*GOOGLEFINANCE(""RUBKZT"")*H185)"),460465)</f>
        <v>460465</v>
      </c>
      <c r="J185" s="26">
        <f ca="1">IFERROR(__xludf.DUMMYFUNCTION("ROUND(I185*GOOGLEFINANCE(""KZTEUR""))"),964)</f>
        <v>964</v>
      </c>
      <c r="K185" s="26">
        <f t="shared" ca="1" si="1"/>
        <v>4635</v>
      </c>
      <c r="L185" s="26">
        <f t="shared" ca="1" si="2"/>
        <v>880.65</v>
      </c>
      <c r="M185" s="26">
        <f t="shared" ref="M185:N185" si="186">M$3</f>
        <v>500</v>
      </c>
      <c r="N185" s="26">
        <f t="shared" si="186"/>
        <v>500</v>
      </c>
      <c r="O185" s="26">
        <f ca="1">IFERROR(__xludf.DUMMYFUNCTION("ROUND(GOOGLEFINANCE(""Currency:EURKZT"")*K185)"),2213535)</f>
        <v>2213535</v>
      </c>
      <c r="P185" s="26">
        <f ca="1">IFERROR(__xludf.DUMMYFUNCTION("ROUND(GOOGLEFINANCE(""Currency:EURKZT"")*M185)"),238785)</f>
        <v>238785</v>
      </c>
      <c r="Q185" s="26">
        <f ca="1">IFERROR(__xludf.DUMMYFUNCTION("ROUND(GOOGLEFINANCE(""Currency:EURKZT"")*N185)"),238785)</f>
        <v>238785</v>
      </c>
      <c r="R185" s="26">
        <f t="shared" ca="1" si="4"/>
        <v>265624</v>
      </c>
      <c r="S185" s="26">
        <f t="shared" ca="1" si="5"/>
        <v>2956729</v>
      </c>
      <c r="T185" s="26">
        <f ca="1">IFERROR(__xludf.DUMMYFUNCTION("ROUND(GOOGLEFINANCE(""Currency:EURKZT"")*L185+S185)"),3377301)</f>
        <v>3377301</v>
      </c>
      <c r="U185" s="26">
        <f ca="1">IFERROR(__xludf.DUMMYFUNCTION("D185*GOOGLEFINANCE(""RUBKZT"")*1000/F185"),4025042.08028688)</f>
        <v>4025042.08028688</v>
      </c>
      <c r="V185" s="27">
        <f t="shared" ca="1" si="6"/>
        <v>0.19179252316772477</v>
      </c>
    </row>
    <row r="186" spans="1:22" ht="12.75" customHeight="1" x14ac:dyDescent="0.2">
      <c r="A186" s="6" t="s">
        <v>264</v>
      </c>
      <c r="B186" s="6" t="s">
        <v>15</v>
      </c>
      <c r="C186" s="7">
        <v>168818</v>
      </c>
      <c r="D186" s="8">
        <v>96772.800000000003</v>
      </c>
      <c r="E186" s="9" t="s">
        <v>16</v>
      </c>
      <c r="F186" s="36">
        <v>208</v>
      </c>
      <c r="G186" s="25"/>
      <c r="H186" s="14">
        <f t="shared" si="0"/>
        <v>0.55000000000000004</v>
      </c>
      <c r="I186" s="25">
        <f ca="1">IFERROR(__xludf.DUMMYFUNCTION("ROUND(D186*GOOGLEFINANCE(""RUBKZT"")*H186)"),415343)</f>
        <v>415343</v>
      </c>
      <c r="J186" s="26">
        <f ca="1">IFERROR(__xludf.DUMMYFUNCTION("ROUND(I186*GOOGLEFINANCE(""KZTEUR""))"),870)</f>
        <v>870</v>
      </c>
      <c r="K186" s="26">
        <f t="shared" ca="1" si="1"/>
        <v>4183</v>
      </c>
      <c r="L186" s="26">
        <f t="shared" ca="1" si="2"/>
        <v>794.77</v>
      </c>
      <c r="M186" s="26">
        <f t="shared" ref="M186:N186" si="187">M$3</f>
        <v>500</v>
      </c>
      <c r="N186" s="26">
        <f t="shared" si="187"/>
        <v>500</v>
      </c>
      <c r="O186" s="26">
        <f ca="1">IFERROR(__xludf.DUMMYFUNCTION("ROUND(GOOGLEFINANCE(""Currency:EURKZT"")*K186)"),1997674)</f>
        <v>1997674</v>
      </c>
      <c r="P186" s="26">
        <f ca="1">IFERROR(__xludf.DUMMYFUNCTION("ROUND(GOOGLEFINANCE(""Currency:EURKZT"")*M186)"),238785)</f>
        <v>238785</v>
      </c>
      <c r="Q186" s="26">
        <f ca="1">IFERROR(__xludf.DUMMYFUNCTION("ROUND(GOOGLEFINANCE(""Currency:EURKZT"")*N186)"),238785)</f>
        <v>238785</v>
      </c>
      <c r="R186" s="26">
        <f t="shared" ca="1" si="4"/>
        <v>239721</v>
      </c>
      <c r="S186" s="26">
        <f t="shared" ca="1" si="5"/>
        <v>2714965</v>
      </c>
      <c r="T186" s="26">
        <f ca="1">IFERROR(__xludf.DUMMYFUNCTION("ROUND(GOOGLEFINANCE(""Currency:EURKZT"")*L186+S186)"),3094523)</f>
        <v>3094523</v>
      </c>
      <c r="U186" s="26">
        <f ca="1">IFERROR(__xludf.DUMMYFUNCTION("D186*GOOGLEFINANCE(""RUBKZT"")*1000/F186"),3630619.02044243)</f>
        <v>3630619.0204424299</v>
      </c>
      <c r="V186" s="27">
        <f t="shared" ca="1" si="6"/>
        <v>0.17324027659268648</v>
      </c>
    </row>
    <row r="187" spans="1:22" ht="12.75" customHeight="1" x14ac:dyDescent="0.2">
      <c r="A187" s="6" t="s">
        <v>265</v>
      </c>
      <c r="B187" s="6" t="s">
        <v>15</v>
      </c>
      <c r="C187" s="7">
        <v>170294</v>
      </c>
      <c r="D187" s="8">
        <v>85966.8</v>
      </c>
      <c r="E187" s="9" t="s">
        <v>16</v>
      </c>
      <c r="F187" s="36">
        <v>208</v>
      </c>
      <c r="G187" s="25"/>
      <c r="H187" s="14">
        <f t="shared" si="0"/>
        <v>0.55000000000000004</v>
      </c>
      <c r="I187" s="25">
        <f ca="1">IFERROR(__xludf.DUMMYFUNCTION("ROUND(D187*GOOGLEFINANCE(""RUBKZT"")*H187)"),368964)</f>
        <v>368964</v>
      </c>
      <c r="J187" s="26">
        <f ca="1">IFERROR(__xludf.DUMMYFUNCTION("ROUND(I187*GOOGLEFINANCE(""KZTEUR""))"),773)</f>
        <v>773</v>
      </c>
      <c r="K187" s="26">
        <f t="shared" ca="1" si="1"/>
        <v>3716</v>
      </c>
      <c r="L187" s="26">
        <f t="shared" ca="1" si="2"/>
        <v>706.04</v>
      </c>
      <c r="M187" s="26">
        <f t="shared" ref="M187:N187" si="188">M$3</f>
        <v>500</v>
      </c>
      <c r="N187" s="26">
        <f t="shared" si="188"/>
        <v>500</v>
      </c>
      <c r="O187" s="26">
        <f ca="1">IFERROR(__xludf.DUMMYFUNCTION("ROUND(GOOGLEFINANCE(""Currency:EURKZT"")*K187)"),1774649)</f>
        <v>1774649</v>
      </c>
      <c r="P187" s="26">
        <f ca="1">IFERROR(__xludf.DUMMYFUNCTION("ROUND(GOOGLEFINANCE(""Currency:EURKZT"")*M187)"),238785)</f>
        <v>238785</v>
      </c>
      <c r="Q187" s="26">
        <f ca="1">IFERROR(__xludf.DUMMYFUNCTION("ROUND(GOOGLEFINANCE(""Currency:EURKZT"")*N187)"),238785)</f>
        <v>238785</v>
      </c>
      <c r="R187" s="26">
        <f t="shared" ca="1" si="4"/>
        <v>212958</v>
      </c>
      <c r="S187" s="26">
        <f t="shared" ca="1" si="5"/>
        <v>2465177</v>
      </c>
      <c r="T187" s="26">
        <f ca="1">IFERROR(__xludf.DUMMYFUNCTION("ROUND(GOOGLEFINANCE(""Currency:EURKZT"")*L187+S187)"),2802360)</f>
        <v>2802360</v>
      </c>
      <c r="U187" s="26">
        <f ca="1">IFERROR(__xludf.DUMMYFUNCTION("D187*GOOGLEFINANCE(""RUBKZT"")*1000/F187"),3225211.00150631)</f>
        <v>3225211.00150631</v>
      </c>
      <c r="V187" s="27">
        <f t="shared" ca="1" si="6"/>
        <v>0.15089103523683964</v>
      </c>
    </row>
    <row r="188" spans="1:22" ht="12.75" customHeight="1" x14ac:dyDescent="0.2">
      <c r="A188" s="6" t="s">
        <v>266</v>
      </c>
      <c r="B188" s="6" t="s">
        <v>15</v>
      </c>
      <c r="C188" s="7">
        <v>170304</v>
      </c>
      <c r="D188" s="8">
        <v>144770.4</v>
      </c>
      <c r="E188" s="9" t="s">
        <v>16</v>
      </c>
      <c r="F188" s="36">
        <v>208</v>
      </c>
      <c r="G188" s="25"/>
      <c r="H188" s="14">
        <f t="shared" si="0"/>
        <v>0.55000000000000004</v>
      </c>
      <c r="I188" s="25">
        <f ca="1">IFERROR(__xludf.DUMMYFUNCTION("ROUND(D188*GOOGLEFINANCE(""RUBKZT"")*H188)"),621346)</f>
        <v>621346</v>
      </c>
      <c r="J188" s="26">
        <f ca="1">IFERROR(__xludf.DUMMYFUNCTION("ROUND(I188*GOOGLEFINANCE(""KZTEUR""))"),1301)</f>
        <v>1301</v>
      </c>
      <c r="K188" s="26">
        <f t="shared" ca="1" si="1"/>
        <v>6255</v>
      </c>
      <c r="L188" s="26">
        <f t="shared" ca="1" si="2"/>
        <v>1188.45</v>
      </c>
      <c r="M188" s="26">
        <f t="shared" ref="M188:N188" si="189">M$3</f>
        <v>500</v>
      </c>
      <c r="N188" s="26">
        <f t="shared" si="189"/>
        <v>500</v>
      </c>
      <c r="O188" s="26">
        <f ca="1">IFERROR(__xludf.DUMMYFUNCTION("ROUND(GOOGLEFINANCE(""Currency:EURKZT"")*K188)"),2987198)</f>
        <v>2987198</v>
      </c>
      <c r="P188" s="26">
        <f ca="1">IFERROR(__xludf.DUMMYFUNCTION("ROUND(GOOGLEFINANCE(""Currency:EURKZT"")*M188)"),238785)</f>
        <v>238785</v>
      </c>
      <c r="Q188" s="26">
        <f ca="1">IFERROR(__xludf.DUMMYFUNCTION("ROUND(GOOGLEFINANCE(""Currency:EURKZT"")*N188)"),238785)</f>
        <v>238785</v>
      </c>
      <c r="R188" s="26">
        <f t="shared" ca="1" si="4"/>
        <v>358464</v>
      </c>
      <c r="S188" s="26">
        <f t="shared" ca="1" si="5"/>
        <v>3823232</v>
      </c>
      <c r="T188" s="26">
        <f ca="1">IFERROR(__xludf.DUMMYFUNCTION("ROUND(GOOGLEFINANCE(""Currency:EURKZT"")*L188+S188)"),4390800)</f>
        <v>4390800</v>
      </c>
      <c r="U188" s="26">
        <f ca="1">IFERROR(__xludf.DUMMYFUNCTION("D188*GOOGLEFINANCE(""RUBKZT"")*1000/F188"),5431341.94564029)</f>
        <v>5431341.9456402902</v>
      </c>
      <c r="V188" s="27">
        <f t="shared" ca="1" si="6"/>
        <v>0.23698231430269887</v>
      </c>
    </row>
    <row r="189" spans="1:22" ht="12.75" customHeight="1" x14ac:dyDescent="0.2">
      <c r="A189" s="6" t="s">
        <v>268</v>
      </c>
      <c r="B189" s="6" t="s">
        <v>15</v>
      </c>
      <c r="C189" s="7">
        <v>170748</v>
      </c>
      <c r="D189" s="8">
        <v>122998.79999999999</v>
      </c>
      <c r="E189" s="9" t="s">
        <v>16</v>
      </c>
      <c r="F189" s="36">
        <v>208</v>
      </c>
      <c r="G189" s="25"/>
      <c r="H189" s="14">
        <f t="shared" si="0"/>
        <v>0.55000000000000004</v>
      </c>
      <c r="I189" s="25">
        <f ca="1">IFERROR(__xludf.DUMMYFUNCTION("ROUND(D189*GOOGLEFINANCE(""RUBKZT"")*H189)"),527903)</f>
        <v>527903</v>
      </c>
      <c r="J189" s="26">
        <f ca="1">IFERROR(__xludf.DUMMYFUNCTION("ROUND(I189*GOOGLEFINANCE(""KZTEUR""))"),1106)</f>
        <v>1106</v>
      </c>
      <c r="K189" s="26">
        <f t="shared" ca="1" si="1"/>
        <v>5317</v>
      </c>
      <c r="L189" s="26">
        <f t="shared" ca="1" si="2"/>
        <v>1010.23</v>
      </c>
      <c r="M189" s="26">
        <f t="shared" ref="M189:N189" si="190">M$3</f>
        <v>500</v>
      </c>
      <c r="N189" s="26">
        <f t="shared" si="190"/>
        <v>500</v>
      </c>
      <c r="O189" s="26">
        <f ca="1">IFERROR(__xludf.DUMMYFUNCTION("ROUND(GOOGLEFINANCE(""Currency:EURKZT"")*K189)"),2539238)</f>
        <v>2539238</v>
      </c>
      <c r="P189" s="26">
        <f ca="1">IFERROR(__xludf.DUMMYFUNCTION("ROUND(GOOGLEFINANCE(""Currency:EURKZT"")*M189)"),238785)</f>
        <v>238785</v>
      </c>
      <c r="Q189" s="26">
        <f ca="1">IFERROR(__xludf.DUMMYFUNCTION("ROUND(GOOGLEFINANCE(""Currency:EURKZT"")*N189)"),238785)</f>
        <v>238785</v>
      </c>
      <c r="R189" s="26">
        <f t="shared" ca="1" si="4"/>
        <v>304709</v>
      </c>
      <c r="S189" s="26">
        <f t="shared" ca="1" si="5"/>
        <v>3321517</v>
      </c>
      <c r="T189" s="26">
        <f ca="1">IFERROR(__xludf.DUMMYFUNCTION("ROUND(GOOGLEFINANCE(""Currency:EURKZT"")*L189+S189)"),3803972)</f>
        <v>3803972</v>
      </c>
      <c r="U189" s="26">
        <f ca="1">IFERROR(__xludf.DUMMYFUNCTION("D189*GOOGLEFINANCE(""RUBKZT"")*1000/F189"),4614538.20465662)</f>
        <v>4614538.2046566196</v>
      </c>
      <c r="V189" s="27">
        <f t="shared" ca="1" si="6"/>
        <v>0.2130841669330425</v>
      </c>
    </row>
    <row r="190" spans="1:22" ht="12.75" customHeight="1" x14ac:dyDescent="0.2">
      <c r="A190" s="6" t="s">
        <v>269</v>
      </c>
      <c r="B190" s="6" t="s">
        <v>15</v>
      </c>
      <c r="C190" s="7">
        <v>170800</v>
      </c>
      <c r="D190" s="8">
        <v>123904.79999999999</v>
      </c>
      <c r="E190" s="9" t="s">
        <v>16</v>
      </c>
      <c r="F190" s="36">
        <v>208</v>
      </c>
      <c r="G190" s="25"/>
      <c r="H190" s="14">
        <f t="shared" si="0"/>
        <v>0.55000000000000004</v>
      </c>
      <c r="I190" s="25">
        <f ca="1">IFERROR(__xludf.DUMMYFUNCTION("ROUND(D190*GOOGLEFINANCE(""RUBKZT"")*H190)"),531792)</f>
        <v>531792</v>
      </c>
      <c r="J190" s="26">
        <f ca="1">IFERROR(__xludf.DUMMYFUNCTION("ROUND(I190*GOOGLEFINANCE(""KZTEUR""))"),1114)</f>
        <v>1114</v>
      </c>
      <c r="K190" s="26">
        <f t="shared" ca="1" si="1"/>
        <v>5356</v>
      </c>
      <c r="L190" s="26">
        <f t="shared" ca="1" si="2"/>
        <v>1017.64</v>
      </c>
      <c r="M190" s="26">
        <f t="shared" ref="M190:N190" si="191">M$3</f>
        <v>500</v>
      </c>
      <c r="N190" s="26">
        <f t="shared" si="191"/>
        <v>500</v>
      </c>
      <c r="O190" s="26">
        <f ca="1">IFERROR(__xludf.DUMMYFUNCTION("ROUND(GOOGLEFINANCE(""Currency:EURKZT"")*K190)"),2557863)</f>
        <v>2557863</v>
      </c>
      <c r="P190" s="26">
        <f ca="1">IFERROR(__xludf.DUMMYFUNCTION("ROUND(GOOGLEFINANCE(""Currency:EURKZT"")*M190)"),238785)</f>
        <v>238785</v>
      </c>
      <c r="Q190" s="26">
        <f ca="1">IFERROR(__xludf.DUMMYFUNCTION("ROUND(GOOGLEFINANCE(""Currency:EURKZT"")*N190)"),238785)</f>
        <v>238785</v>
      </c>
      <c r="R190" s="26">
        <f t="shared" ca="1" si="4"/>
        <v>306944</v>
      </c>
      <c r="S190" s="26">
        <f t="shared" ca="1" si="5"/>
        <v>3342377</v>
      </c>
      <c r="T190" s="26">
        <f ca="1">IFERROR(__xludf.DUMMYFUNCTION("ROUND(GOOGLEFINANCE(""Currency:EURKZT"")*L190+S190)"),3828371)</f>
        <v>3828371</v>
      </c>
      <c r="U190" s="26">
        <f ca="1">IFERROR(__xludf.DUMMYFUNCTION("D190*GOOGLEFINANCE(""RUBKZT"")*1000/F190"),4648528.54938696)</f>
        <v>4648528.5493869605</v>
      </c>
      <c r="V190" s="27">
        <f t="shared" ca="1" si="6"/>
        <v>0.21423147061425354</v>
      </c>
    </row>
    <row r="191" spans="1:22" ht="12.75" customHeight="1" x14ac:dyDescent="0.2">
      <c r="A191" s="6" t="s">
        <v>271</v>
      </c>
      <c r="B191" s="6" t="s">
        <v>15</v>
      </c>
      <c r="C191" s="7">
        <v>171474</v>
      </c>
      <c r="D191" s="8">
        <v>97448.4</v>
      </c>
      <c r="E191" s="9" t="s">
        <v>16</v>
      </c>
      <c r="F191" s="36">
        <v>208</v>
      </c>
      <c r="G191" s="25"/>
      <c r="H191" s="14">
        <f t="shared" si="0"/>
        <v>0.55000000000000004</v>
      </c>
      <c r="I191" s="25">
        <f ca="1">IFERROR(__xludf.DUMMYFUNCTION("ROUND(D191*GOOGLEFINANCE(""RUBKZT"")*H191)"),418242)</f>
        <v>418242</v>
      </c>
      <c r="J191" s="26">
        <f ca="1">IFERROR(__xludf.DUMMYFUNCTION("ROUND(I191*GOOGLEFINANCE(""KZTEUR""))"),876)</f>
        <v>876</v>
      </c>
      <c r="K191" s="26">
        <f t="shared" ca="1" si="1"/>
        <v>4212</v>
      </c>
      <c r="L191" s="26">
        <f t="shared" ca="1" si="2"/>
        <v>800.28</v>
      </c>
      <c r="M191" s="26">
        <f t="shared" ref="M191:N191" si="192">M$3</f>
        <v>500</v>
      </c>
      <c r="N191" s="26">
        <f t="shared" si="192"/>
        <v>500</v>
      </c>
      <c r="O191" s="26">
        <f ca="1">IFERROR(__xludf.DUMMYFUNCTION("ROUND(GOOGLEFINANCE(""Currency:EURKZT"")*K191)"),2011523)</f>
        <v>2011523</v>
      </c>
      <c r="P191" s="26">
        <f ca="1">IFERROR(__xludf.DUMMYFUNCTION("ROUND(GOOGLEFINANCE(""Currency:EURKZT"")*M191)"),238785)</f>
        <v>238785</v>
      </c>
      <c r="Q191" s="26">
        <f ca="1">IFERROR(__xludf.DUMMYFUNCTION("ROUND(GOOGLEFINANCE(""Currency:EURKZT"")*N191)"),238785)</f>
        <v>238785</v>
      </c>
      <c r="R191" s="26">
        <f t="shared" ca="1" si="4"/>
        <v>241383</v>
      </c>
      <c r="S191" s="26">
        <f t="shared" ca="1" si="5"/>
        <v>2730476</v>
      </c>
      <c r="T191" s="26">
        <f ca="1">IFERROR(__xludf.DUMMYFUNCTION("ROUND(GOOGLEFINANCE(""Currency:EURKZT"")*L191+S191)"),3112665)</f>
        <v>3112665</v>
      </c>
      <c r="U191" s="26">
        <f ca="1">IFERROR(__xludf.DUMMYFUNCTION("D191*GOOGLEFINANCE(""RUBKZT"")*1000/F191"),3655965.46293671)</f>
        <v>3655965.4629367101</v>
      </c>
      <c r="V191" s="27">
        <f t="shared" ca="1" si="6"/>
        <v>0.17454511260823447</v>
      </c>
    </row>
    <row r="192" spans="1:22" ht="12.75" customHeight="1" x14ac:dyDescent="0.2">
      <c r="A192" s="6" t="s">
        <v>274</v>
      </c>
      <c r="B192" s="6" t="s">
        <v>15</v>
      </c>
      <c r="C192" s="7">
        <v>174337</v>
      </c>
      <c r="D192" s="8">
        <v>153217.19999999998</v>
      </c>
      <c r="E192" s="9" t="s">
        <v>16</v>
      </c>
      <c r="F192" s="36">
        <v>208</v>
      </c>
      <c r="G192" s="25"/>
      <c r="H192" s="14">
        <f t="shared" si="0"/>
        <v>0.55000000000000004</v>
      </c>
      <c r="I192" s="25">
        <f ca="1">IFERROR(__xludf.DUMMYFUNCTION("ROUND(D192*GOOGLEFINANCE(""RUBKZT"")*H192)"),657599)</f>
        <v>657599</v>
      </c>
      <c r="J192" s="26">
        <f ca="1">IFERROR(__xludf.DUMMYFUNCTION("ROUND(I192*GOOGLEFINANCE(""KZTEUR""))"),1377)</f>
        <v>1377</v>
      </c>
      <c r="K192" s="26">
        <f t="shared" ca="1" si="1"/>
        <v>6620</v>
      </c>
      <c r="L192" s="26">
        <f t="shared" ca="1" si="2"/>
        <v>1257.8</v>
      </c>
      <c r="M192" s="26">
        <f t="shared" ref="M192:N192" si="193">M$3</f>
        <v>500</v>
      </c>
      <c r="N192" s="26">
        <f t="shared" si="193"/>
        <v>500</v>
      </c>
      <c r="O192" s="26">
        <f ca="1">IFERROR(__xludf.DUMMYFUNCTION("ROUND(GOOGLEFINANCE(""Currency:EURKZT"")*K192)"),3161511)</f>
        <v>3161511</v>
      </c>
      <c r="P192" s="26">
        <f ca="1">IFERROR(__xludf.DUMMYFUNCTION("ROUND(GOOGLEFINANCE(""Currency:EURKZT"")*M192)"),238785)</f>
        <v>238785</v>
      </c>
      <c r="Q192" s="26">
        <f ca="1">IFERROR(__xludf.DUMMYFUNCTION("ROUND(GOOGLEFINANCE(""Currency:EURKZT"")*N192)"),238785)</f>
        <v>238785</v>
      </c>
      <c r="R192" s="26">
        <f t="shared" ca="1" si="4"/>
        <v>379381</v>
      </c>
      <c r="S192" s="26">
        <f t="shared" ca="1" si="5"/>
        <v>4018462</v>
      </c>
      <c r="T192" s="26">
        <f ca="1">IFERROR(__xludf.DUMMYFUNCTION("ROUND(GOOGLEFINANCE(""Currency:EURKZT"")*L192+S192)"),4619149)</f>
        <v>4619149</v>
      </c>
      <c r="U192" s="26">
        <f ca="1">IFERROR(__xludf.DUMMYFUNCTION("D192*GOOGLEFINANCE(""RUBKZT"")*1000/F192"),5748240.00730506)</f>
        <v>5748240.0073050596</v>
      </c>
      <c r="V192" s="27">
        <f t="shared" ca="1" si="6"/>
        <v>0.24443701801025677</v>
      </c>
    </row>
    <row r="193" spans="1:22" ht="12.75" customHeight="1" x14ac:dyDescent="0.2">
      <c r="A193" s="6" t="s">
        <v>275</v>
      </c>
      <c r="B193" s="6" t="s">
        <v>15</v>
      </c>
      <c r="C193" s="7">
        <v>174341</v>
      </c>
      <c r="D193" s="8">
        <v>178606.8</v>
      </c>
      <c r="E193" s="9" t="s">
        <v>16</v>
      </c>
      <c r="F193" s="36">
        <v>208</v>
      </c>
      <c r="G193" s="25"/>
      <c r="H193" s="14">
        <f t="shared" si="0"/>
        <v>0.55000000000000004</v>
      </c>
      <c r="I193" s="25">
        <f ca="1">IFERROR(__xludf.DUMMYFUNCTION("ROUND(D193*GOOGLEFINANCE(""RUBKZT"")*H193)"),766569)</f>
        <v>766569</v>
      </c>
      <c r="J193" s="26">
        <f ca="1">IFERROR(__xludf.DUMMYFUNCTION("ROUND(I193*GOOGLEFINANCE(""KZTEUR""))"),1605)</f>
        <v>1605</v>
      </c>
      <c r="K193" s="26">
        <f t="shared" ca="1" si="1"/>
        <v>7716</v>
      </c>
      <c r="L193" s="26">
        <f t="shared" ca="1" si="2"/>
        <v>1466.04</v>
      </c>
      <c r="M193" s="26">
        <f t="shared" ref="M193:N193" si="194">M$3</f>
        <v>500</v>
      </c>
      <c r="N193" s="26">
        <f t="shared" si="194"/>
        <v>500</v>
      </c>
      <c r="O193" s="26">
        <f ca="1">IFERROR(__xludf.DUMMYFUNCTION("ROUND(GOOGLEFINANCE(""Currency:EURKZT"")*K193)"),3684927)</f>
        <v>3684927</v>
      </c>
      <c r="P193" s="26">
        <f ca="1">IFERROR(__xludf.DUMMYFUNCTION("ROUND(GOOGLEFINANCE(""Currency:EURKZT"")*M193)"),238785)</f>
        <v>238785</v>
      </c>
      <c r="Q193" s="26">
        <f ca="1">IFERROR(__xludf.DUMMYFUNCTION("ROUND(GOOGLEFINANCE(""Currency:EURKZT"")*N193)"),238785)</f>
        <v>238785</v>
      </c>
      <c r="R193" s="26">
        <f t="shared" ca="1" si="4"/>
        <v>442191</v>
      </c>
      <c r="S193" s="26">
        <f t="shared" ca="1" si="5"/>
        <v>4604688</v>
      </c>
      <c r="T193" s="26">
        <f ca="1">IFERROR(__xludf.DUMMYFUNCTION("ROUND(GOOGLEFINANCE(""Currency:EURKZT"")*L193+S193)"),5304824)</f>
        <v>5304824</v>
      </c>
      <c r="U193" s="26">
        <f ca="1">IFERROR(__xludf.DUMMYFUNCTION("D193*GOOGLEFINANCE(""RUBKZT"")*1000/F193"),6700780.02558939)</f>
        <v>6700780.0255893897</v>
      </c>
      <c r="V193" s="27">
        <f t="shared" ca="1" si="6"/>
        <v>0.26314841464851418</v>
      </c>
    </row>
    <row r="194" spans="1:22" ht="12.75" customHeight="1" x14ac:dyDescent="0.2">
      <c r="A194" s="6" t="s">
        <v>279</v>
      </c>
      <c r="B194" s="6" t="s">
        <v>15</v>
      </c>
      <c r="C194" s="7">
        <v>175404</v>
      </c>
      <c r="D194" s="8">
        <v>207804</v>
      </c>
      <c r="E194" s="9" t="s">
        <v>16</v>
      </c>
      <c r="F194" s="36">
        <v>208</v>
      </c>
      <c r="G194" s="25"/>
      <c r="H194" s="14">
        <f t="shared" si="0"/>
        <v>0.55000000000000004</v>
      </c>
      <c r="I194" s="25">
        <f ca="1">IFERROR(__xludf.DUMMYFUNCTION("ROUND(D194*GOOGLEFINANCE(""RUBKZT"")*H194)"),891882)</f>
        <v>891882</v>
      </c>
      <c r="J194" s="26">
        <f ca="1">IFERROR(__xludf.DUMMYFUNCTION("ROUND(I194*GOOGLEFINANCE(""KZTEUR""))"),1868)</f>
        <v>1868</v>
      </c>
      <c r="K194" s="26">
        <f t="shared" ca="1" si="1"/>
        <v>8981</v>
      </c>
      <c r="L194" s="26">
        <f t="shared" ca="1" si="2"/>
        <v>1706.39</v>
      </c>
      <c r="M194" s="26">
        <f t="shared" ref="M194:N194" si="195">M$3</f>
        <v>500</v>
      </c>
      <c r="N194" s="26">
        <f t="shared" si="195"/>
        <v>500</v>
      </c>
      <c r="O194" s="26">
        <f ca="1">IFERROR(__xludf.DUMMYFUNCTION("ROUND(GOOGLEFINANCE(""Currency:EURKZT"")*K194)"),4289053)</f>
        <v>4289053</v>
      </c>
      <c r="P194" s="26">
        <f ca="1">IFERROR(__xludf.DUMMYFUNCTION("ROUND(GOOGLEFINANCE(""Currency:EURKZT"")*M194)"),238785)</f>
        <v>238785</v>
      </c>
      <c r="Q194" s="26">
        <f ca="1">IFERROR(__xludf.DUMMYFUNCTION("ROUND(GOOGLEFINANCE(""Currency:EURKZT"")*N194)"),238785)</f>
        <v>238785</v>
      </c>
      <c r="R194" s="26">
        <f t="shared" ca="1" si="4"/>
        <v>514686</v>
      </c>
      <c r="S194" s="26">
        <f t="shared" ca="1" si="5"/>
        <v>5281309</v>
      </c>
      <c r="T194" s="26">
        <f ca="1">IFERROR(__xludf.DUMMYFUNCTION("ROUND(GOOGLEFINANCE(""Currency:EURKZT"")*L194+S194)"),6096229)</f>
        <v>6096229</v>
      </c>
      <c r="U194" s="26">
        <f ca="1">IFERROR(__xludf.DUMMYFUNCTION("D194*GOOGLEFINANCE(""RUBKZT"")*1000/F194"),7796169.53238946)</f>
        <v>7796169.5323894601</v>
      </c>
      <c r="V194" s="27">
        <f t="shared" ca="1" si="6"/>
        <v>0.27885116067481391</v>
      </c>
    </row>
    <row r="195" spans="1:22" ht="12.75" customHeight="1" x14ac:dyDescent="0.2">
      <c r="A195" s="6" t="s">
        <v>280</v>
      </c>
      <c r="B195" s="6" t="s">
        <v>15</v>
      </c>
      <c r="C195" s="7">
        <v>176012</v>
      </c>
      <c r="D195" s="8">
        <v>149420.4</v>
      </c>
      <c r="E195" s="9" t="s">
        <v>16</v>
      </c>
      <c r="F195" s="36">
        <v>208</v>
      </c>
      <c r="G195" s="25"/>
      <c r="H195" s="14">
        <f t="shared" si="0"/>
        <v>0.55000000000000004</v>
      </c>
      <c r="I195" s="25">
        <f ca="1">IFERROR(__xludf.DUMMYFUNCTION("ROUND(D195*GOOGLEFINANCE(""RUBKZT"")*H195)"),641303)</f>
        <v>641303</v>
      </c>
      <c r="J195" s="26">
        <f ca="1">IFERROR(__xludf.DUMMYFUNCTION("ROUND(I195*GOOGLEFINANCE(""KZTEUR""))"),1343)</f>
        <v>1343</v>
      </c>
      <c r="K195" s="26">
        <f t="shared" ca="1" si="1"/>
        <v>6457</v>
      </c>
      <c r="L195" s="26">
        <f t="shared" ca="1" si="2"/>
        <v>1226.83</v>
      </c>
      <c r="M195" s="26">
        <f t="shared" ref="M195:N195" si="196">M$3</f>
        <v>500</v>
      </c>
      <c r="N195" s="26">
        <f t="shared" si="196"/>
        <v>500</v>
      </c>
      <c r="O195" s="26">
        <f ca="1">IFERROR(__xludf.DUMMYFUNCTION("ROUND(GOOGLEFINANCE(""Currency:EURKZT"")*K195)"),3083667)</f>
        <v>3083667</v>
      </c>
      <c r="P195" s="26">
        <f ca="1">IFERROR(__xludf.DUMMYFUNCTION("ROUND(GOOGLEFINANCE(""Currency:EURKZT"")*M195)"),238785)</f>
        <v>238785</v>
      </c>
      <c r="Q195" s="26">
        <f ca="1">IFERROR(__xludf.DUMMYFUNCTION("ROUND(GOOGLEFINANCE(""Currency:EURKZT"")*N195)"),238785)</f>
        <v>238785</v>
      </c>
      <c r="R195" s="26">
        <f t="shared" ca="1" si="4"/>
        <v>370040</v>
      </c>
      <c r="S195" s="26">
        <f t="shared" ca="1" si="5"/>
        <v>3931277</v>
      </c>
      <c r="T195" s="26">
        <f ca="1">IFERROR(__xludf.DUMMYFUNCTION("ROUND(GOOGLEFINANCE(""Currency:EURKZT"")*L195+S195)"),4517174)</f>
        <v>4517174</v>
      </c>
      <c r="U195" s="26">
        <f ca="1">IFERROR(__xludf.DUMMYFUNCTION("D195*GOOGLEFINANCE(""RUBKZT"")*1000/F195"),5605795.70170663)</f>
        <v>5605795.7017066302</v>
      </c>
      <c r="V195" s="27">
        <f t="shared" ca="1" si="6"/>
        <v>0.24099618516059601</v>
      </c>
    </row>
    <row r="196" spans="1:22" ht="12.75" customHeight="1" x14ac:dyDescent="0.2">
      <c r="A196" s="6" t="s">
        <v>242</v>
      </c>
      <c r="B196" s="6" t="s">
        <v>15</v>
      </c>
      <c r="C196" s="7">
        <v>176747</v>
      </c>
      <c r="D196" s="8">
        <v>138319.19999999998</v>
      </c>
      <c r="E196" s="9" t="s">
        <v>16</v>
      </c>
      <c r="F196" s="36">
        <v>208</v>
      </c>
      <c r="G196" s="25"/>
      <c r="H196" s="14">
        <f t="shared" si="0"/>
        <v>0.55000000000000004</v>
      </c>
      <c r="I196" s="25">
        <f ca="1">IFERROR(__xludf.DUMMYFUNCTION("ROUND(D196*GOOGLEFINANCE(""RUBKZT"")*H196)"),593657)</f>
        <v>593657</v>
      </c>
      <c r="J196" s="26">
        <f ca="1">IFERROR(__xludf.DUMMYFUNCTION("ROUND(I196*GOOGLEFINANCE(""KZTEUR""))"),1243)</f>
        <v>1243</v>
      </c>
      <c r="K196" s="26">
        <f t="shared" ca="1" si="1"/>
        <v>5976</v>
      </c>
      <c r="L196" s="26">
        <f t="shared" ca="1" si="2"/>
        <v>1135.44</v>
      </c>
      <c r="M196" s="26">
        <f t="shared" ref="M196:N196" si="197">M$3</f>
        <v>500</v>
      </c>
      <c r="N196" s="26">
        <f t="shared" si="197"/>
        <v>500</v>
      </c>
      <c r="O196" s="26">
        <f ca="1">IFERROR(__xludf.DUMMYFUNCTION("ROUND(GOOGLEFINANCE(""Currency:EURKZT"")*K196)"),2853956)</f>
        <v>2853956</v>
      </c>
      <c r="P196" s="26">
        <f ca="1">IFERROR(__xludf.DUMMYFUNCTION("ROUND(GOOGLEFINANCE(""Currency:EURKZT"")*M196)"),238785)</f>
        <v>238785</v>
      </c>
      <c r="Q196" s="26">
        <f ca="1">IFERROR(__xludf.DUMMYFUNCTION("ROUND(GOOGLEFINANCE(""Currency:EURKZT"")*N196)"),238785)</f>
        <v>238785</v>
      </c>
      <c r="R196" s="26">
        <f t="shared" ca="1" si="4"/>
        <v>342475</v>
      </c>
      <c r="S196" s="26">
        <f t="shared" ca="1" si="5"/>
        <v>3674001</v>
      </c>
      <c r="T196" s="26">
        <f ca="1">IFERROR(__xludf.DUMMYFUNCTION("ROUND(GOOGLEFINANCE(""Currency:EURKZT"")*L196+S196)"),4216253)</f>
        <v>4216253</v>
      </c>
      <c r="U196" s="26">
        <f ca="1">IFERROR(__xludf.DUMMYFUNCTION("D196*GOOGLEFINANCE(""RUBKZT"")*1000/F196"),5189312.68303056)</f>
        <v>5189312.6830305597</v>
      </c>
      <c r="V196" s="27">
        <f t="shared" ca="1" si="6"/>
        <v>0.23078778314075546</v>
      </c>
    </row>
    <row r="197" spans="1:22" ht="12.75" customHeight="1" x14ac:dyDescent="0.2">
      <c r="A197" s="6" t="s">
        <v>285</v>
      </c>
      <c r="B197" s="6" t="s">
        <v>15</v>
      </c>
      <c r="C197" s="7">
        <v>180858</v>
      </c>
      <c r="D197" s="8">
        <v>128910</v>
      </c>
      <c r="E197" s="9" t="s">
        <v>16</v>
      </c>
      <c r="F197" s="36">
        <v>208</v>
      </c>
      <c r="G197" s="25"/>
      <c r="H197" s="14">
        <f t="shared" si="0"/>
        <v>0.55000000000000004</v>
      </c>
      <c r="I197" s="25">
        <f ca="1">IFERROR(__xludf.DUMMYFUNCTION("ROUND(D197*GOOGLEFINANCE(""RUBKZT"")*H197)"),553274)</f>
        <v>553274</v>
      </c>
      <c r="J197" s="26">
        <f ca="1">IFERROR(__xludf.DUMMYFUNCTION("ROUND(I197*GOOGLEFINANCE(""KZTEUR""))"),1159)</f>
        <v>1159</v>
      </c>
      <c r="K197" s="26">
        <f t="shared" ca="1" si="1"/>
        <v>5572</v>
      </c>
      <c r="L197" s="26">
        <f t="shared" ca="1" si="2"/>
        <v>1058.68</v>
      </c>
      <c r="M197" s="26">
        <f t="shared" ref="M197:N197" si="198">M$3</f>
        <v>500</v>
      </c>
      <c r="N197" s="26">
        <f t="shared" si="198"/>
        <v>500</v>
      </c>
      <c r="O197" s="26">
        <f ca="1">IFERROR(__xludf.DUMMYFUNCTION("ROUND(GOOGLEFINANCE(""Currency:EURKZT"")*K197)"),2661018)</f>
        <v>2661018</v>
      </c>
      <c r="P197" s="26">
        <f ca="1">IFERROR(__xludf.DUMMYFUNCTION("ROUND(GOOGLEFINANCE(""Currency:EURKZT"")*M197)"),238785)</f>
        <v>238785</v>
      </c>
      <c r="Q197" s="26">
        <f ca="1">IFERROR(__xludf.DUMMYFUNCTION("ROUND(GOOGLEFINANCE(""Currency:EURKZT"")*N197)"),238785)</f>
        <v>238785</v>
      </c>
      <c r="R197" s="26">
        <f t="shared" ca="1" si="4"/>
        <v>319322</v>
      </c>
      <c r="S197" s="26">
        <f t="shared" ca="1" si="5"/>
        <v>3457910</v>
      </c>
      <c r="T197" s="26">
        <f ca="1">IFERROR(__xludf.DUMMYFUNCTION("ROUND(GOOGLEFINANCE(""Currency:EURKZT"")*L197+S197)"),3963503)</f>
        <v>3963503</v>
      </c>
      <c r="U197" s="26">
        <f ca="1">IFERROR(__xludf.DUMMYFUNCTION("D197*GOOGLEFINANCE(""RUBKZT"")*1000/F197"),4836308.32140057)</f>
        <v>4836308.3214005698</v>
      </c>
      <c r="V197" s="27">
        <f t="shared" ca="1" si="6"/>
        <v>0.22021058679672242</v>
      </c>
    </row>
    <row r="198" spans="1:22" ht="12.75" customHeight="1" x14ac:dyDescent="0.2">
      <c r="A198" s="6" t="s">
        <v>287</v>
      </c>
      <c r="B198" s="6" t="s">
        <v>15</v>
      </c>
      <c r="C198" s="7">
        <v>180968</v>
      </c>
      <c r="D198" s="8">
        <v>112894.8</v>
      </c>
      <c r="E198" s="9" t="s">
        <v>16</v>
      </c>
      <c r="F198" s="36">
        <v>208</v>
      </c>
      <c r="G198" s="25"/>
      <c r="H198" s="14">
        <f t="shared" si="0"/>
        <v>0.55000000000000004</v>
      </c>
      <c r="I198" s="25">
        <f ca="1">IFERROR(__xludf.DUMMYFUNCTION("ROUND(D198*GOOGLEFINANCE(""RUBKZT"")*H198)"),484537)</f>
        <v>484537</v>
      </c>
      <c r="J198" s="26">
        <f ca="1">IFERROR(__xludf.DUMMYFUNCTION("ROUND(I198*GOOGLEFINANCE(""KZTEUR""))"),1015)</f>
        <v>1015</v>
      </c>
      <c r="K198" s="26">
        <f t="shared" ca="1" si="1"/>
        <v>4880</v>
      </c>
      <c r="L198" s="26">
        <f t="shared" ca="1" si="2"/>
        <v>927.2</v>
      </c>
      <c r="M198" s="26">
        <f t="shared" ref="M198:N198" si="199">M$3</f>
        <v>500</v>
      </c>
      <c r="N198" s="26">
        <f t="shared" si="199"/>
        <v>500</v>
      </c>
      <c r="O198" s="26">
        <f ca="1">IFERROR(__xludf.DUMMYFUNCTION("ROUND(GOOGLEFINANCE(""Currency:EURKZT"")*K198)"),2330540)</f>
        <v>2330540</v>
      </c>
      <c r="P198" s="26">
        <f ca="1">IFERROR(__xludf.DUMMYFUNCTION("ROUND(GOOGLEFINANCE(""Currency:EURKZT"")*M198)"),238785)</f>
        <v>238785</v>
      </c>
      <c r="Q198" s="26">
        <f ca="1">IFERROR(__xludf.DUMMYFUNCTION("ROUND(GOOGLEFINANCE(""Currency:EURKZT"")*N198)"),238785)</f>
        <v>238785</v>
      </c>
      <c r="R198" s="26">
        <f t="shared" ca="1" si="4"/>
        <v>279665</v>
      </c>
      <c r="S198" s="26">
        <f t="shared" ca="1" si="5"/>
        <v>3087775</v>
      </c>
      <c r="T198" s="26">
        <f ca="1">IFERROR(__xludf.DUMMYFUNCTION("ROUND(GOOGLEFINANCE(""Currency:EURKZT"")*L198+S198)"),3530578)</f>
        <v>3530578</v>
      </c>
      <c r="U198" s="26">
        <f ca="1">IFERROR(__xludf.DUMMYFUNCTION("D198*GOOGLEFINANCE(""RUBKZT"")*1000/F198"),4235467.075346)</f>
        <v>4235467.0753459996</v>
      </c>
      <c r="V198" s="27">
        <f t="shared" ca="1" si="6"/>
        <v>0.19965259947408032</v>
      </c>
    </row>
    <row r="199" spans="1:22" ht="12.75" customHeight="1" x14ac:dyDescent="0.2">
      <c r="A199" s="6" t="s">
        <v>286</v>
      </c>
      <c r="B199" s="6" t="s">
        <v>15</v>
      </c>
      <c r="C199" s="7">
        <v>181740</v>
      </c>
      <c r="D199" s="8">
        <v>437209.2</v>
      </c>
      <c r="E199" s="9" t="s">
        <v>16</v>
      </c>
      <c r="F199" s="36">
        <v>208</v>
      </c>
      <c r="G199" s="25"/>
      <c r="H199" s="14">
        <f t="shared" si="0"/>
        <v>0.55000000000000004</v>
      </c>
      <c r="I199" s="25">
        <f ca="1">IFERROR(__xludf.DUMMYFUNCTION("ROUND(D199*GOOGLEFINANCE(""RUBKZT"")*H199)"),1876475)</f>
        <v>1876475</v>
      </c>
      <c r="J199" s="26">
        <f ca="1">IFERROR(__xludf.DUMMYFUNCTION("ROUND(I199*GOOGLEFINANCE(""KZTEUR""))"),3930)</f>
        <v>3930</v>
      </c>
      <c r="K199" s="26">
        <f t="shared" ca="1" si="1"/>
        <v>18894</v>
      </c>
      <c r="L199" s="26">
        <f t="shared" ca="1" si="2"/>
        <v>3589.86</v>
      </c>
      <c r="M199" s="26">
        <f t="shared" ref="M199:N199" si="200">M$3</f>
        <v>500</v>
      </c>
      <c r="N199" s="26">
        <f t="shared" si="200"/>
        <v>500</v>
      </c>
      <c r="O199" s="26">
        <f ca="1">IFERROR(__xludf.DUMMYFUNCTION("ROUND(GOOGLEFINANCE(""Currency:EURKZT"")*K199)"),9023200)</f>
        <v>9023200</v>
      </c>
      <c r="P199" s="26">
        <f ca="1">IFERROR(__xludf.DUMMYFUNCTION("ROUND(GOOGLEFINANCE(""Currency:EURKZT"")*M199)"),238785)</f>
        <v>238785</v>
      </c>
      <c r="Q199" s="26">
        <f ca="1">IFERROR(__xludf.DUMMYFUNCTION("ROUND(GOOGLEFINANCE(""Currency:EURKZT"")*N199)"),238785)</f>
        <v>238785</v>
      </c>
      <c r="R199" s="26">
        <f t="shared" ca="1" si="4"/>
        <v>1082784</v>
      </c>
      <c r="S199" s="26">
        <f t="shared" ca="1" si="5"/>
        <v>10583554</v>
      </c>
      <c r="T199" s="26">
        <f ca="1">IFERROR(__xludf.DUMMYFUNCTION("ROUND(GOOGLEFINANCE(""Currency:EURKZT"")*L199+S199)"),12297962)</f>
        <v>12297962</v>
      </c>
      <c r="U199" s="26">
        <f ca="1">IFERROR(__xludf.DUMMYFUNCTION("D199*GOOGLEFINANCE(""RUBKZT"")*1000/F199"),16402749.9197338)</f>
        <v>16402749.9197338</v>
      </c>
      <c r="V199" s="27">
        <f t="shared" ca="1" si="6"/>
        <v>0.33377789911318639</v>
      </c>
    </row>
    <row r="200" spans="1:22" ht="12.75" customHeight="1" x14ac:dyDescent="0.2">
      <c r="A200" s="6" t="s">
        <v>288</v>
      </c>
      <c r="B200" s="6" t="s">
        <v>15</v>
      </c>
      <c r="C200" s="7">
        <v>182021</v>
      </c>
      <c r="D200" s="8">
        <v>95552.4</v>
      </c>
      <c r="E200" s="9" t="s">
        <v>16</v>
      </c>
      <c r="F200" s="36">
        <v>208</v>
      </c>
      <c r="G200" s="25"/>
      <c r="H200" s="14">
        <f t="shared" si="0"/>
        <v>0.55000000000000004</v>
      </c>
      <c r="I200" s="25">
        <f ca="1">IFERROR(__xludf.DUMMYFUNCTION("ROUND(D200*GOOGLEFINANCE(""RUBKZT"")*H200)"),410105)</f>
        <v>410105</v>
      </c>
      <c r="J200" s="26">
        <f ca="1">IFERROR(__xludf.DUMMYFUNCTION("ROUND(I200*GOOGLEFINANCE(""KZTEUR""))"),859)</f>
        <v>859</v>
      </c>
      <c r="K200" s="26">
        <f t="shared" ca="1" si="1"/>
        <v>4130</v>
      </c>
      <c r="L200" s="26">
        <f t="shared" ca="1" si="2"/>
        <v>784.7</v>
      </c>
      <c r="M200" s="26">
        <f t="shared" ref="M200:N200" si="201">M$3</f>
        <v>500</v>
      </c>
      <c r="N200" s="26">
        <f t="shared" si="201"/>
        <v>500</v>
      </c>
      <c r="O200" s="26">
        <f ca="1">IFERROR(__xludf.DUMMYFUNCTION("ROUND(GOOGLEFINANCE(""Currency:EURKZT"")*K200)"),1972363)</f>
        <v>1972363</v>
      </c>
      <c r="P200" s="26">
        <f ca="1">IFERROR(__xludf.DUMMYFUNCTION("ROUND(GOOGLEFINANCE(""Currency:EURKZT"")*M200)"),238785)</f>
        <v>238785</v>
      </c>
      <c r="Q200" s="26">
        <f ca="1">IFERROR(__xludf.DUMMYFUNCTION("ROUND(GOOGLEFINANCE(""Currency:EURKZT"")*N200)"),238785)</f>
        <v>238785</v>
      </c>
      <c r="R200" s="26">
        <f t="shared" ca="1" si="4"/>
        <v>236684</v>
      </c>
      <c r="S200" s="26">
        <f t="shared" ca="1" si="5"/>
        <v>2686617</v>
      </c>
      <c r="T200" s="26">
        <f ca="1">IFERROR(__xludf.DUMMYFUNCTION("ROUND(GOOGLEFINANCE(""Currency:EURKZT"")*L200+S200)"),3061366)</f>
        <v>3061366</v>
      </c>
      <c r="U200" s="26">
        <f ca="1">IFERROR(__xludf.DUMMYFUNCTION("D200*GOOGLEFINANCE(""RUBKZT"")*1000/F200"),3584833.35078579)</f>
        <v>3584833.35078579</v>
      </c>
      <c r="V200" s="27">
        <f t="shared" ca="1" si="6"/>
        <v>0.17099143022617683</v>
      </c>
    </row>
    <row r="201" spans="1:22" ht="12.75" customHeight="1" x14ac:dyDescent="0.2">
      <c r="A201" s="6" t="s">
        <v>292</v>
      </c>
      <c r="B201" s="6" t="s">
        <v>15</v>
      </c>
      <c r="C201" s="7">
        <v>183126</v>
      </c>
      <c r="D201" s="8">
        <v>113684.4</v>
      </c>
      <c r="E201" s="9" t="s">
        <v>7</v>
      </c>
      <c r="F201" s="36">
        <v>208</v>
      </c>
      <c r="G201" s="25"/>
      <c r="H201" s="14">
        <f t="shared" si="0"/>
        <v>0.55000000000000004</v>
      </c>
      <c r="I201" s="25">
        <f ca="1">IFERROR(__xludf.DUMMYFUNCTION("ROUND(D201*GOOGLEFINANCE(""RUBKZT"")*H201)"),487926)</f>
        <v>487926</v>
      </c>
      <c r="J201" s="26">
        <f ca="1">IFERROR(__xludf.DUMMYFUNCTION("ROUND(I201*GOOGLEFINANCE(""KZTEUR""))"),1022)</f>
        <v>1022</v>
      </c>
      <c r="K201" s="26">
        <f t="shared" ca="1" si="1"/>
        <v>4913</v>
      </c>
      <c r="L201" s="26">
        <f t="shared" ca="1" si="2"/>
        <v>933.47</v>
      </c>
      <c r="M201" s="26">
        <f t="shared" ref="M201:N201" si="202">M$3</f>
        <v>500</v>
      </c>
      <c r="N201" s="26">
        <f t="shared" si="202"/>
        <v>500</v>
      </c>
      <c r="O201" s="26">
        <f ca="1">IFERROR(__xludf.DUMMYFUNCTION("ROUND(GOOGLEFINANCE(""Currency:EURKZT"")*K201)"),2346300)</f>
        <v>2346300</v>
      </c>
      <c r="P201" s="26">
        <f ca="1">IFERROR(__xludf.DUMMYFUNCTION("ROUND(GOOGLEFINANCE(""Currency:EURKZT"")*M201)"),238785)</f>
        <v>238785</v>
      </c>
      <c r="Q201" s="26">
        <f ca="1">IFERROR(__xludf.DUMMYFUNCTION("ROUND(GOOGLEFINANCE(""Currency:EURKZT"")*N201)"),238785)</f>
        <v>238785</v>
      </c>
      <c r="R201" s="26">
        <f t="shared" ca="1" si="4"/>
        <v>281556</v>
      </c>
      <c r="S201" s="26">
        <f t="shared" ca="1" si="5"/>
        <v>3105426</v>
      </c>
      <c r="T201" s="26">
        <f ca="1">IFERROR(__xludf.DUMMYFUNCTION("ROUND(GOOGLEFINANCE(""Currency:EURKZT"")*L201+S201)"),3551223)</f>
        <v>3551223</v>
      </c>
      <c r="U201" s="26">
        <f ca="1">IFERROR(__xludf.DUMMYFUNCTION("D201*GOOGLEFINANCE(""RUBKZT"")*1000/F201"),4265090.44863417)</f>
        <v>4265090.44863417</v>
      </c>
      <c r="V201" s="27">
        <f t="shared" ca="1" si="6"/>
        <v>0.20102016928651623</v>
      </c>
    </row>
    <row r="202" spans="1:22" ht="12.75" customHeight="1" x14ac:dyDescent="0.2">
      <c r="A202" s="6" t="s">
        <v>293</v>
      </c>
      <c r="B202" s="6" t="s">
        <v>15</v>
      </c>
      <c r="C202" s="7">
        <v>183134</v>
      </c>
      <c r="D202" s="8">
        <v>132944.4</v>
      </c>
      <c r="E202" s="9" t="s">
        <v>7</v>
      </c>
      <c r="F202" s="36">
        <v>208</v>
      </c>
      <c r="G202" s="25"/>
      <c r="H202" s="14">
        <f t="shared" si="0"/>
        <v>0.55000000000000004</v>
      </c>
      <c r="I202" s="25">
        <f ca="1">IFERROR(__xludf.DUMMYFUNCTION("ROUND(D202*GOOGLEFINANCE(""RUBKZT"")*H202)"),570589)</f>
        <v>570589</v>
      </c>
      <c r="J202" s="26">
        <f ca="1">IFERROR(__xludf.DUMMYFUNCTION("ROUND(I202*GOOGLEFINANCE(""KZTEUR""))"),1195)</f>
        <v>1195</v>
      </c>
      <c r="K202" s="26">
        <f t="shared" ca="1" si="1"/>
        <v>5745</v>
      </c>
      <c r="L202" s="26">
        <f t="shared" ca="1" si="2"/>
        <v>1091.55</v>
      </c>
      <c r="M202" s="26">
        <f t="shared" ref="M202:N202" si="203">M$3</f>
        <v>500</v>
      </c>
      <c r="N202" s="26">
        <f t="shared" si="203"/>
        <v>500</v>
      </c>
      <c r="O202" s="26">
        <f ca="1">IFERROR(__xludf.DUMMYFUNCTION("ROUND(GOOGLEFINANCE(""Currency:EURKZT"")*K202)"),2743637)</f>
        <v>2743637</v>
      </c>
      <c r="P202" s="26">
        <f ca="1">IFERROR(__xludf.DUMMYFUNCTION("ROUND(GOOGLEFINANCE(""Currency:EURKZT"")*M202)"),238785)</f>
        <v>238785</v>
      </c>
      <c r="Q202" s="26">
        <f ca="1">IFERROR(__xludf.DUMMYFUNCTION("ROUND(GOOGLEFINANCE(""Currency:EURKZT"")*N202)"),238785)</f>
        <v>238785</v>
      </c>
      <c r="R202" s="26">
        <f t="shared" ca="1" si="4"/>
        <v>329236</v>
      </c>
      <c r="S202" s="26">
        <f t="shared" ca="1" si="5"/>
        <v>3550443</v>
      </c>
      <c r="T202" s="26">
        <f ca="1">IFERROR(__xludf.DUMMYFUNCTION("ROUND(GOOGLEFINANCE(""Currency:EURKZT"")*L202+S202)"),4071734)</f>
        <v>4071734</v>
      </c>
      <c r="U202" s="26">
        <f ca="1">IFERROR(__xludf.DUMMYFUNCTION("D202*GOOGLEFINANCE(""RUBKZT"")*1000/F202"),4987666.65117994)</f>
        <v>4987666.6511799404</v>
      </c>
      <c r="V202" s="27">
        <f t="shared" ca="1" si="6"/>
        <v>0.22494903920048323</v>
      </c>
    </row>
    <row r="203" spans="1:22" ht="12.75" customHeight="1" x14ac:dyDescent="0.2">
      <c r="A203" s="6" t="s">
        <v>294</v>
      </c>
      <c r="B203" s="6" t="s">
        <v>15</v>
      </c>
      <c r="C203" s="7">
        <v>183135</v>
      </c>
      <c r="D203" s="8">
        <v>139063.19999999998</v>
      </c>
      <c r="E203" s="9" t="s">
        <v>16</v>
      </c>
      <c r="F203" s="36">
        <v>208</v>
      </c>
      <c r="G203" s="25"/>
      <c r="H203" s="14">
        <f t="shared" si="0"/>
        <v>0.55000000000000004</v>
      </c>
      <c r="I203" s="25">
        <f ca="1">IFERROR(__xludf.DUMMYFUNCTION("ROUND(D203*GOOGLEFINANCE(""RUBKZT"")*H203)"),596851)</f>
        <v>596851</v>
      </c>
      <c r="J203" s="26">
        <f ca="1">IFERROR(__xludf.DUMMYFUNCTION("ROUND(I203*GOOGLEFINANCE(""KZTEUR""))"),1250)</f>
        <v>1250</v>
      </c>
      <c r="K203" s="26">
        <f t="shared" ca="1" si="1"/>
        <v>6010</v>
      </c>
      <c r="L203" s="26">
        <f t="shared" ca="1" si="2"/>
        <v>1141.9000000000001</v>
      </c>
      <c r="M203" s="26">
        <f t="shared" ref="M203:N203" si="204">M$3</f>
        <v>500</v>
      </c>
      <c r="N203" s="26">
        <f t="shared" si="204"/>
        <v>500</v>
      </c>
      <c r="O203" s="26">
        <f ca="1">IFERROR(__xludf.DUMMYFUNCTION("ROUND(GOOGLEFINANCE(""Currency:EURKZT"")*K203)"),2870193)</f>
        <v>2870193</v>
      </c>
      <c r="P203" s="26">
        <f ca="1">IFERROR(__xludf.DUMMYFUNCTION("ROUND(GOOGLEFINANCE(""Currency:EURKZT"")*M203)"),238785)</f>
        <v>238785</v>
      </c>
      <c r="Q203" s="26">
        <f ca="1">IFERROR(__xludf.DUMMYFUNCTION("ROUND(GOOGLEFINANCE(""Currency:EURKZT"")*N203)"),238785)</f>
        <v>238785</v>
      </c>
      <c r="R203" s="26">
        <f t="shared" ca="1" si="4"/>
        <v>344423</v>
      </c>
      <c r="S203" s="26">
        <f t="shared" ca="1" si="5"/>
        <v>3692186</v>
      </c>
      <c r="T203" s="26">
        <f ca="1">IFERROR(__xludf.DUMMYFUNCTION("ROUND(GOOGLEFINANCE(""Currency:EURKZT"")*L203+S203)"),4237523)</f>
        <v>4237523</v>
      </c>
      <c r="U203" s="26">
        <f ca="1">IFERROR(__xludf.DUMMYFUNCTION("D203*GOOGLEFINANCE(""RUBKZT"")*1000/F203"),5217225.28400118)</f>
        <v>5217225.28400118</v>
      </c>
      <c r="V203" s="27">
        <f t="shared" ca="1" si="6"/>
        <v>0.23119692424116164</v>
      </c>
    </row>
    <row r="204" spans="1:22" ht="12.75" customHeight="1" x14ac:dyDescent="0.2">
      <c r="A204" s="6" t="s">
        <v>295</v>
      </c>
      <c r="B204" s="6" t="s">
        <v>15</v>
      </c>
      <c r="C204" s="7">
        <v>183267</v>
      </c>
      <c r="D204" s="8">
        <v>104706</v>
      </c>
      <c r="E204" s="9" t="s">
        <v>7</v>
      </c>
      <c r="F204" s="36">
        <v>208</v>
      </c>
      <c r="G204" s="25"/>
      <c r="H204" s="14">
        <f t="shared" si="0"/>
        <v>0.55000000000000004</v>
      </c>
      <c r="I204" s="25">
        <f ca="1">IFERROR(__xludf.DUMMYFUNCTION("ROUND(D204*GOOGLEFINANCE(""RUBKZT"")*H204)"),449392)</f>
        <v>449392</v>
      </c>
      <c r="J204" s="26">
        <f ca="1">IFERROR(__xludf.DUMMYFUNCTION("ROUND(I204*GOOGLEFINANCE(""KZTEUR""))"),941)</f>
        <v>941</v>
      </c>
      <c r="K204" s="26">
        <f t="shared" ca="1" si="1"/>
        <v>4524</v>
      </c>
      <c r="L204" s="26">
        <f t="shared" ca="1" si="2"/>
        <v>859.56000000000006</v>
      </c>
      <c r="M204" s="26">
        <f t="shared" ref="M204:N204" si="205">M$3</f>
        <v>500</v>
      </c>
      <c r="N204" s="26">
        <f t="shared" si="205"/>
        <v>500</v>
      </c>
      <c r="O204" s="26">
        <f ca="1">IFERROR(__xludf.DUMMYFUNCTION("ROUND(GOOGLEFINANCE(""Currency:EURKZT"")*K204)"),2160525)</f>
        <v>2160525</v>
      </c>
      <c r="P204" s="26">
        <f ca="1">IFERROR(__xludf.DUMMYFUNCTION("ROUND(GOOGLEFINANCE(""Currency:EURKZT"")*M204)"),238785)</f>
        <v>238785</v>
      </c>
      <c r="Q204" s="26">
        <f ca="1">IFERROR(__xludf.DUMMYFUNCTION("ROUND(GOOGLEFINANCE(""Currency:EURKZT"")*N204)"),238785)</f>
        <v>238785</v>
      </c>
      <c r="R204" s="26">
        <f t="shared" ca="1" si="4"/>
        <v>259263</v>
      </c>
      <c r="S204" s="26">
        <f t="shared" ca="1" si="5"/>
        <v>2897358</v>
      </c>
      <c r="T204" s="26">
        <f ca="1">IFERROR(__xludf.DUMMYFUNCTION("ROUND(GOOGLEFINANCE(""Currency:EURKZT"")*L204+S204)"),3307858)</f>
        <v>3307858</v>
      </c>
      <c r="U204" s="26">
        <f ca="1">IFERROR(__xludf.DUMMYFUNCTION("D204*GOOGLEFINANCE(""RUBKZT"")*1000/F204"),3928248.38337265)</f>
        <v>3928248.38337265</v>
      </c>
      <c r="V204" s="27">
        <f t="shared" ca="1" si="6"/>
        <v>0.18755048837424401</v>
      </c>
    </row>
    <row r="205" spans="1:22" ht="12.75" customHeight="1" x14ac:dyDescent="0.2">
      <c r="A205" s="6" t="s">
        <v>296</v>
      </c>
      <c r="B205" s="6" t="s">
        <v>15</v>
      </c>
      <c r="C205" s="7">
        <v>183269</v>
      </c>
      <c r="D205" s="8">
        <v>127401.59999999999</v>
      </c>
      <c r="E205" s="9" t="s">
        <v>7</v>
      </c>
      <c r="F205" s="36">
        <v>208</v>
      </c>
      <c r="G205" s="25"/>
      <c r="H205" s="14">
        <f t="shared" si="0"/>
        <v>0.55000000000000004</v>
      </c>
      <c r="I205" s="25">
        <f ca="1">IFERROR(__xludf.DUMMYFUNCTION("ROUND(D205*GOOGLEFINANCE(""RUBKZT"")*H205)"),546800)</f>
        <v>546800</v>
      </c>
      <c r="J205" s="26">
        <f ca="1">IFERROR(__xludf.DUMMYFUNCTION("ROUND(I205*GOOGLEFINANCE(""KZTEUR""))"),1145)</f>
        <v>1145</v>
      </c>
      <c r="K205" s="26">
        <f t="shared" ca="1" si="1"/>
        <v>5505</v>
      </c>
      <c r="L205" s="26">
        <f t="shared" ca="1" si="2"/>
        <v>1045.95</v>
      </c>
      <c r="M205" s="26">
        <f t="shared" ref="M205:N205" si="206">M$3</f>
        <v>500</v>
      </c>
      <c r="N205" s="26">
        <f t="shared" si="206"/>
        <v>500</v>
      </c>
      <c r="O205" s="26">
        <f ca="1">IFERROR(__xludf.DUMMYFUNCTION("ROUND(GOOGLEFINANCE(""Currency:EURKZT"")*K205)"),2629021)</f>
        <v>2629021</v>
      </c>
      <c r="P205" s="26">
        <f ca="1">IFERROR(__xludf.DUMMYFUNCTION("ROUND(GOOGLEFINANCE(""Currency:EURKZT"")*M205)"),238785)</f>
        <v>238785</v>
      </c>
      <c r="Q205" s="26">
        <f ca="1">IFERROR(__xludf.DUMMYFUNCTION("ROUND(GOOGLEFINANCE(""Currency:EURKZT"")*N205)"),238785)</f>
        <v>238785</v>
      </c>
      <c r="R205" s="26">
        <f t="shared" ca="1" si="4"/>
        <v>315483</v>
      </c>
      <c r="S205" s="26">
        <f t="shared" ca="1" si="5"/>
        <v>3422074</v>
      </c>
      <c r="T205" s="26">
        <f ca="1">IFERROR(__xludf.DUMMYFUNCTION("ROUND(GOOGLEFINANCE(""Currency:EURKZT"")*L205+S205)"),3921588)</f>
        <v>3921588</v>
      </c>
      <c r="U205" s="26">
        <f ca="1">IFERROR(__xludf.DUMMYFUNCTION("D205*GOOGLEFINANCE(""RUBKZT"")*1000/F205"),4779717.77394886)</f>
        <v>4779717.7739488604</v>
      </c>
      <c r="V205" s="27">
        <f t="shared" ca="1" si="6"/>
        <v>0.2188220113762232</v>
      </c>
    </row>
    <row r="206" spans="1:22" ht="12.75" customHeight="1" x14ac:dyDescent="0.2">
      <c r="A206" s="6" t="s">
        <v>297</v>
      </c>
      <c r="B206" s="6" t="s">
        <v>15</v>
      </c>
      <c r="C206" s="7">
        <v>183295</v>
      </c>
      <c r="D206" s="8">
        <v>101251.2</v>
      </c>
      <c r="E206" s="9" t="s">
        <v>7</v>
      </c>
      <c r="F206" s="36">
        <v>208</v>
      </c>
      <c r="G206" s="25"/>
      <c r="H206" s="14">
        <f t="shared" si="0"/>
        <v>0.55000000000000004</v>
      </c>
      <c r="I206" s="25">
        <f ca="1">IFERROR(__xludf.DUMMYFUNCTION("ROUND(D206*GOOGLEFINANCE(""RUBKZT"")*H206)"),434564)</f>
        <v>434564</v>
      </c>
      <c r="J206" s="26">
        <f ca="1">IFERROR(__xludf.DUMMYFUNCTION("ROUND(I206*GOOGLEFINANCE(""KZTEUR""))"),910)</f>
        <v>910</v>
      </c>
      <c r="K206" s="26">
        <f t="shared" ca="1" si="1"/>
        <v>4375</v>
      </c>
      <c r="L206" s="26">
        <f t="shared" ca="1" si="2"/>
        <v>831.25</v>
      </c>
      <c r="M206" s="26">
        <f t="shared" ref="M206:N206" si="207">M$3</f>
        <v>500</v>
      </c>
      <c r="N206" s="26">
        <f t="shared" si="207"/>
        <v>500</v>
      </c>
      <c r="O206" s="26">
        <f ca="1">IFERROR(__xludf.DUMMYFUNCTION("ROUND(GOOGLEFINANCE(""Currency:EURKZT"")*K206)"),2089367)</f>
        <v>2089367</v>
      </c>
      <c r="P206" s="26">
        <f ca="1">IFERROR(__xludf.DUMMYFUNCTION("ROUND(GOOGLEFINANCE(""Currency:EURKZT"")*M206)"),238785)</f>
        <v>238785</v>
      </c>
      <c r="Q206" s="26">
        <f ca="1">IFERROR(__xludf.DUMMYFUNCTION("ROUND(GOOGLEFINANCE(""Currency:EURKZT"")*N206)"),238785)</f>
        <v>238785</v>
      </c>
      <c r="R206" s="26">
        <f t="shared" ca="1" si="4"/>
        <v>250724</v>
      </c>
      <c r="S206" s="26">
        <f t="shared" ca="1" si="5"/>
        <v>2817661</v>
      </c>
      <c r="T206" s="26">
        <f ca="1">IFERROR(__xludf.DUMMYFUNCTION("ROUND(GOOGLEFINANCE(""Currency:EURKZT"")*L206+S206)"),3214641)</f>
        <v>3214641</v>
      </c>
      <c r="U206" s="26">
        <f ca="1">IFERROR(__xludf.DUMMYFUNCTION("D206*GOOGLEFINANCE(""RUBKZT"")*1000/F206"),3798634.87015587)</f>
        <v>3798634.87015587</v>
      </c>
      <c r="V206" s="27">
        <f t="shared" ca="1" si="6"/>
        <v>0.18166690157808291</v>
      </c>
    </row>
    <row r="207" spans="1:22" ht="12.75" customHeight="1" x14ac:dyDescent="0.2">
      <c r="A207" s="6" t="s">
        <v>298</v>
      </c>
      <c r="B207" s="6" t="s">
        <v>15</v>
      </c>
      <c r="C207" s="7">
        <v>183302</v>
      </c>
      <c r="D207" s="8">
        <v>104031.59999999999</v>
      </c>
      <c r="E207" s="9" t="s">
        <v>7</v>
      </c>
      <c r="F207" s="36">
        <v>208</v>
      </c>
      <c r="G207" s="25"/>
      <c r="H207" s="14">
        <f t="shared" si="0"/>
        <v>0.55000000000000004</v>
      </c>
      <c r="I207" s="25">
        <f ca="1">IFERROR(__xludf.DUMMYFUNCTION("ROUND(D207*GOOGLEFINANCE(""RUBKZT"")*H207)"),446497)</f>
        <v>446497</v>
      </c>
      <c r="J207" s="26">
        <f ca="1">IFERROR(__xludf.DUMMYFUNCTION("ROUND(I207*GOOGLEFINANCE(""KZTEUR""))"),935)</f>
        <v>935</v>
      </c>
      <c r="K207" s="26">
        <f t="shared" ca="1" si="1"/>
        <v>4495</v>
      </c>
      <c r="L207" s="26">
        <f t="shared" ca="1" si="2"/>
        <v>854.05</v>
      </c>
      <c r="M207" s="26">
        <f t="shared" ref="M207:N207" si="208">M$3</f>
        <v>500</v>
      </c>
      <c r="N207" s="26">
        <f t="shared" si="208"/>
        <v>500</v>
      </c>
      <c r="O207" s="26">
        <f ca="1">IFERROR(__xludf.DUMMYFUNCTION("ROUND(GOOGLEFINANCE(""Currency:EURKZT"")*K207)"),2146675)</f>
        <v>2146675</v>
      </c>
      <c r="P207" s="26">
        <f ca="1">IFERROR(__xludf.DUMMYFUNCTION("ROUND(GOOGLEFINANCE(""Currency:EURKZT"")*M207)"),238785)</f>
        <v>238785</v>
      </c>
      <c r="Q207" s="26">
        <f ca="1">IFERROR(__xludf.DUMMYFUNCTION("ROUND(GOOGLEFINANCE(""Currency:EURKZT"")*N207)"),238785)</f>
        <v>238785</v>
      </c>
      <c r="R207" s="26">
        <f t="shared" ca="1" si="4"/>
        <v>257601</v>
      </c>
      <c r="S207" s="26">
        <f t="shared" ca="1" si="5"/>
        <v>2881846</v>
      </c>
      <c r="T207" s="26">
        <f ca="1">IFERROR(__xludf.DUMMYFUNCTION("ROUND(GOOGLEFINANCE(""Currency:EURKZT"")*L207+S207)"),3289714)</f>
        <v>3289714</v>
      </c>
      <c r="U207" s="26">
        <f ca="1">IFERROR(__xludf.DUMMYFUNCTION("D207*GOOGLEFINANCE(""RUBKZT"")*1000/F207"),3902946.96120251)</f>
        <v>3902946.9612025102</v>
      </c>
      <c r="V207" s="27">
        <f t="shared" ca="1" si="6"/>
        <v>0.18640920189490945</v>
      </c>
    </row>
    <row r="208" spans="1:22" ht="12.75" customHeight="1" x14ac:dyDescent="0.2">
      <c r="A208" s="6" t="s">
        <v>300</v>
      </c>
      <c r="B208" s="6" t="s">
        <v>15</v>
      </c>
      <c r="C208" s="7">
        <v>183314</v>
      </c>
      <c r="D208" s="8">
        <v>90484.800000000003</v>
      </c>
      <c r="E208" s="9" t="s">
        <v>7</v>
      </c>
      <c r="F208" s="36">
        <v>208</v>
      </c>
      <c r="G208" s="25"/>
      <c r="H208" s="14">
        <f t="shared" si="0"/>
        <v>0.55000000000000004</v>
      </c>
      <c r="I208" s="25">
        <f ca="1">IFERROR(__xludf.DUMMYFUNCTION("ROUND(D208*GOOGLEFINANCE(""RUBKZT"")*H208)"),388355)</f>
        <v>388355</v>
      </c>
      <c r="J208" s="26">
        <f ca="1">IFERROR(__xludf.DUMMYFUNCTION("ROUND(I208*GOOGLEFINANCE(""KZTEUR""))"),813)</f>
        <v>813</v>
      </c>
      <c r="K208" s="26">
        <f t="shared" ca="1" si="1"/>
        <v>3909</v>
      </c>
      <c r="L208" s="26">
        <f t="shared" ca="1" si="2"/>
        <v>742.71</v>
      </c>
      <c r="M208" s="26">
        <f t="shared" ref="M208:N208" si="209">M$3</f>
        <v>500</v>
      </c>
      <c r="N208" s="26">
        <f t="shared" si="209"/>
        <v>500</v>
      </c>
      <c r="O208" s="26">
        <f ca="1">IFERROR(__xludf.DUMMYFUNCTION("ROUND(GOOGLEFINANCE(""Currency:EURKZT"")*K208)"),1866820)</f>
        <v>1866820</v>
      </c>
      <c r="P208" s="26">
        <f ca="1">IFERROR(__xludf.DUMMYFUNCTION("ROUND(GOOGLEFINANCE(""Currency:EURKZT"")*M208)"),238785)</f>
        <v>238785</v>
      </c>
      <c r="Q208" s="26">
        <f ca="1">IFERROR(__xludf.DUMMYFUNCTION("ROUND(GOOGLEFINANCE(""Currency:EURKZT"")*N208)"),238785)</f>
        <v>238785</v>
      </c>
      <c r="R208" s="26">
        <f t="shared" ca="1" si="4"/>
        <v>224018</v>
      </c>
      <c r="S208" s="26">
        <f t="shared" ca="1" si="5"/>
        <v>2568408</v>
      </c>
      <c r="T208" s="26">
        <f ca="1">IFERROR(__xludf.DUMMYFUNCTION("ROUND(GOOGLEFINANCE(""Currency:EURKZT"")*L208+S208)"),2923104)</f>
        <v>2923104</v>
      </c>
      <c r="U208" s="26">
        <f ca="1">IFERROR(__xludf.DUMMYFUNCTION("D208*GOOGLEFINANCE(""RUBKZT"")*1000/F208"),3394712.52191658)</f>
        <v>3394712.5219165799</v>
      </c>
      <c r="V208" s="27">
        <f t="shared" ca="1" si="6"/>
        <v>0.16133826299597276</v>
      </c>
    </row>
    <row r="209" spans="1:22" ht="12.75" customHeight="1" x14ac:dyDescent="0.2">
      <c r="A209" s="6" t="s">
        <v>301</v>
      </c>
      <c r="B209" s="6" t="s">
        <v>15</v>
      </c>
      <c r="C209" s="7">
        <v>183333</v>
      </c>
      <c r="D209" s="8">
        <v>102675.59999999999</v>
      </c>
      <c r="E209" s="9" t="s">
        <v>7</v>
      </c>
      <c r="F209" s="36">
        <v>208</v>
      </c>
      <c r="G209" s="25"/>
      <c r="H209" s="14">
        <f t="shared" si="0"/>
        <v>0.55000000000000004</v>
      </c>
      <c r="I209" s="25">
        <f ca="1">IFERROR(__xludf.DUMMYFUNCTION("ROUND(D209*GOOGLEFINANCE(""RUBKZT"")*H209)"),440677)</f>
        <v>440677</v>
      </c>
      <c r="J209" s="26">
        <f ca="1">IFERROR(__xludf.DUMMYFUNCTION("ROUND(I209*GOOGLEFINANCE(""KZTEUR""))"),923)</f>
        <v>923</v>
      </c>
      <c r="K209" s="26">
        <f t="shared" ca="1" si="1"/>
        <v>4438</v>
      </c>
      <c r="L209" s="26">
        <f t="shared" ca="1" si="2"/>
        <v>843.22</v>
      </c>
      <c r="M209" s="26">
        <f t="shared" ref="M209:N209" si="210">M$3</f>
        <v>500</v>
      </c>
      <c r="N209" s="26">
        <f t="shared" si="210"/>
        <v>500</v>
      </c>
      <c r="O209" s="26">
        <f ca="1">IFERROR(__xludf.DUMMYFUNCTION("ROUND(GOOGLEFINANCE(""Currency:EURKZT"")*K209)"),2119454)</f>
        <v>2119454</v>
      </c>
      <c r="P209" s="26">
        <f ca="1">IFERROR(__xludf.DUMMYFUNCTION("ROUND(GOOGLEFINANCE(""Currency:EURKZT"")*M209)"),238785)</f>
        <v>238785</v>
      </c>
      <c r="Q209" s="26">
        <f ca="1">IFERROR(__xludf.DUMMYFUNCTION("ROUND(GOOGLEFINANCE(""Currency:EURKZT"")*N209)"),238785)</f>
        <v>238785</v>
      </c>
      <c r="R209" s="26">
        <f t="shared" ca="1" si="4"/>
        <v>254334</v>
      </c>
      <c r="S209" s="26">
        <f t="shared" ca="1" si="5"/>
        <v>2851358</v>
      </c>
      <c r="T209" s="26">
        <f ca="1">IFERROR(__xludf.DUMMYFUNCTION("ROUND(GOOGLEFINANCE(""Currency:EURKZT"")*L209+S209)"),3254054)</f>
        <v>3254054</v>
      </c>
      <c r="U209" s="26">
        <f ca="1">IFERROR(__xludf.DUMMYFUNCTION("D209*GOOGLEFINANCE(""RUBKZT"")*1000/F209"),3852073.99491736)</f>
        <v>3852073.9949173601</v>
      </c>
      <c r="V209" s="27">
        <f t="shared" ca="1" si="6"/>
        <v>0.18377691178983513</v>
      </c>
    </row>
    <row r="210" spans="1:22" ht="12.75" customHeight="1" x14ac:dyDescent="0.2">
      <c r="A210" s="6" t="s">
        <v>302</v>
      </c>
      <c r="B210" s="6" t="s">
        <v>15</v>
      </c>
      <c r="C210" s="7">
        <v>183630</v>
      </c>
      <c r="D210" s="8">
        <v>99517.2</v>
      </c>
      <c r="E210" s="9" t="s">
        <v>16</v>
      </c>
      <c r="F210" s="36">
        <v>208</v>
      </c>
      <c r="G210" s="25"/>
      <c r="H210" s="14">
        <f t="shared" si="0"/>
        <v>0.55000000000000004</v>
      </c>
      <c r="I210" s="25">
        <f ca="1">IFERROR(__xludf.DUMMYFUNCTION("ROUND(D210*GOOGLEFINANCE(""RUBKZT"")*H210)"),427122)</f>
        <v>427122</v>
      </c>
      <c r="J210" s="26">
        <f ca="1">IFERROR(__xludf.DUMMYFUNCTION("ROUND(I210*GOOGLEFINANCE(""KZTEUR""))"),895)</f>
        <v>895</v>
      </c>
      <c r="K210" s="26">
        <f t="shared" ca="1" si="1"/>
        <v>4303</v>
      </c>
      <c r="L210" s="26">
        <f t="shared" ca="1" si="2"/>
        <v>817.57</v>
      </c>
      <c r="M210" s="26">
        <f t="shared" ref="M210:N210" si="211">M$3</f>
        <v>500</v>
      </c>
      <c r="N210" s="26">
        <f t="shared" si="211"/>
        <v>500</v>
      </c>
      <c r="O210" s="26">
        <f ca="1">IFERROR(__xludf.DUMMYFUNCTION("ROUND(GOOGLEFINANCE(""Currency:EURKZT"")*K210)"),2054982)</f>
        <v>2054982</v>
      </c>
      <c r="P210" s="26">
        <f ca="1">IFERROR(__xludf.DUMMYFUNCTION("ROUND(GOOGLEFINANCE(""Currency:EURKZT"")*M210)"),238785)</f>
        <v>238785</v>
      </c>
      <c r="Q210" s="26">
        <f ca="1">IFERROR(__xludf.DUMMYFUNCTION("ROUND(GOOGLEFINANCE(""Currency:EURKZT"")*N210)"),238785)</f>
        <v>238785</v>
      </c>
      <c r="R210" s="26">
        <f t="shared" ca="1" si="4"/>
        <v>246598</v>
      </c>
      <c r="S210" s="26">
        <f t="shared" ca="1" si="5"/>
        <v>2779150</v>
      </c>
      <c r="T210" s="26">
        <f ca="1">IFERROR(__xludf.DUMMYFUNCTION("ROUND(GOOGLEFINANCE(""Currency:EURKZT"")*L210+S210)"),3169597)</f>
        <v>3169597</v>
      </c>
      <c r="U210" s="26">
        <f ca="1">IFERROR(__xludf.DUMMYFUNCTION("D210*GOOGLEFINANCE(""RUBKZT"")*1000/F210"),3733580.50176468)</f>
        <v>3733580.5017646798</v>
      </c>
      <c r="V210" s="27">
        <f t="shared" ca="1" si="6"/>
        <v>0.17793539739111305</v>
      </c>
    </row>
    <row r="211" spans="1:22" ht="12.75" customHeight="1" x14ac:dyDescent="0.2">
      <c r="A211" s="6" t="s">
        <v>125</v>
      </c>
      <c r="B211" s="6" t="s">
        <v>15</v>
      </c>
      <c r="C211" s="7">
        <v>183656</v>
      </c>
      <c r="D211" s="8">
        <v>227733.6</v>
      </c>
      <c r="E211" s="9" t="s">
        <v>16</v>
      </c>
      <c r="F211" s="36">
        <v>208</v>
      </c>
      <c r="G211" s="25"/>
      <c r="H211" s="14">
        <f t="shared" si="0"/>
        <v>0.55000000000000004</v>
      </c>
      <c r="I211" s="25">
        <f ca="1">IFERROR(__xludf.DUMMYFUNCTION("ROUND(D211*GOOGLEFINANCE(""RUBKZT"")*H211)"),977418)</f>
        <v>977418</v>
      </c>
      <c r="J211" s="26">
        <f ca="1">IFERROR(__xludf.DUMMYFUNCTION("ROUND(I211*GOOGLEFINANCE(""KZTEUR""))"),2047)</f>
        <v>2047</v>
      </c>
      <c r="K211" s="26">
        <f t="shared" ca="1" si="1"/>
        <v>9841</v>
      </c>
      <c r="L211" s="26">
        <f t="shared" ca="1" si="2"/>
        <v>1869.79</v>
      </c>
      <c r="M211" s="26">
        <f t="shared" ref="M211:N211" si="212">M$3</f>
        <v>500</v>
      </c>
      <c r="N211" s="26">
        <f t="shared" si="212"/>
        <v>500</v>
      </c>
      <c r="O211" s="26">
        <f ca="1">IFERROR(__xludf.DUMMYFUNCTION("ROUND(GOOGLEFINANCE(""Currency:EURKZT"")*K211)"),4699763)</f>
        <v>4699763</v>
      </c>
      <c r="P211" s="26">
        <f ca="1">IFERROR(__xludf.DUMMYFUNCTION("ROUND(GOOGLEFINANCE(""Currency:EURKZT"")*M211)"),238785)</f>
        <v>238785</v>
      </c>
      <c r="Q211" s="26">
        <f ca="1">IFERROR(__xludf.DUMMYFUNCTION("ROUND(GOOGLEFINANCE(""Currency:EURKZT"")*N211)"),238785)</f>
        <v>238785</v>
      </c>
      <c r="R211" s="26">
        <f t="shared" ca="1" si="4"/>
        <v>563972</v>
      </c>
      <c r="S211" s="26">
        <f t="shared" ca="1" si="5"/>
        <v>5741305</v>
      </c>
      <c r="T211" s="26">
        <f ca="1">IFERROR(__xludf.DUMMYFUNCTION("ROUND(GOOGLEFINANCE(""Currency:EURKZT"")*L211+S211)"),6634260)</f>
        <v>6634260</v>
      </c>
      <c r="U211" s="26">
        <f ca="1">IFERROR(__xludf.DUMMYFUNCTION("D211*GOOGLEFINANCE(""RUBKZT"")*1000/F211"),8543867.07580878)</f>
        <v>8543867.0758087803</v>
      </c>
      <c r="V211" s="27">
        <f t="shared" ca="1" si="6"/>
        <v>0.28784025284037412</v>
      </c>
    </row>
    <row r="212" spans="1:22" ht="12.75" customHeight="1" x14ac:dyDescent="0.2">
      <c r="A212" s="6" t="s">
        <v>308</v>
      </c>
      <c r="B212" s="6" t="s">
        <v>15</v>
      </c>
      <c r="C212" s="7">
        <v>186857</v>
      </c>
      <c r="D212" s="8">
        <v>211746</v>
      </c>
      <c r="E212" s="9" t="s">
        <v>16</v>
      </c>
      <c r="F212" s="36">
        <v>208</v>
      </c>
      <c r="G212" s="25"/>
      <c r="H212" s="14">
        <f t="shared" si="0"/>
        <v>0.55000000000000004</v>
      </c>
      <c r="I212" s="25">
        <f ca="1">IFERROR(__xludf.DUMMYFUNCTION("ROUND(D212*GOOGLEFINANCE(""RUBKZT"")*H212)"),908801)</f>
        <v>908801</v>
      </c>
      <c r="J212" s="26">
        <f ca="1">IFERROR(__xludf.DUMMYFUNCTION("ROUND(I212*GOOGLEFINANCE(""KZTEUR""))"),1903)</f>
        <v>1903</v>
      </c>
      <c r="K212" s="26">
        <f t="shared" ca="1" si="1"/>
        <v>9149</v>
      </c>
      <c r="L212" s="26">
        <f t="shared" ca="1" si="2"/>
        <v>1738.31</v>
      </c>
      <c r="M212" s="26">
        <f t="shared" ref="M212:N212" si="213">M$3</f>
        <v>500</v>
      </c>
      <c r="N212" s="26">
        <f t="shared" si="213"/>
        <v>500</v>
      </c>
      <c r="O212" s="26">
        <f ca="1">IFERROR(__xludf.DUMMYFUNCTION("ROUND(GOOGLEFINANCE(""Currency:EURKZT"")*K212)"),4369284)</f>
        <v>4369284</v>
      </c>
      <c r="P212" s="26">
        <f ca="1">IFERROR(__xludf.DUMMYFUNCTION("ROUND(GOOGLEFINANCE(""Currency:EURKZT"")*M212)"),238785)</f>
        <v>238785</v>
      </c>
      <c r="Q212" s="26">
        <f ca="1">IFERROR(__xludf.DUMMYFUNCTION("ROUND(GOOGLEFINANCE(""Currency:EURKZT"")*N212)"),238785)</f>
        <v>238785</v>
      </c>
      <c r="R212" s="26">
        <f t="shared" ca="1" si="4"/>
        <v>524314</v>
      </c>
      <c r="S212" s="26">
        <f t="shared" ca="1" si="5"/>
        <v>5371168</v>
      </c>
      <c r="T212" s="26">
        <f ca="1">IFERROR(__xludf.DUMMYFUNCTION("ROUND(GOOGLEFINANCE(""Currency:EURKZT"")*L212+S212)"),6201332)</f>
        <v>6201332</v>
      </c>
      <c r="U212" s="26">
        <f ca="1">IFERROR(__xludf.DUMMYFUNCTION("D212*GOOGLEFINANCE(""RUBKZT"")*1000/F212"),7944061.29720957)</f>
        <v>7944061.2972095702</v>
      </c>
      <c r="V212" s="27">
        <f t="shared" ca="1" si="6"/>
        <v>0.28102499547025866</v>
      </c>
    </row>
    <row r="213" spans="1:22" ht="12.75" customHeight="1" x14ac:dyDescent="0.2">
      <c r="A213" s="6" t="s">
        <v>309</v>
      </c>
      <c r="B213" s="6" t="s">
        <v>15</v>
      </c>
      <c r="C213" s="7">
        <v>186930</v>
      </c>
      <c r="D213" s="8">
        <v>170398.8</v>
      </c>
      <c r="E213" s="9" t="s">
        <v>16</v>
      </c>
      <c r="F213" s="36">
        <v>208</v>
      </c>
      <c r="G213" s="25"/>
      <c r="H213" s="14">
        <f t="shared" si="0"/>
        <v>0.55000000000000004</v>
      </c>
      <c r="I213" s="25">
        <f ca="1">IFERROR(__xludf.DUMMYFUNCTION("ROUND(D213*GOOGLEFINANCE(""RUBKZT"")*H213)"),731341)</f>
        <v>731341</v>
      </c>
      <c r="J213" s="26">
        <f ca="1">IFERROR(__xludf.DUMMYFUNCTION("ROUND(I213*GOOGLEFINANCE(""KZTEUR""))"),1532)</f>
        <v>1532</v>
      </c>
      <c r="K213" s="26">
        <f t="shared" ca="1" si="1"/>
        <v>7365</v>
      </c>
      <c r="L213" s="26">
        <f t="shared" ca="1" si="2"/>
        <v>1399.35</v>
      </c>
      <c r="M213" s="26">
        <f t="shared" ref="M213:N213" si="214">M$3</f>
        <v>500</v>
      </c>
      <c r="N213" s="26">
        <f t="shared" si="214"/>
        <v>500</v>
      </c>
      <c r="O213" s="26">
        <f ca="1">IFERROR(__xludf.DUMMYFUNCTION("ROUND(GOOGLEFINANCE(""Currency:EURKZT"")*K213)"),3517300)</f>
        <v>3517300</v>
      </c>
      <c r="P213" s="26">
        <f ca="1">IFERROR(__xludf.DUMMYFUNCTION("ROUND(GOOGLEFINANCE(""Currency:EURKZT"")*M213)"),238785)</f>
        <v>238785</v>
      </c>
      <c r="Q213" s="26">
        <f ca="1">IFERROR(__xludf.DUMMYFUNCTION("ROUND(GOOGLEFINANCE(""Currency:EURKZT"")*N213)"),238785)</f>
        <v>238785</v>
      </c>
      <c r="R213" s="26">
        <f t="shared" ca="1" si="4"/>
        <v>422076</v>
      </c>
      <c r="S213" s="26">
        <f t="shared" ca="1" si="5"/>
        <v>4416946</v>
      </c>
      <c r="T213" s="26">
        <f ca="1">IFERROR(__xludf.DUMMYFUNCTION("ROUND(GOOGLEFINANCE(""Currency:EURKZT"")*L213+S213)"),5085233)</f>
        <v>5085233</v>
      </c>
      <c r="U213" s="26">
        <f ca="1">IFERROR(__xludf.DUMMYFUNCTION("D213*GOOGLEFINANCE(""RUBKZT"")*1000/F213"),6392841.0084297)</f>
        <v>6392841.0084296996</v>
      </c>
      <c r="V213" s="27">
        <f t="shared" ca="1" si="6"/>
        <v>0.25713826847849441</v>
      </c>
    </row>
    <row r="214" spans="1:22" ht="12.75" customHeight="1" x14ac:dyDescent="0.2">
      <c r="A214" s="6" t="s">
        <v>261</v>
      </c>
      <c r="B214" s="6" t="s">
        <v>15</v>
      </c>
      <c r="C214" s="7">
        <v>187926</v>
      </c>
      <c r="D214" s="8">
        <v>133310.39999999999</v>
      </c>
      <c r="E214" s="9" t="s">
        <v>16</v>
      </c>
      <c r="F214" s="36">
        <v>208</v>
      </c>
      <c r="G214" s="25"/>
      <c r="H214" s="14">
        <f t="shared" si="0"/>
        <v>0.55000000000000004</v>
      </c>
      <c r="I214" s="25">
        <f ca="1">IFERROR(__xludf.DUMMYFUNCTION("ROUND(D214*GOOGLEFINANCE(""RUBKZT"")*H214)"),572160)</f>
        <v>572160</v>
      </c>
      <c r="J214" s="26">
        <f ca="1">IFERROR(__xludf.DUMMYFUNCTION("ROUND(I214*GOOGLEFINANCE(""KZTEUR""))"),1198)</f>
        <v>1198</v>
      </c>
      <c r="K214" s="26">
        <f t="shared" ca="1" si="1"/>
        <v>5760</v>
      </c>
      <c r="L214" s="26">
        <f t="shared" ca="1" si="2"/>
        <v>1094.4000000000001</v>
      </c>
      <c r="M214" s="26">
        <f t="shared" ref="M214:N214" si="215">M$3</f>
        <v>500</v>
      </c>
      <c r="N214" s="26">
        <f t="shared" si="215"/>
        <v>500</v>
      </c>
      <c r="O214" s="26">
        <f ca="1">IFERROR(__xludf.DUMMYFUNCTION("ROUND(GOOGLEFINANCE(""Currency:EURKZT"")*K214)"),2750801)</f>
        <v>2750801</v>
      </c>
      <c r="P214" s="26">
        <f ca="1">IFERROR(__xludf.DUMMYFUNCTION("ROUND(GOOGLEFINANCE(""Currency:EURKZT"")*M214)"),238785)</f>
        <v>238785</v>
      </c>
      <c r="Q214" s="26">
        <f ca="1">IFERROR(__xludf.DUMMYFUNCTION("ROUND(GOOGLEFINANCE(""Currency:EURKZT"")*N214)"),238785)</f>
        <v>238785</v>
      </c>
      <c r="R214" s="26">
        <f t="shared" ca="1" si="4"/>
        <v>330096</v>
      </c>
      <c r="S214" s="26">
        <f t="shared" ca="1" si="5"/>
        <v>3558467</v>
      </c>
      <c r="T214" s="26">
        <f ca="1">IFERROR(__xludf.DUMMYFUNCTION("ROUND(GOOGLEFINANCE(""Currency:EURKZT"")*L214+S214)"),4081119)</f>
        <v>4081119</v>
      </c>
      <c r="U214" s="26">
        <f ca="1">IFERROR(__xludf.DUMMYFUNCTION("D214*GOOGLEFINANCE(""RUBKZT"")*1000/F214"),5001397.85004452)</f>
        <v>5001397.8500445196</v>
      </c>
      <c r="V214" s="27">
        <f t="shared" ca="1" si="6"/>
        <v>0.22549669589260191</v>
      </c>
    </row>
    <row r="215" spans="1:22" ht="12.75" customHeight="1" x14ac:dyDescent="0.2">
      <c r="A215" s="6" t="s">
        <v>317</v>
      </c>
      <c r="B215" s="6" t="s">
        <v>15</v>
      </c>
      <c r="C215" s="7">
        <v>188256</v>
      </c>
      <c r="D215" s="8">
        <v>96510</v>
      </c>
      <c r="E215" s="9" t="s">
        <v>16</v>
      </c>
      <c r="F215" s="36">
        <v>208</v>
      </c>
      <c r="G215" s="25"/>
      <c r="H215" s="14">
        <f t="shared" si="0"/>
        <v>0.55000000000000004</v>
      </c>
      <c r="I215" s="25">
        <f ca="1">IFERROR(__xludf.DUMMYFUNCTION("ROUND(D215*GOOGLEFINANCE(""RUBKZT"")*H215)"),414215)</f>
        <v>414215</v>
      </c>
      <c r="J215" s="26">
        <f ca="1">IFERROR(__xludf.DUMMYFUNCTION("ROUND(I215*GOOGLEFINANCE(""KZTEUR""))"),868)</f>
        <v>868</v>
      </c>
      <c r="K215" s="26">
        <f t="shared" ca="1" si="1"/>
        <v>4173</v>
      </c>
      <c r="L215" s="26">
        <f t="shared" ca="1" si="2"/>
        <v>792.87</v>
      </c>
      <c r="M215" s="26">
        <f t="shared" ref="M215:N215" si="216">M$3</f>
        <v>500</v>
      </c>
      <c r="N215" s="26">
        <f t="shared" si="216"/>
        <v>500</v>
      </c>
      <c r="O215" s="26">
        <f ca="1">IFERROR(__xludf.DUMMYFUNCTION("ROUND(GOOGLEFINANCE(""Currency:EURKZT"")*K215)"),1992898)</f>
        <v>1992898</v>
      </c>
      <c r="P215" s="26">
        <f ca="1">IFERROR(__xludf.DUMMYFUNCTION("ROUND(GOOGLEFINANCE(""Currency:EURKZT"")*M215)"),238785)</f>
        <v>238785</v>
      </c>
      <c r="Q215" s="26">
        <f ca="1">IFERROR(__xludf.DUMMYFUNCTION("ROUND(GOOGLEFINANCE(""Currency:EURKZT"")*N215)"),238785)</f>
        <v>238785</v>
      </c>
      <c r="R215" s="26">
        <f t="shared" ca="1" si="4"/>
        <v>239148</v>
      </c>
      <c r="S215" s="26">
        <f t="shared" ca="1" si="5"/>
        <v>2709616</v>
      </c>
      <c r="T215" s="26">
        <f ca="1">IFERROR(__xludf.DUMMYFUNCTION("ROUND(GOOGLEFINANCE(""Currency:EURKZT"")*L215+S215)"),3088267)</f>
        <v>3088267</v>
      </c>
      <c r="U215" s="26">
        <f ca="1">IFERROR(__xludf.DUMMYFUNCTION("D215*GOOGLEFINANCE(""RUBKZT"")*1000/F215"),3620759.56945442)</f>
        <v>3620759.5694544199</v>
      </c>
      <c r="V215" s="27">
        <f t="shared" ca="1" si="6"/>
        <v>0.17242439512335556</v>
      </c>
    </row>
    <row r="216" spans="1:22" ht="12.75" customHeight="1" x14ac:dyDescent="0.2">
      <c r="A216" s="6" t="s">
        <v>318</v>
      </c>
      <c r="B216" s="6" t="s">
        <v>15</v>
      </c>
      <c r="C216" s="7">
        <v>188328</v>
      </c>
      <c r="D216" s="8">
        <v>112942.8</v>
      </c>
      <c r="E216" s="9" t="s">
        <v>16</v>
      </c>
      <c r="F216" s="36">
        <v>208</v>
      </c>
      <c r="G216" s="25"/>
      <c r="H216" s="14">
        <f t="shared" si="0"/>
        <v>0.55000000000000004</v>
      </c>
      <c r="I216" s="25">
        <f ca="1">IFERROR(__xludf.DUMMYFUNCTION("ROUND(D216*GOOGLEFINANCE(""RUBKZT"")*H216)"),484743)</f>
        <v>484743</v>
      </c>
      <c r="J216" s="26">
        <f ca="1">IFERROR(__xludf.DUMMYFUNCTION("ROUND(I216*GOOGLEFINANCE(""KZTEUR""))"),1015)</f>
        <v>1015</v>
      </c>
      <c r="K216" s="26">
        <f t="shared" ca="1" si="1"/>
        <v>4880</v>
      </c>
      <c r="L216" s="26">
        <f t="shared" ca="1" si="2"/>
        <v>927.2</v>
      </c>
      <c r="M216" s="26">
        <f t="shared" ref="M216:N216" si="217">M$3</f>
        <v>500</v>
      </c>
      <c r="N216" s="26">
        <f t="shared" si="217"/>
        <v>500</v>
      </c>
      <c r="O216" s="26">
        <f ca="1">IFERROR(__xludf.DUMMYFUNCTION("ROUND(GOOGLEFINANCE(""Currency:EURKZT"")*K216)"),2330540)</f>
        <v>2330540</v>
      </c>
      <c r="P216" s="26">
        <f ca="1">IFERROR(__xludf.DUMMYFUNCTION("ROUND(GOOGLEFINANCE(""Currency:EURKZT"")*M216)"),238785)</f>
        <v>238785</v>
      </c>
      <c r="Q216" s="26">
        <f ca="1">IFERROR(__xludf.DUMMYFUNCTION("ROUND(GOOGLEFINANCE(""Currency:EURKZT"")*N216)"),238785)</f>
        <v>238785</v>
      </c>
      <c r="R216" s="26">
        <f t="shared" ca="1" si="4"/>
        <v>279665</v>
      </c>
      <c r="S216" s="26">
        <f t="shared" ca="1" si="5"/>
        <v>3087775</v>
      </c>
      <c r="T216" s="26">
        <f ca="1">IFERROR(__xludf.DUMMYFUNCTION("ROUND(GOOGLEFINANCE(""Currency:EURKZT"")*L216+S216)"),3530578)</f>
        <v>3530578</v>
      </c>
      <c r="U216" s="26">
        <f ca="1">IFERROR(__xludf.DUMMYFUNCTION("D216*GOOGLEFINANCE(""RUBKZT"")*1000/F216"),4237267.88831185)</f>
        <v>4237267.8883118499</v>
      </c>
      <c r="V216" s="27">
        <f t="shared" ca="1" si="6"/>
        <v>0.20016266127298418</v>
      </c>
    </row>
    <row r="217" spans="1:22" ht="12.75" customHeight="1" x14ac:dyDescent="0.2">
      <c r="A217" s="6" t="s">
        <v>323</v>
      </c>
      <c r="B217" s="6" t="s">
        <v>15</v>
      </c>
      <c r="C217" s="7">
        <v>189237</v>
      </c>
      <c r="D217" s="8">
        <v>97605.599999999991</v>
      </c>
      <c r="E217" s="9" t="s">
        <v>16</v>
      </c>
      <c r="F217" s="36">
        <v>208</v>
      </c>
      <c r="G217" s="25"/>
      <c r="H217" s="14">
        <f t="shared" si="0"/>
        <v>0.55000000000000004</v>
      </c>
      <c r="I217" s="25">
        <f ca="1">IFERROR(__xludf.DUMMYFUNCTION("ROUND(D217*GOOGLEFINANCE(""RUBKZT"")*H217)"),418917)</f>
        <v>418917</v>
      </c>
      <c r="J217" s="26">
        <f ca="1">IFERROR(__xludf.DUMMYFUNCTION("ROUND(I217*GOOGLEFINANCE(""KZTEUR""))"),877)</f>
        <v>877</v>
      </c>
      <c r="K217" s="26">
        <f t="shared" ca="1" si="1"/>
        <v>4216</v>
      </c>
      <c r="L217" s="26">
        <f t="shared" ca="1" si="2"/>
        <v>801.04</v>
      </c>
      <c r="M217" s="26">
        <f t="shared" ref="M217:N217" si="218">M$3</f>
        <v>500</v>
      </c>
      <c r="N217" s="26">
        <f t="shared" si="218"/>
        <v>500</v>
      </c>
      <c r="O217" s="26">
        <f ca="1">IFERROR(__xludf.DUMMYFUNCTION("ROUND(GOOGLEFINANCE(""Currency:EURKZT"")*K217)"),2013433)</f>
        <v>2013433</v>
      </c>
      <c r="P217" s="26">
        <f ca="1">IFERROR(__xludf.DUMMYFUNCTION("ROUND(GOOGLEFINANCE(""Currency:EURKZT"")*M217)"),238785)</f>
        <v>238785</v>
      </c>
      <c r="Q217" s="26">
        <f ca="1">IFERROR(__xludf.DUMMYFUNCTION("ROUND(GOOGLEFINANCE(""Currency:EURKZT"")*N217)"),238785)</f>
        <v>238785</v>
      </c>
      <c r="R217" s="26">
        <f t="shared" ca="1" si="4"/>
        <v>241612</v>
      </c>
      <c r="S217" s="26">
        <f t="shared" ca="1" si="5"/>
        <v>2732615</v>
      </c>
      <c r="T217" s="26">
        <f ca="1">IFERROR(__xludf.DUMMYFUNCTION("ROUND(GOOGLEFINANCE(""Currency:EURKZT"")*L217+S217)"),3115167)</f>
        <v>3115167</v>
      </c>
      <c r="U217" s="26">
        <f ca="1">IFERROR(__xludf.DUMMYFUNCTION("D217*GOOGLEFINANCE(""RUBKZT"")*1000/F217"),3661863.12539986)</f>
        <v>3661863.1253998601</v>
      </c>
      <c r="V217" s="27">
        <f t="shared" ca="1" si="6"/>
        <v>0.17549496556680913</v>
      </c>
    </row>
    <row r="218" spans="1:22" ht="12.75" customHeight="1" x14ac:dyDescent="0.2">
      <c r="A218" s="6" t="s">
        <v>324</v>
      </c>
      <c r="B218" s="6" t="s">
        <v>15</v>
      </c>
      <c r="C218" s="7">
        <v>189339</v>
      </c>
      <c r="D218" s="8">
        <v>316923.59999999998</v>
      </c>
      <c r="E218" s="9" t="s">
        <v>16</v>
      </c>
      <c r="F218" s="36">
        <v>208</v>
      </c>
      <c r="G218" s="25"/>
      <c r="H218" s="14">
        <f t="shared" si="0"/>
        <v>0.55000000000000004</v>
      </c>
      <c r="I218" s="25">
        <f ca="1">IFERROR(__xludf.DUMMYFUNCTION("ROUND(D218*GOOGLEFINANCE(""RUBKZT"")*H218)"),1360216)</f>
        <v>1360216</v>
      </c>
      <c r="J218" s="26">
        <f ca="1">IFERROR(__xludf.DUMMYFUNCTION("ROUND(I218*GOOGLEFINANCE(""KZTEUR""))"),2849)</f>
        <v>2849</v>
      </c>
      <c r="K218" s="26">
        <f t="shared" ca="1" si="1"/>
        <v>13697</v>
      </c>
      <c r="L218" s="26">
        <f t="shared" ca="1" si="2"/>
        <v>2602.4299999999998</v>
      </c>
      <c r="M218" s="26">
        <f t="shared" ref="M218:N218" si="219">M$3</f>
        <v>500</v>
      </c>
      <c r="N218" s="26">
        <f t="shared" si="219"/>
        <v>500</v>
      </c>
      <c r="O218" s="26">
        <f ca="1">IFERROR(__xludf.DUMMYFUNCTION("ROUND(GOOGLEFINANCE(""Currency:EURKZT"")*K218)"),6541271)</f>
        <v>6541271</v>
      </c>
      <c r="P218" s="26">
        <f ca="1">IFERROR(__xludf.DUMMYFUNCTION("ROUND(GOOGLEFINANCE(""Currency:EURKZT"")*M218)"),238785)</f>
        <v>238785</v>
      </c>
      <c r="Q218" s="26">
        <f ca="1">IFERROR(__xludf.DUMMYFUNCTION("ROUND(GOOGLEFINANCE(""Currency:EURKZT"")*N218)"),238785)</f>
        <v>238785</v>
      </c>
      <c r="R218" s="26">
        <f t="shared" ca="1" si="4"/>
        <v>784953</v>
      </c>
      <c r="S218" s="26">
        <f t="shared" ca="1" si="5"/>
        <v>7803794</v>
      </c>
      <c r="T218" s="26">
        <f ca="1">IFERROR(__xludf.DUMMYFUNCTION("ROUND(GOOGLEFINANCE(""Currency:EURKZT"")*L218+S218)"),9046635)</f>
        <v>9046635</v>
      </c>
      <c r="U218" s="26">
        <f ca="1">IFERROR(__xludf.DUMMYFUNCTION("D218*GOOGLEFINANCE(""RUBKZT"")*1000/F218"),11890002.6679716)</f>
        <v>11890002.6679716</v>
      </c>
      <c r="V218" s="27">
        <f t="shared" ca="1" si="6"/>
        <v>0.31430113716001584</v>
      </c>
    </row>
    <row r="219" spans="1:22" ht="12.75" customHeight="1" x14ac:dyDescent="0.2">
      <c r="A219" s="6" t="s">
        <v>325</v>
      </c>
      <c r="B219" s="6" t="s">
        <v>15</v>
      </c>
      <c r="C219" s="7">
        <v>189490</v>
      </c>
      <c r="D219" s="8">
        <v>104635.2</v>
      </c>
      <c r="E219" s="9" t="s">
        <v>16</v>
      </c>
      <c r="F219" s="36">
        <v>208</v>
      </c>
      <c r="G219" s="25"/>
      <c r="H219" s="14">
        <f t="shared" si="0"/>
        <v>0.55000000000000004</v>
      </c>
      <c r="I219" s="25">
        <f ca="1">IFERROR(__xludf.DUMMYFUNCTION("ROUND(D219*GOOGLEFINANCE(""RUBKZT"")*H219)"),449088)</f>
        <v>449088</v>
      </c>
      <c r="J219" s="26">
        <f ca="1">IFERROR(__xludf.DUMMYFUNCTION("ROUND(I219*GOOGLEFINANCE(""KZTEUR""))"),941)</f>
        <v>941</v>
      </c>
      <c r="K219" s="26">
        <f t="shared" ca="1" si="1"/>
        <v>4524</v>
      </c>
      <c r="L219" s="26">
        <f t="shared" ca="1" si="2"/>
        <v>859.56000000000006</v>
      </c>
      <c r="M219" s="26">
        <f t="shared" ref="M219:N219" si="220">M$3</f>
        <v>500</v>
      </c>
      <c r="N219" s="26">
        <f t="shared" si="220"/>
        <v>500</v>
      </c>
      <c r="O219" s="26">
        <f ca="1">IFERROR(__xludf.DUMMYFUNCTION("ROUND(GOOGLEFINANCE(""Currency:EURKZT"")*K219)"),2160525)</f>
        <v>2160525</v>
      </c>
      <c r="P219" s="26">
        <f ca="1">IFERROR(__xludf.DUMMYFUNCTION("ROUND(GOOGLEFINANCE(""Currency:EURKZT"")*M219)"),238785)</f>
        <v>238785</v>
      </c>
      <c r="Q219" s="26">
        <f ca="1">IFERROR(__xludf.DUMMYFUNCTION("ROUND(GOOGLEFINANCE(""Currency:EURKZT"")*N219)"),238785)</f>
        <v>238785</v>
      </c>
      <c r="R219" s="26">
        <f t="shared" ca="1" si="4"/>
        <v>259263</v>
      </c>
      <c r="S219" s="26">
        <f t="shared" ca="1" si="5"/>
        <v>2897358</v>
      </c>
      <c r="T219" s="26">
        <f ca="1">IFERROR(__xludf.DUMMYFUNCTION("ROUND(GOOGLEFINANCE(""Currency:EURKZT"")*L219+S219)"),3307858)</f>
        <v>3307858</v>
      </c>
      <c r="U219" s="26">
        <f ca="1">IFERROR(__xludf.DUMMYFUNCTION("D219*GOOGLEFINANCE(""RUBKZT"")*1000/F219"),3925592.18424803)</f>
        <v>3925592.1842480302</v>
      </c>
      <c r="V219" s="27">
        <f t="shared" ca="1" si="6"/>
        <v>0.18674749165412488</v>
      </c>
    </row>
    <row r="220" spans="1:22" ht="12.75" customHeight="1" x14ac:dyDescent="0.2">
      <c r="A220" s="6" t="s">
        <v>326</v>
      </c>
      <c r="B220" s="6" t="s">
        <v>15</v>
      </c>
      <c r="C220" s="7">
        <v>189707</v>
      </c>
      <c r="D220" s="8">
        <v>93052.800000000003</v>
      </c>
      <c r="E220" s="9" t="s">
        <v>16</v>
      </c>
      <c r="F220" s="36">
        <v>208</v>
      </c>
      <c r="G220" s="25"/>
      <c r="H220" s="14">
        <f t="shared" si="0"/>
        <v>0.55000000000000004</v>
      </c>
      <c r="I220" s="25">
        <f ca="1">IFERROR(__xludf.DUMMYFUNCTION("ROUND(D220*GOOGLEFINANCE(""RUBKZT"")*H220)"),399377)</f>
        <v>399377</v>
      </c>
      <c r="J220" s="26">
        <f ca="1">IFERROR(__xludf.DUMMYFUNCTION("ROUND(I220*GOOGLEFINANCE(""KZTEUR""))"),836)</f>
        <v>836</v>
      </c>
      <c r="K220" s="26">
        <f t="shared" ca="1" si="1"/>
        <v>4019</v>
      </c>
      <c r="L220" s="26">
        <f t="shared" ca="1" si="2"/>
        <v>763.61</v>
      </c>
      <c r="M220" s="26">
        <f t="shared" ref="M220:N220" si="221">M$3</f>
        <v>500</v>
      </c>
      <c r="N220" s="26">
        <f t="shared" si="221"/>
        <v>500</v>
      </c>
      <c r="O220" s="26">
        <f ca="1">IFERROR(__xludf.DUMMYFUNCTION("ROUND(GOOGLEFINANCE(""Currency:EURKZT"")*K220)"),1919352)</f>
        <v>1919352</v>
      </c>
      <c r="P220" s="26">
        <f ca="1">IFERROR(__xludf.DUMMYFUNCTION("ROUND(GOOGLEFINANCE(""Currency:EURKZT"")*M220)"),238785)</f>
        <v>238785</v>
      </c>
      <c r="Q220" s="26">
        <f ca="1">IFERROR(__xludf.DUMMYFUNCTION("ROUND(GOOGLEFINANCE(""Currency:EURKZT"")*N220)"),238785)</f>
        <v>238785</v>
      </c>
      <c r="R220" s="26">
        <f t="shared" ca="1" si="4"/>
        <v>230322</v>
      </c>
      <c r="S220" s="26">
        <f t="shared" ca="1" si="5"/>
        <v>2627244</v>
      </c>
      <c r="T220" s="26">
        <f ca="1">IFERROR(__xludf.DUMMYFUNCTION("ROUND(GOOGLEFINANCE(""Currency:EURKZT"")*L220+S220)"),2991921)</f>
        <v>2991921</v>
      </c>
      <c r="U220" s="26">
        <f ca="1">IFERROR(__xludf.DUMMYFUNCTION("D220*GOOGLEFINANCE(""RUBKZT"")*1000/F220"),3491056.01558935)</f>
        <v>3491056.0155893499</v>
      </c>
      <c r="V220" s="27">
        <f t="shared" ca="1" si="6"/>
        <v>0.1668276052707775</v>
      </c>
    </row>
    <row r="221" spans="1:22" ht="12.75" customHeight="1" x14ac:dyDescent="0.2">
      <c r="A221" s="6" t="s">
        <v>327</v>
      </c>
      <c r="B221" s="6" t="s">
        <v>15</v>
      </c>
      <c r="C221" s="7">
        <v>190484</v>
      </c>
      <c r="D221" s="8">
        <v>198295.19999999998</v>
      </c>
      <c r="E221" s="9" t="s">
        <v>16</v>
      </c>
      <c r="F221" s="36">
        <v>208</v>
      </c>
      <c r="G221" s="25"/>
      <c r="H221" s="14">
        <f t="shared" si="0"/>
        <v>0.55000000000000004</v>
      </c>
      <c r="I221" s="25">
        <f ca="1">IFERROR(__xludf.DUMMYFUNCTION("ROUND(D221*GOOGLEFINANCE(""RUBKZT"")*H221)"),851071)</f>
        <v>851071</v>
      </c>
      <c r="J221" s="26">
        <f ca="1">IFERROR(__xludf.DUMMYFUNCTION("ROUND(I221*GOOGLEFINANCE(""KZTEUR""))"),1782)</f>
        <v>1782</v>
      </c>
      <c r="K221" s="26">
        <f t="shared" ca="1" si="1"/>
        <v>8567</v>
      </c>
      <c r="L221" s="26">
        <f t="shared" ca="1" si="2"/>
        <v>1627.73</v>
      </c>
      <c r="M221" s="26">
        <f t="shared" ref="M221:N221" si="222">M$3</f>
        <v>500</v>
      </c>
      <c r="N221" s="26">
        <f t="shared" si="222"/>
        <v>500</v>
      </c>
      <c r="O221" s="26">
        <f ca="1">IFERROR(__xludf.DUMMYFUNCTION("ROUND(GOOGLEFINANCE(""Currency:EURKZT"")*K221)"),4091339)</f>
        <v>4091339</v>
      </c>
      <c r="P221" s="26">
        <f ca="1">IFERROR(__xludf.DUMMYFUNCTION("ROUND(GOOGLEFINANCE(""Currency:EURKZT"")*M221)"),238785)</f>
        <v>238785</v>
      </c>
      <c r="Q221" s="26">
        <f ca="1">IFERROR(__xludf.DUMMYFUNCTION("ROUND(GOOGLEFINANCE(""Currency:EURKZT"")*N221)"),238785)</f>
        <v>238785</v>
      </c>
      <c r="R221" s="26">
        <f t="shared" ca="1" si="4"/>
        <v>490961</v>
      </c>
      <c r="S221" s="26">
        <f t="shared" ca="1" si="5"/>
        <v>5059870</v>
      </c>
      <c r="T221" s="26">
        <f ca="1">IFERROR(__xludf.DUMMYFUNCTION("ROUND(GOOGLEFINANCE(""Currency:EURKZT"")*L221+S221)"),5837224)</f>
        <v>5837224</v>
      </c>
      <c r="U221" s="26">
        <f ca="1">IFERROR(__xludf.DUMMYFUNCTION("D221*GOOGLEFINANCE(""RUBKZT"")*1000/F221"),7439428.48385533)</f>
        <v>7439428.4838553304</v>
      </c>
      <c r="V221" s="27">
        <f t="shared" ca="1" si="6"/>
        <v>0.27448055511581027</v>
      </c>
    </row>
    <row r="222" spans="1:22" ht="12.75" customHeight="1" x14ac:dyDescent="0.2">
      <c r="A222" s="6" t="s">
        <v>328</v>
      </c>
      <c r="B222" s="6" t="s">
        <v>15</v>
      </c>
      <c r="C222" s="7">
        <v>190487</v>
      </c>
      <c r="D222" s="8">
        <v>222411.6</v>
      </c>
      <c r="E222" s="9" t="s">
        <v>16</v>
      </c>
      <c r="F222" s="36">
        <v>208</v>
      </c>
      <c r="G222" s="25"/>
      <c r="H222" s="14">
        <f t="shared" si="0"/>
        <v>0.55000000000000004</v>
      </c>
      <c r="I222" s="25">
        <f ca="1">IFERROR(__xludf.DUMMYFUNCTION("ROUND(D222*GOOGLEFINANCE(""RUBKZT"")*H222)"),954577)</f>
        <v>954577</v>
      </c>
      <c r="J222" s="26">
        <f ca="1">IFERROR(__xludf.DUMMYFUNCTION("ROUND(I222*GOOGLEFINANCE(""KZTEUR""))"),1999)</f>
        <v>1999</v>
      </c>
      <c r="K222" s="26">
        <f t="shared" ca="1" si="1"/>
        <v>9611</v>
      </c>
      <c r="L222" s="26">
        <f t="shared" ca="1" si="2"/>
        <v>1826.09</v>
      </c>
      <c r="M222" s="26">
        <f t="shared" ref="M222:N222" si="223">M$3</f>
        <v>500</v>
      </c>
      <c r="N222" s="26">
        <f t="shared" si="223"/>
        <v>500</v>
      </c>
      <c r="O222" s="26">
        <f ca="1">IFERROR(__xludf.DUMMYFUNCTION("ROUND(GOOGLEFINANCE(""Currency:EURKZT"")*K222)"),4589922)</f>
        <v>4589922</v>
      </c>
      <c r="P222" s="26">
        <f ca="1">IFERROR(__xludf.DUMMYFUNCTION("ROUND(GOOGLEFINANCE(""Currency:EURKZT"")*M222)"),238785)</f>
        <v>238785</v>
      </c>
      <c r="Q222" s="26">
        <f ca="1">IFERROR(__xludf.DUMMYFUNCTION("ROUND(GOOGLEFINANCE(""Currency:EURKZT"")*N222)"),238785)</f>
        <v>238785</v>
      </c>
      <c r="R222" s="26">
        <f t="shared" ca="1" si="4"/>
        <v>550791</v>
      </c>
      <c r="S222" s="26">
        <f t="shared" ca="1" si="5"/>
        <v>5618283</v>
      </c>
      <c r="T222" s="26">
        <f ca="1">IFERROR(__xludf.DUMMYFUNCTION("ROUND(GOOGLEFINANCE(""Currency:EURKZT"")*L222+S222)"),6490368)</f>
        <v>6490368</v>
      </c>
      <c r="U222" s="26">
        <f ca="1">IFERROR(__xludf.DUMMYFUNCTION("D222*GOOGLEFINANCE(""RUBKZT"")*1000/F222"),8344201.93822059)</f>
        <v>8344201.9382205904</v>
      </c>
      <c r="V222" s="27">
        <f t="shared" ca="1" si="6"/>
        <v>0.28562847872733726</v>
      </c>
    </row>
    <row r="223" spans="1:22" ht="12.75" customHeight="1" x14ac:dyDescent="0.2">
      <c r="A223" s="6" t="s">
        <v>331</v>
      </c>
      <c r="B223" s="6" t="s">
        <v>15</v>
      </c>
      <c r="C223" s="7">
        <v>190504</v>
      </c>
      <c r="D223" s="8">
        <v>128354.4</v>
      </c>
      <c r="E223" s="9" t="s">
        <v>16</v>
      </c>
      <c r="F223" s="36">
        <v>208</v>
      </c>
      <c r="G223" s="25"/>
      <c r="H223" s="14">
        <f t="shared" si="0"/>
        <v>0.55000000000000004</v>
      </c>
      <c r="I223" s="25">
        <f ca="1">IFERROR(__xludf.DUMMYFUNCTION("ROUND(D223*GOOGLEFINANCE(""RUBKZT"")*H223)"),550889)</f>
        <v>550889</v>
      </c>
      <c r="J223" s="26">
        <f ca="1">IFERROR(__xludf.DUMMYFUNCTION("ROUND(I223*GOOGLEFINANCE(""KZTEUR""))"),1154)</f>
        <v>1154</v>
      </c>
      <c r="K223" s="26">
        <f t="shared" ca="1" si="1"/>
        <v>5548</v>
      </c>
      <c r="L223" s="26">
        <f t="shared" ca="1" si="2"/>
        <v>1054.1200000000001</v>
      </c>
      <c r="M223" s="26">
        <f t="shared" ref="M223:N223" si="224">M$3</f>
        <v>500</v>
      </c>
      <c r="N223" s="26">
        <f t="shared" si="224"/>
        <v>500</v>
      </c>
      <c r="O223" s="26">
        <f ca="1">IFERROR(__xludf.DUMMYFUNCTION("ROUND(GOOGLEFINANCE(""Currency:EURKZT"")*K223)"),2649556)</f>
        <v>2649556</v>
      </c>
      <c r="P223" s="26">
        <f ca="1">IFERROR(__xludf.DUMMYFUNCTION("ROUND(GOOGLEFINANCE(""Currency:EURKZT"")*M223)"),238785)</f>
        <v>238785</v>
      </c>
      <c r="Q223" s="26">
        <f ca="1">IFERROR(__xludf.DUMMYFUNCTION("ROUND(GOOGLEFINANCE(""Currency:EURKZT"")*N223)"),238785)</f>
        <v>238785</v>
      </c>
      <c r="R223" s="26">
        <f t="shared" ca="1" si="4"/>
        <v>317947</v>
      </c>
      <c r="S223" s="26">
        <f t="shared" ca="1" si="5"/>
        <v>3445073</v>
      </c>
      <c r="T223" s="26">
        <f ca="1">IFERROR(__xludf.DUMMYFUNCTION("ROUND(GOOGLEFINANCE(""Currency:EURKZT"")*L223+S223)"),3948489)</f>
        <v>3948489</v>
      </c>
      <c r="U223" s="26">
        <f ca="1">IFERROR(__xludf.DUMMYFUNCTION("D223*GOOGLEFINANCE(""RUBKZT"")*1000/F223"),4815463.9113209)</f>
        <v>4815463.9113208996</v>
      </c>
      <c r="V223" s="27">
        <f t="shared" ca="1" si="6"/>
        <v>0.21957131229715965</v>
      </c>
    </row>
    <row r="224" spans="1:22" ht="12.75" customHeight="1" x14ac:dyDescent="0.2">
      <c r="A224" s="6" t="s">
        <v>332</v>
      </c>
      <c r="B224" s="6" t="s">
        <v>15</v>
      </c>
      <c r="C224" s="7">
        <v>190508</v>
      </c>
      <c r="D224" s="8">
        <v>122589.59999999999</v>
      </c>
      <c r="E224" s="9" t="s">
        <v>16</v>
      </c>
      <c r="F224" s="36">
        <v>208</v>
      </c>
      <c r="G224" s="25"/>
      <c r="H224" s="14">
        <f t="shared" si="0"/>
        <v>0.55000000000000004</v>
      </c>
      <c r="I224" s="25">
        <f ca="1">IFERROR(__xludf.DUMMYFUNCTION("ROUND(D224*GOOGLEFINANCE(""RUBKZT"")*H224)"),526147)</f>
        <v>526147</v>
      </c>
      <c r="J224" s="26">
        <f ca="1">IFERROR(__xludf.DUMMYFUNCTION("ROUND(I224*GOOGLEFINANCE(""KZTEUR""))"),1102)</f>
        <v>1102</v>
      </c>
      <c r="K224" s="26">
        <f t="shared" ca="1" si="1"/>
        <v>5298</v>
      </c>
      <c r="L224" s="26">
        <f t="shared" ca="1" si="2"/>
        <v>1006.62</v>
      </c>
      <c r="M224" s="26">
        <f t="shared" ref="M224:N224" si="225">M$3</f>
        <v>500</v>
      </c>
      <c r="N224" s="26">
        <f t="shared" si="225"/>
        <v>500</v>
      </c>
      <c r="O224" s="26">
        <f ca="1">IFERROR(__xludf.DUMMYFUNCTION("ROUND(GOOGLEFINANCE(""Currency:EURKZT"")*K224)"),2530164)</f>
        <v>2530164</v>
      </c>
      <c r="P224" s="26">
        <f ca="1">IFERROR(__xludf.DUMMYFUNCTION("ROUND(GOOGLEFINANCE(""Currency:EURKZT"")*M224)"),238785)</f>
        <v>238785</v>
      </c>
      <c r="Q224" s="26">
        <f ca="1">IFERROR(__xludf.DUMMYFUNCTION("ROUND(GOOGLEFINANCE(""Currency:EURKZT"")*N224)"),238785)</f>
        <v>238785</v>
      </c>
      <c r="R224" s="26">
        <f t="shared" ca="1" si="4"/>
        <v>303620</v>
      </c>
      <c r="S224" s="26">
        <f t="shared" ca="1" si="5"/>
        <v>3311354</v>
      </c>
      <c r="T224" s="26">
        <f ca="1">IFERROR(__xludf.DUMMYFUNCTION("ROUND(GOOGLEFINANCE(""Currency:EURKZT"")*L224+S224)"),3792085)</f>
        <v>3792085</v>
      </c>
      <c r="U224" s="26">
        <f ca="1">IFERROR(__xludf.DUMMYFUNCTION("D224*GOOGLEFINANCE(""RUBKZT"")*1000/F224"),4599186.27412278)</f>
        <v>4599186.2741227802</v>
      </c>
      <c r="V224" s="27">
        <f t="shared" ca="1" si="6"/>
        <v>0.21283839210428568</v>
      </c>
    </row>
    <row r="225" spans="1:22" ht="12.75" customHeight="1" x14ac:dyDescent="0.2">
      <c r="A225" s="6" t="s">
        <v>333</v>
      </c>
      <c r="B225" s="6" t="s">
        <v>15</v>
      </c>
      <c r="C225" s="7">
        <v>190541</v>
      </c>
      <c r="D225" s="8">
        <v>232528.8</v>
      </c>
      <c r="E225" s="9" t="s">
        <v>16</v>
      </c>
      <c r="F225" s="36">
        <v>208</v>
      </c>
      <c r="G225" s="25"/>
      <c r="H225" s="14">
        <f t="shared" si="0"/>
        <v>0.55000000000000004</v>
      </c>
      <c r="I225" s="25">
        <f ca="1">IFERROR(__xludf.DUMMYFUNCTION("ROUND(D225*GOOGLEFINANCE(""RUBKZT"")*H225)"),997999)</f>
        <v>997999</v>
      </c>
      <c r="J225" s="26">
        <f ca="1">IFERROR(__xludf.DUMMYFUNCTION("ROUND(I225*GOOGLEFINANCE(""KZTEUR""))"),2090)</f>
        <v>2090</v>
      </c>
      <c r="K225" s="26">
        <f t="shared" ca="1" si="1"/>
        <v>10048</v>
      </c>
      <c r="L225" s="26">
        <f t="shared" ca="1" si="2"/>
        <v>1909.1200000000001</v>
      </c>
      <c r="M225" s="26">
        <f t="shared" ref="M225:N225" si="226">M$3</f>
        <v>500</v>
      </c>
      <c r="N225" s="26">
        <f t="shared" si="226"/>
        <v>500</v>
      </c>
      <c r="O225" s="26">
        <f ca="1">IFERROR(__xludf.DUMMYFUNCTION("ROUND(GOOGLEFINANCE(""Currency:EURKZT"")*K225)"),4798619)</f>
        <v>4798619</v>
      </c>
      <c r="P225" s="26">
        <f ca="1">IFERROR(__xludf.DUMMYFUNCTION("ROUND(GOOGLEFINANCE(""Currency:EURKZT"")*M225)"),238785)</f>
        <v>238785</v>
      </c>
      <c r="Q225" s="26">
        <f ca="1">IFERROR(__xludf.DUMMYFUNCTION("ROUND(GOOGLEFINANCE(""Currency:EURKZT"")*N225)"),238785)</f>
        <v>238785</v>
      </c>
      <c r="R225" s="26">
        <f t="shared" ca="1" si="4"/>
        <v>575834</v>
      </c>
      <c r="S225" s="26">
        <f t="shared" ca="1" si="5"/>
        <v>5852023</v>
      </c>
      <c r="T225" s="26">
        <f ca="1">IFERROR(__xludf.DUMMYFUNCTION("ROUND(GOOGLEFINANCE(""Currency:EURKZT"")*L225+S225)"),6763761)</f>
        <v>6763761</v>
      </c>
      <c r="U225" s="26">
        <f ca="1">IFERROR(__xludf.DUMMYFUNCTION("D225*GOOGLEFINANCE(""RUBKZT"")*1000/F225"),8723768.29109681)</f>
        <v>8723768.2910968103</v>
      </c>
      <c r="V225" s="27">
        <f t="shared" ca="1" si="6"/>
        <v>0.28978068431111187</v>
      </c>
    </row>
    <row r="226" spans="1:22" ht="12.75" customHeight="1" x14ac:dyDescent="0.2">
      <c r="A226" s="6" t="s">
        <v>334</v>
      </c>
      <c r="B226" s="6" t="s">
        <v>15</v>
      </c>
      <c r="C226" s="7">
        <v>190544</v>
      </c>
      <c r="D226" s="8">
        <v>254570.4</v>
      </c>
      <c r="E226" s="9" t="s">
        <v>16</v>
      </c>
      <c r="F226" s="36">
        <v>208</v>
      </c>
      <c r="G226" s="25"/>
      <c r="H226" s="14">
        <f t="shared" si="0"/>
        <v>0.55000000000000004</v>
      </c>
      <c r="I226" s="25">
        <f ca="1">IFERROR(__xludf.DUMMYFUNCTION("ROUND(D226*GOOGLEFINANCE(""RUBKZT"")*H226)"),1092600)</f>
        <v>1092600</v>
      </c>
      <c r="J226" s="26">
        <f ca="1">IFERROR(__xludf.DUMMYFUNCTION("ROUND(I226*GOOGLEFINANCE(""KZTEUR""))"),2288)</f>
        <v>2288</v>
      </c>
      <c r="K226" s="26">
        <f t="shared" ca="1" si="1"/>
        <v>11000</v>
      </c>
      <c r="L226" s="26">
        <f t="shared" ca="1" si="2"/>
        <v>2090</v>
      </c>
      <c r="M226" s="26">
        <f t="shared" ref="M226:N226" si="227">M$3</f>
        <v>500</v>
      </c>
      <c r="N226" s="26">
        <f t="shared" si="227"/>
        <v>500</v>
      </c>
      <c r="O226" s="26">
        <f ca="1">IFERROR(__xludf.DUMMYFUNCTION("ROUND(GOOGLEFINANCE(""Currency:EURKZT"")*K226)"),5253266)</f>
        <v>5253266</v>
      </c>
      <c r="P226" s="26">
        <f ca="1">IFERROR(__xludf.DUMMYFUNCTION("ROUND(GOOGLEFINANCE(""Currency:EURKZT"")*M226)"),238785)</f>
        <v>238785</v>
      </c>
      <c r="Q226" s="26">
        <f ca="1">IFERROR(__xludf.DUMMYFUNCTION("ROUND(GOOGLEFINANCE(""Currency:EURKZT"")*N226)"),238785)</f>
        <v>238785</v>
      </c>
      <c r="R226" s="26">
        <f t="shared" ca="1" si="4"/>
        <v>630392</v>
      </c>
      <c r="S226" s="26">
        <f t="shared" ca="1" si="5"/>
        <v>6361228</v>
      </c>
      <c r="T226" s="26">
        <f ca="1">IFERROR(__xludf.DUMMYFUNCTION("ROUND(GOOGLEFINANCE(""Currency:EURKZT"")*L226+S226)"),7359348)</f>
        <v>7359348</v>
      </c>
      <c r="U226" s="26">
        <f ca="1">IFERROR(__xludf.DUMMYFUNCTION("D226*GOOGLEFINANCE(""RUBKZT"")*1000/F226"),9550701.60501336)</f>
        <v>9550701.6050133593</v>
      </c>
      <c r="V226" s="27">
        <f t="shared" ca="1" si="6"/>
        <v>0.29776463961391136</v>
      </c>
    </row>
    <row r="227" spans="1:22" ht="12.75" customHeight="1" x14ac:dyDescent="0.2">
      <c r="A227" s="6" t="s">
        <v>335</v>
      </c>
      <c r="B227" s="6" t="s">
        <v>15</v>
      </c>
      <c r="C227" s="7">
        <v>190547</v>
      </c>
      <c r="D227" s="8">
        <v>122752.79999999999</v>
      </c>
      <c r="E227" s="9" t="s">
        <v>16</v>
      </c>
      <c r="F227" s="36">
        <v>208</v>
      </c>
      <c r="G227" s="25"/>
      <c r="H227" s="14">
        <f t="shared" si="0"/>
        <v>0.55000000000000004</v>
      </c>
      <c r="I227" s="25">
        <f ca="1">IFERROR(__xludf.DUMMYFUNCTION("ROUND(D227*GOOGLEFINANCE(""RUBKZT"")*H227)"),526847)</f>
        <v>526847</v>
      </c>
      <c r="J227" s="26">
        <f ca="1">IFERROR(__xludf.DUMMYFUNCTION("ROUND(I227*GOOGLEFINANCE(""KZTEUR""))"),1103)</f>
        <v>1103</v>
      </c>
      <c r="K227" s="26">
        <f t="shared" ca="1" si="1"/>
        <v>5303</v>
      </c>
      <c r="L227" s="26">
        <f t="shared" ca="1" si="2"/>
        <v>1007.57</v>
      </c>
      <c r="M227" s="26">
        <f t="shared" ref="M227:N227" si="228">M$3</f>
        <v>500</v>
      </c>
      <c r="N227" s="26">
        <f t="shared" si="228"/>
        <v>500</v>
      </c>
      <c r="O227" s="26">
        <f ca="1">IFERROR(__xludf.DUMMYFUNCTION("ROUND(GOOGLEFINANCE(""Currency:EURKZT"")*K227)"),2532552)</f>
        <v>2532552</v>
      </c>
      <c r="P227" s="26">
        <f ca="1">IFERROR(__xludf.DUMMYFUNCTION("ROUND(GOOGLEFINANCE(""Currency:EURKZT"")*M227)"),238785)</f>
        <v>238785</v>
      </c>
      <c r="Q227" s="26">
        <f ca="1">IFERROR(__xludf.DUMMYFUNCTION("ROUND(GOOGLEFINANCE(""Currency:EURKZT"")*N227)"),238785)</f>
        <v>238785</v>
      </c>
      <c r="R227" s="26">
        <f t="shared" ca="1" si="4"/>
        <v>303906</v>
      </c>
      <c r="S227" s="26">
        <f t="shared" ca="1" si="5"/>
        <v>3314028</v>
      </c>
      <c r="T227" s="26">
        <f ca="1">IFERROR(__xludf.DUMMYFUNCTION("ROUND(GOOGLEFINANCE(""Currency:EURKZT"")*L227+S227)"),3795213)</f>
        <v>3795213</v>
      </c>
      <c r="U227" s="26">
        <f ca="1">IFERROR(__xludf.DUMMYFUNCTION("D227*GOOGLEFINANCE(""RUBKZT"")*1000/F227"),4605309.03820666)</f>
        <v>4605309.0382066602</v>
      </c>
      <c r="V227" s="27">
        <f t="shared" ca="1" si="6"/>
        <v>0.21345206137485834</v>
      </c>
    </row>
    <row r="228" spans="1:22" ht="12.75" customHeight="1" x14ac:dyDescent="0.2">
      <c r="A228" s="6" t="s">
        <v>336</v>
      </c>
      <c r="B228" s="6" t="s">
        <v>15</v>
      </c>
      <c r="C228" s="7">
        <v>190551</v>
      </c>
      <c r="D228" s="8">
        <v>123138</v>
      </c>
      <c r="E228" s="9" t="s">
        <v>16</v>
      </c>
      <c r="F228" s="36">
        <v>208</v>
      </c>
      <c r="G228" s="25"/>
      <c r="H228" s="14">
        <f t="shared" si="0"/>
        <v>0.55000000000000004</v>
      </c>
      <c r="I228" s="25">
        <f ca="1">IFERROR(__xludf.DUMMYFUNCTION("ROUND(D228*GOOGLEFINANCE(""RUBKZT"")*H228)"),528501)</f>
        <v>528501</v>
      </c>
      <c r="J228" s="26">
        <f ca="1">IFERROR(__xludf.DUMMYFUNCTION("ROUND(I228*GOOGLEFINANCE(""KZTEUR""))"),1107)</f>
        <v>1107</v>
      </c>
      <c r="K228" s="26">
        <f t="shared" ca="1" si="1"/>
        <v>5322</v>
      </c>
      <c r="L228" s="26">
        <f t="shared" ca="1" si="2"/>
        <v>1011.1800000000001</v>
      </c>
      <c r="M228" s="26">
        <f t="shared" ref="M228:N228" si="229">M$3</f>
        <v>500</v>
      </c>
      <c r="N228" s="26">
        <f t="shared" si="229"/>
        <v>500</v>
      </c>
      <c r="O228" s="26">
        <f ca="1">IFERROR(__xludf.DUMMYFUNCTION("ROUND(GOOGLEFINANCE(""Currency:EURKZT"")*K228)"),2541625)</f>
        <v>2541625</v>
      </c>
      <c r="P228" s="26">
        <f ca="1">IFERROR(__xludf.DUMMYFUNCTION("ROUND(GOOGLEFINANCE(""Currency:EURKZT"")*M228)"),238785)</f>
        <v>238785</v>
      </c>
      <c r="Q228" s="26">
        <f ca="1">IFERROR(__xludf.DUMMYFUNCTION("ROUND(GOOGLEFINANCE(""Currency:EURKZT"")*N228)"),238785)</f>
        <v>238785</v>
      </c>
      <c r="R228" s="26">
        <f t="shared" ca="1" si="4"/>
        <v>304995</v>
      </c>
      <c r="S228" s="26">
        <f t="shared" ca="1" si="5"/>
        <v>3324190</v>
      </c>
      <c r="T228" s="26">
        <f ca="1">IFERROR(__xludf.DUMMYFUNCTION("ROUND(GOOGLEFINANCE(""Currency:EURKZT"")*L228+S228)"),3807099)</f>
        <v>3807099</v>
      </c>
      <c r="U228" s="26">
        <f ca="1">IFERROR(__xludf.DUMMYFUNCTION("D228*GOOGLEFINANCE(""RUBKZT"")*1000/F228"),4619760.56225757)</f>
        <v>4619760.5622575702</v>
      </c>
      <c r="V228" s="27">
        <f t="shared" ca="1" si="6"/>
        <v>0.21345952975154317</v>
      </c>
    </row>
    <row r="229" spans="1:22" ht="12.75" customHeight="1" x14ac:dyDescent="0.2">
      <c r="A229" s="6" t="s">
        <v>337</v>
      </c>
      <c r="B229" s="6" t="s">
        <v>15</v>
      </c>
      <c r="C229" s="7">
        <v>190573</v>
      </c>
      <c r="D229" s="8">
        <v>97706.4</v>
      </c>
      <c r="E229" s="9" t="s">
        <v>16</v>
      </c>
      <c r="F229" s="36">
        <v>208</v>
      </c>
      <c r="G229" s="25"/>
      <c r="H229" s="14">
        <f t="shared" si="0"/>
        <v>0.55000000000000004</v>
      </c>
      <c r="I229" s="25">
        <f ca="1">IFERROR(__xludf.DUMMYFUNCTION("ROUND(D229*GOOGLEFINANCE(""RUBKZT"")*H229)"),419350)</f>
        <v>419350</v>
      </c>
      <c r="J229" s="26">
        <f ca="1">IFERROR(__xludf.DUMMYFUNCTION("ROUND(I229*GOOGLEFINANCE(""KZTEUR""))"),878)</f>
        <v>878</v>
      </c>
      <c r="K229" s="26">
        <f t="shared" ca="1" si="1"/>
        <v>4221</v>
      </c>
      <c r="L229" s="26">
        <f t="shared" ca="1" si="2"/>
        <v>801.99</v>
      </c>
      <c r="M229" s="26">
        <f t="shared" ref="M229:N229" si="230">M$3</f>
        <v>500</v>
      </c>
      <c r="N229" s="26">
        <f t="shared" si="230"/>
        <v>500</v>
      </c>
      <c r="O229" s="26">
        <f ca="1">IFERROR(__xludf.DUMMYFUNCTION("ROUND(GOOGLEFINANCE(""Currency:EURKZT"")*K229)"),2015821)</f>
        <v>2015821</v>
      </c>
      <c r="P229" s="26">
        <f ca="1">IFERROR(__xludf.DUMMYFUNCTION("ROUND(GOOGLEFINANCE(""Currency:EURKZT"")*M229)"),238785)</f>
        <v>238785</v>
      </c>
      <c r="Q229" s="26">
        <f ca="1">IFERROR(__xludf.DUMMYFUNCTION("ROUND(GOOGLEFINANCE(""Currency:EURKZT"")*N229)"),238785)</f>
        <v>238785</v>
      </c>
      <c r="R229" s="26">
        <f t="shared" ca="1" si="4"/>
        <v>241899</v>
      </c>
      <c r="S229" s="26">
        <f t="shared" ca="1" si="5"/>
        <v>2735290</v>
      </c>
      <c r="T229" s="26">
        <f ca="1">IFERROR(__xludf.DUMMYFUNCTION("ROUND(GOOGLEFINANCE(""Currency:EURKZT"")*L229+S229)"),3118296)</f>
        <v>3118296</v>
      </c>
      <c r="U229" s="26">
        <f ca="1">IFERROR(__xludf.DUMMYFUNCTION("D229*GOOGLEFINANCE(""RUBKZT"")*1000/F229"),3665644.83262813)</f>
        <v>3665644.83262813</v>
      </c>
      <c r="V229" s="27">
        <f t="shared" ca="1" si="6"/>
        <v>0.17552818354259184</v>
      </c>
    </row>
    <row r="230" spans="1:22" ht="12.75" customHeight="1" x14ac:dyDescent="0.2">
      <c r="A230" s="6" t="s">
        <v>338</v>
      </c>
      <c r="B230" s="6" t="s">
        <v>15</v>
      </c>
      <c r="C230" s="7">
        <v>190575</v>
      </c>
      <c r="D230" s="8">
        <v>155341.19999999998</v>
      </c>
      <c r="E230" s="9" t="s">
        <v>16</v>
      </c>
      <c r="F230" s="36">
        <v>208</v>
      </c>
      <c r="G230" s="25"/>
      <c r="H230" s="14">
        <f t="shared" si="0"/>
        <v>0.55000000000000004</v>
      </c>
      <c r="I230" s="25">
        <f ca="1">IFERROR(__xludf.DUMMYFUNCTION("ROUND(D230*GOOGLEFINANCE(""RUBKZT"")*H230)"),666715)</f>
        <v>666715</v>
      </c>
      <c r="J230" s="26">
        <f ca="1">IFERROR(__xludf.DUMMYFUNCTION("ROUND(I230*GOOGLEFINANCE(""KZTEUR""))"),1396)</f>
        <v>1396</v>
      </c>
      <c r="K230" s="26">
        <f t="shared" ca="1" si="1"/>
        <v>6712</v>
      </c>
      <c r="L230" s="26">
        <f t="shared" ca="1" si="2"/>
        <v>1275.28</v>
      </c>
      <c r="M230" s="26">
        <f t="shared" ref="M230:N230" si="231">M$3</f>
        <v>500</v>
      </c>
      <c r="N230" s="26">
        <f t="shared" si="231"/>
        <v>500</v>
      </c>
      <c r="O230" s="26">
        <f ca="1">IFERROR(__xludf.DUMMYFUNCTION("ROUND(GOOGLEFINANCE(""Currency:EURKZT"")*K230)"),3205447)</f>
        <v>3205447</v>
      </c>
      <c r="P230" s="26">
        <f ca="1">IFERROR(__xludf.DUMMYFUNCTION("ROUND(GOOGLEFINANCE(""Currency:EURKZT"")*M230)"),238785)</f>
        <v>238785</v>
      </c>
      <c r="Q230" s="26">
        <f ca="1">IFERROR(__xludf.DUMMYFUNCTION("ROUND(GOOGLEFINANCE(""Currency:EURKZT"")*N230)"),238785)</f>
        <v>238785</v>
      </c>
      <c r="R230" s="26">
        <f t="shared" ca="1" si="4"/>
        <v>384654</v>
      </c>
      <c r="S230" s="26">
        <f t="shared" ca="1" si="5"/>
        <v>4067671</v>
      </c>
      <c r="T230" s="26">
        <f ca="1">IFERROR(__xludf.DUMMYFUNCTION("ROUND(GOOGLEFINANCE(""Currency:EURKZT"")*L230+S230)"),4676706)</f>
        <v>4676706</v>
      </c>
      <c r="U230" s="26">
        <f ca="1">IFERROR(__xludf.DUMMYFUNCTION("D230*GOOGLEFINANCE(""RUBKZT"")*1000/F230"),5827925.98104376)</f>
        <v>5827925.9810437597</v>
      </c>
      <c r="V230" s="27">
        <f t="shared" ca="1" si="6"/>
        <v>0.24616043451176101</v>
      </c>
    </row>
    <row r="231" spans="1:22" ht="12.75" customHeight="1" x14ac:dyDescent="0.2">
      <c r="A231" s="6" t="s">
        <v>339</v>
      </c>
      <c r="B231" s="6" t="s">
        <v>15</v>
      </c>
      <c r="C231" s="7">
        <v>190579</v>
      </c>
      <c r="D231" s="8">
        <v>154732.79999999999</v>
      </c>
      <c r="E231" s="9" t="s">
        <v>16</v>
      </c>
      <c r="F231" s="36">
        <v>208</v>
      </c>
      <c r="G231" s="25"/>
      <c r="H231" s="14">
        <f t="shared" si="0"/>
        <v>0.55000000000000004</v>
      </c>
      <c r="I231" s="25">
        <f ca="1">IFERROR(__xludf.DUMMYFUNCTION("ROUND(D231*GOOGLEFINANCE(""RUBKZT"")*H231)"),664104)</f>
        <v>664104</v>
      </c>
      <c r="J231" s="26">
        <f ca="1">IFERROR(__xludf.DUMMYFUNCTION("ROUND(I231*GOOGLEFINANCE(""KZTEUR""))"),1391)</f>
        <v>1391</v>
      </c>
      <c r="K231" s="26">
        <f t="shared" ca="1" si="1"/>
        <v>6688</v>
      </c>
      <c r="L231" s="26">
        <f t="shared" ca="1" si="2"/>
        <v>1270.72</v>
      </c>
      <c r="M231" s="26">
        <f t="shared" ref="M231:N231" si="232">M$3</f>
        <v>500</v>
      </c>
      <c r="N231" s="26">
        <f t="shared" si="232"/>
        <v>500</v>
      </c>
      <c r="O231" s="26">
        <f ca="1">IFERROR(__xludf.DUMMYFUNCTION("ROUND(GOOGLEFINANCE(""Currency:EURKZT"")*K231)"),3193986)</f>
        <v>3193986</v>
      </c>
      <c r="P231" s="26">
        <f ca="1">IFERROR(__xludf.DUMMYFUNCTION("ROUND(GOOGLEFINANCE(""Currency:EURKZT"")*M231)"),238785)</f>
        <v>238785</v>
      </c>
      <c r="Q231" s="26">
        <f ca="1">IFERROR(__xludf.DUMMYFUNCTION("ROUND(GOOGLEFINANCE(""Currency:EURKZT"")*N231)"),238785)</f>
        <v>238785</v>
      </c>
      <c r="R231" s="26">
        <f t="shared" ca="1" si="4"/>
        <v>383278</v>
      </c>
      <c r="S231" s="26">
        <f t="shared" ca="1" si="5"/>
        <v>4054834</v>
      </c>
      <c r="T231" s="26">
        <f ca="1">IFERROR(__xludf.DUMMYFUNCTION("ROUND(GOOGLEFINANCE(""Currency:EURKZT"")*L231+S231)"),4661691)</f>
        <v>4661691</v>
      </c>
      <c r="U231" s="26">
        <f ca="1">IFERROR(__xludf.DUMMYFUNCTION("D231*GOOGLEFINANCE(""RUBKZT"")*1000/F231"),5805100.67670166)</f>
        <v>5805100.6767016603</v>
      </c>
      <c r="V231" s="27">
        <f t="shared" ca="1" si="6"/>
        <v>0.24527787807078166</v>
      </c>
    </row>
    <row r="232" spans="1:22" ht="12.75" customHeight="1" x14ac:dyDescent="0.2">
      <c r="A232" s="6" t="s">
        <v>340</v>
      </c>
      <c r="B232" s="6" t="s">
        <v>15</v>
      </c>
      <c r="C232" s="7">
        <v>190582</v>
      </c>
      <c r="D232" s="8">
        <v>157200</v>
      </c>
      <c r="E232" s="9" t="s">
        <v>16</v>
      </c>
      <c r="F232" s="36">
        <v>208</v>
      </c>
      <c r="G232" s="25"/>
      <c r="H232" s="14">
        <f t="shared" si="0"/>
        <v>0.55000000000000004</v>
      </c>
      <c r="I232" s="25">
        <f ca="1">IFERROR(__xludf.DUMMYFUNCTION("ROUND(D232*GOOGLEFINANCE(""RUBKZT"")*H232)"),674693)</f>
        <v>674693</v>
      </c>
      <c r="J232" s="26">
        <f ca="1">IFERROR(__xludf.DUMMYFUNCTION("ROUND(I232*GOOGLEFINANCE(""KZTEUR""))"),1413)</f>
        <v>1413</v>
      </c>
      <c r="K232" s="26">
        <f t="shared" ca="1" si="1"/>
        <v>6793</v>
      </c>
      <c r="L232" s="26">
        <f t="shared" ca="1" si="2"/>
        <v>1290.67</v>
      </c>
      <c r="M232" s="26">
        <f t="shared" ref="M232:N232" si="233">M$3</f>
        <v>500</v>
      </c>
      <c r="N232" s="26">
        <f t="shared" si="233"/>
        <v>500</v>
      </c>
      <c r="O232" s="26">
        <f ca="1">IFERROR(__xludf.DUMMYFUNCTION("ROUND(GOOGLEFINANCE(""Currency:EURKZT"")*K232)"),3244130)</f>
        <v>3244130</v>
      </c>
      <c r="P232" s="26">
        <f ca="1">IFERROR(__xludf.DUMMYFUNCTION("ROUND(GOOGLEFINANCE(""Currency:EURKZT"")*M232)"),238785)</f>
        <v>238785</v>
      </c>
      <c r="Q232" s="26">
        <f ca="1">IFERROR(__xludf.DUMMYFUNCTION("ROUND(GOOGLEFINANCE(""Currency:EURKZT"")*N232)"),238785)</f>
        <v>238785</v>
      </c>
      <c r="R232" s="26">
        <f t="shared" ca="1" si="4"/>
        <v>389296</v>
      </c>
      <c r="S232" s="26">
        <f t="shared" ca="1" si="5"/>
        <v>4110996</v>
      </c>
      <c r="T232" s="26">
        <f ca="1">IFERROR(__xludf.DUMMYFUNCTION("ROUND(GOOGLEFINANCE(""Currency:EURKZT"")*L232+S232)"),4727381)</f>
        <v>4727381</v>
      </c>
      <c r="U232" s="26">
        <f ca="1">IFERROR(__xludf.DUMMYFUNCTION("D232*GOOGLEFINANCE(""RUBKZT"")*1000/F232"),5897662.46314615)</f>
        <v>5897662.4631461501</v>
      </c>
      <c r="V232" s="27">
        <f t="shared" ca="1" si="6"/>
        <v>0.24755387034515519</v>
      </c>
    </row>
    <row r="233" spans="1:22" ht="12.75" customHeight="1" x14ac:dyDescent="0.2">
      <c r="A233" s="6" t="s">
        <v>341</v>
      </c>
      <c r="B233" s="6" t="s">
        <v>15</v>
      </c>
      <c r="C233" s="7">
        <v>190585</v>
      </c>
      <c r="D233" s="8">
        <v>159618</v>
      </c>
      <c r="E233" s="9" t="s">
        <v>16</v>
      </c>
      <c r="F233" s="36">
        <v>208</v>
      </c>
      <c r="G233" s="25"/>
      <c r="H233" s="14">
        <f t="shared" si="0"/>
        <v>0.55000000000000004</v>
      </c>
      <c r="I233" s="25">
        <f ca="1">IFERROR(__xludf.DUMMYFUNCTION("ROUND(D233*GOOGLEFINANCE(""RUBKZT"")*H233)"),685070)</f>
        <v>685070</v>
      </c>
      <c r="J233" s="26">
        <f ca="1">IFERROR(__xludf.DUMMYFUNCTION("ROUND(I233*GOOGLEFINANCE(""KZTEUR""))"),1435)</f>
        <v>1435</v>
      </c>
      <c r="K233" s="26">
        <f t="shared" ca="1" si="1"/>
        <v>6899</v>
      </c>
      <c r="L233" s="26">
        <f t="shared" ca="1" si="2"/>
        <v>1310.81</v>
      </c>
      <c r="M233" s="26">
        <f t="shared" ref="M233:N233" si="234">M$3</f>
        <v>500</v>
      </c>
      <c r="N233" s="26">
        <f t="shared" si="234"/>
        <v>500</v>
      </c>
      <c r="O233" s="26">
        <f ca="1">IFERROR(__xludf.DUMMYFUNCTION("ROUND(GOOGLEFINANCE(""Currency:EURKZT"")*K233)"),3294753)</f>
        <v>3294753</v>
      </c>
      <c r="P233" s="26">
        <f ca="1">IFERROR(__xludf.DUMMYFUNCTION("ROUND(GOOGLEFINANCE(""Currency:EURKZT"")*M233)"),238785)</f>
        <v>238785</v>
      </c>
      <c r="Q233" s="26">
        <f ca="1">IFERROR(__xludf.DUMMYFUNCTION("ROUND(GOOGLEFINANCE(""Currency:EURKZT"")*N233)"),238785)</f>
        <v>238785</v>
      </c>
      <c r="R233" s="26">
        <f t="shared" ca="1" si="4"/>
        <v>395370</v>
      </c>
      <c r="S233" s="26">
        <f t="shared" ca="1" si="5"/>
        <v>4167693</v>
      </c>
      <c r="T233" s="26">
        <f ca="1">IFERROR(__xludf.DUMMYFUNCTION("ROUND(GOOGLEFINANCE(""Currency:EURKZT"")*L233+S233)"),4793696)</f>
        <v>4793696</v>
      </c>
      <c r="U233" s="26">
        <f ca="1">IFERROR(__xludf.DUMMYFUNCTION("D233*GOOGLEFINANCE(""RUBKZT"")*1000/F233"),5988378.41630065)</f>
        <v>5988378.4163006498</v>
      </c>
      <c r="V233" s="27">
        <f t="shared" ca="1" si="6"/>
        <v>0.24921947831081689</v>
      </c>
    </row>
    <row r="234" spans="1:22" ht="12.75" customHeight="1" x14ac:dyDescent="0.2">
      <c r="A234" s="6" t="s">
        <v>344</v>
      </c>
      <c r="B234" s="6" t="s">
        <v>15</v>
      </c>
      <c r="C234" s="7">
        <v>190593</v>
      </c>
      <c r="D234" s="8">
        <v>264770.39999999997</v>
      </c>
      <c r="E234" s="9" t="s">
        <v>16</v>
      </c>
      <c r="F234" s="36">
        <v>208</v>
      </c>
      <c r="G234" s="25"/>
      <c r="H234" s="14">
        <f t="shared" si="0"/>
        <v>0.55000000000000004</v>
      </c>
      <c r="I234" s="25">
        <f ca="1">IFERROR(__xludf.DUMMYFUNCTION("ROUND(D234*GOOGLEFINANCE(""RUBKZT"")*H234)"),1136378)</f>
        <v>1136378</v>
      </c>
      <c r="J234" s="26">
        <f ca="1">IFERROR(__xludf.DUMMYFUNCTION("ROUND(I234*GOOGLEFINANCE(""KZTEUR""))"),2380)</f>
        <v>2380</v>
      </c>
      <c r="K234" s="26">
        <f t="shared" ca="1" si="1"/>
        <v>11442</v>
      </c>
      <c r="L234" s="26">
        <f t="shared" ca="1" si="2"/>
        <v>2173.98</v>
      </c>
      <c r="M234" s="26">
        <f t="shared" ref="M234:N234" si="235">M$3</f>
        <v>500</v>
      </c>
      <c r="N234" s="26">
        <f t="shared" si="235"/>
        <v>500</v>
      </c>
      <c r="O234" s="26">
        <f ca="1">IFERROR(__xludf.DUMMYFUNCTION("ROUND(GOOGLEFINANCE(""Currency:EURKZT"")*K234)"),5464352)</f>
        <v>5464352</v>
      </c>
      <c r="P234" s="26">
        <f ca="1">IFERROR(__xludf.DUMMYFUNCTION("ROUND(GOOGLEFINANCE(""Currency:EURKZT"")*M234)"),238785)</f>
        <v>238785</v>
      </c>
      <c r="Q234" s="26">
        <f ca="1">IFERROR(__xludf.DUMMYFUNCTION("ROUND(GOOGLEFINANCE(""Currency:EURKZT"")*N234)"),238785)</f>
        <v>238785</v>
      </c>
      <c r="R234" s="26">
        <f t="shared" ca="1" si="4"/>
        <v>655722</v>
      </c>
      <c r="S234" s="26">
        <f t="shared" ca="1" si="5"/>
        <v>6597644</v>
      </c>
      <c r="T234" s="26">
        <f ca="1">IFERROR(__xludf.DUMMYFUNCTION("ROUND(GOOGLEFINANCE(""Currency:EURKZT"")*L234+S234)"),7635871)</f>
        <v>7635871</v>
      </c>
      <c r="U234" s="26">
        <f ca="1">IFERROR(__xludf.DUMMYFUNCTION("D234*GOOGLEFINANCE(""RUBKZT"")*1000/F234"),9933374.36025567)</f>
        <v>9933374.3602556698</v>
      </c>
      <c r="V234" s="27">
        <f t="shared" ca="1" si="6"/>
        <v>0.30088294580351999</v>
      </c>
    </row>
    <row r="235" spans="1:22" ht="12.75" customHeight="1" x14ac:dyDescent="0.2">
      <c r="A235" s="6" t="s">
        <v>345</v>
      </c>
      <c r="B235" s="6" t="s">
        <v>15</v>
      </c>
      <c r="C235" s="7">
        <v>190595</v>
      </c>
      <c r="D235" s="8">
        <v>290887.2</v>
      </c>
      <c r="E235" s="9" t="s">
        <v>16</v>
      </c>
      <c r="F235" s="36">
        <v>208</v>
      </c>
      <c r="G235" s="25"/>
      <c r="H235" s="14">
        <f t="shared" si="0"/>
        <v>0.55000000000000004</v>
      </c>
      <c r="I235" s="25">
        <f ca="1">IFERROR(__xludf.DUMMYFUNCTION("ROUND(D235*GOOGLEFINANCE(""RUBKZT"")*H235)"),1248470)</f>
        <v>1248470</v>
      </c>
      <c r="J235" s="26">
        <f ca="1">IFERROR(__xludf.DUMMYFUNCTION("ROUND(I235*GOOGLEFINANCE(""KZTEUR""))"),2615)</f>
        <v>2615</v>
      </c>
      <c r="K235" s="26">
        <f t="shared" ca="1" si="1"/>
        <v>12572</v>
      </c>
      <c r="L235" s="26">
        <f t="shared" ca="1" si="2"/>
        <v>2388.6799999999998</v>
      </c>
      <c r="M235" s="26">
        <f t="shared" ref="M235:N235" si="236">M$3</f>
        <v>500</v>
      </c>
      <c r="N235" s="26">
        <f t="shared" si="236"/>
        <v>500</v>
      </c>
      <c r="O235" s="26">
        <f ca="1">IFERROR(__xludf.DUMMYFUNCTION("ROUND(GOOGLEFINANCE(""Currency:EURKZT"")*K235)"),6004005)</f>
        <v>6004005</v>
      </c>
      <c r="P235" s="26">
        <f ca="1">IFERROR(__xludf.DUMMYFUNCTION("ROUND(GOOGLEFINANCE(""Currency:EURKZT"")*M235)"),238785)</f>
        <v>238785</v>
      </c>
      <c r="Q235" s="26">
        <f ca="1">IFERROR(__xludf.DUMMYFUNCTION("ROUND(GOOGLEFINANCE(""Currency:EURKZT"")*N235)"),238785)</f>
        <v>238785</v>
      </c>
      <c r="R235" s="26">
        <f t="shared" ca="1" si="4"/>
        <v>720481</v>
      </c>
      <c r="S235" s="26">
        <f t="shared" ca="1" si="5"/>
        <v>7202056</v>
      </c>
      <c r="T235" s="26">
        <f ca="1">IFERROR(__xludf.DUMMYFUNCTION("ROUND(GOOGLEFINANCE(""Currency:EURKZT"")*L235+S235)"),8342817)</f>
        <v>8342817</v>
      </c>
      <c r="U235" s="26">
        <f ca="1">IFERROR(__xludf.DUMMYFUNCTION("D235*GOOGLEFINANCE(""RUBKZT"")*1000/F235"),10913196.6949725)</f>
        <v>10913196.6949725</v>
      </c>
      <c r="V235" s="27">
        <f t="shared" ca="1" si="6"/>
        <v>0.30809493903228374</v>
      </c>
    </row>
    <row r="236" spans="1:22" ht="12.75" customHeight="1" x14ac:dyDescent="0.2">
      <c r="A236" s="6" t="s">
        <v>346</v>
      </c>
      <c r="B236" s="6" t="s">
        <v>15</v>
      </c>
      <c r="C236" s="7">
        <v>190640</v>
      </c>
      <c r="D236" s="8">
        <v>336848.39999999997</v>
      </c>
      <c r="E236" s="9" t="s">
        <v>16</v>
      </c>
      <c r="F236" s="36">
        <v>208</v>
      </c>
      <c r="G236" s="25"/>
      <c r="H236" s="14">
        <f t="shared" si="0"/>
        <v>0.55000000000000004</v>
      </c>
      <c r="I236" s="25">
        <f ca="1">IFERROR(__xludf.DUMMYFUNCTION("ROUND(D236*GOOGLEFINANCE(""RUBKZT"")*H236)"),1445732)</f>
        <v>1445732</v>
      </c>
      <c r="J236" s="26">
        <f ca="1">IFERROR(__xludf.DUMMYFUNCTION("ROUND(I236*GOOGLEFINANCE(""KZTEUR""))"),3028)</f>
        <v>3028</v>
      </c>
      <c r="K236" s="26">
        <f t="shared" ca="1" si="1"/>
        <v>14558</v>
      </c>
      <c r="L236" s="26">
        <f t="shared" ca="1" si="2"/>
        <v>2766.02</v>
      </c>
      <c r="M236" s="26">
        <f t="shared" ref="M236:N236" si="237">M$3</f>
        <v>500</v>
      </c>
      <c r="N236" s="26">
        <f t="shared" si="237"/>
        <v>500</v>
      </c>
      <c r="O236" s="26">
        <f ca="1">IFERROR(__xludf.DUMMYFUNCTION("ROUND(GOOGLEFINANCE(""Currency:EURKZT"")*K236)"),6952458)</f>
        <v>6952458</v>
      </c>
      <c r="P236" s="26">
        <f ca="1">IFERROR(__xludf.DUMMYFUNCTION("ROUND(GOOGLEFINANCE(""Currency:EURKZT"")*M236)"),238785)</f>
        <v>238785</v>
      </c>
      <c r="Q236" s="26">
        <f ca="1">IFERROR(__xludf.DUMMYFUNCTION("ROUND(GOOGLEFINANCE(""Currency:EURKZT"")*N236)"),238785)</f>
        <v>238785</v>
      </c>
      <c r="R236" s="26">
        <f t="shared" ca="1" si="4"/>
        <v>834295</v>
      </c>
      <c r="S236" s="26">
        <f t="shared" ca="1" si="5"/>
        <v>8264323</v>
      </c>
      <c r="T236" s="26">
        <f ca="1">IFERROR(__xludf.DUMMYFUNCTION("ROUND(GOOGLEFINANCE(""Currency:EURKZT"")*L236+S236)"),9585290)</f>
        <v>9585290</v>
      </c>
      <c r="U236" s="26">
        <f ca="1">IFERROR(__xludf.DUMMYFUNCTION("D236*GOOGLEFINANCE(""RUBKZT"")*1000/F236"),12637520.1300944)</f>
        <v>12637520.1300944</v>
      </c>
      <c r="V236" s="27">
        <f t="shared" ca="1" si="6"/>
        <v>0.31842856398652514</v>
      </c>
    </row>
    <row r="237" spans="1:22" ht="12.75" customHeight="1" x14ac:dyDescent="0.2">
      <c r="A237" s="6" t="s">
        <v>348</v>
      </c>
      <c r="B237" s="6" t="s">
        <v>15</v>
      </c>
      <c r="C237" s="7">
        <v>190655</v>
      </c>
      <c r="D237" s="8">
        <v>152812.79999999999</v>
      </c>
      <c r="E237" s="9" t="s">
        <v>16</v>
      </c>
      <c r="F237" s="36">
        <v>208</v>
      </c>
      <c r="G237" s="25"/>
      <c r="H237" s="14">
        <f t="shared" si="0"/>
        <v>0.55000000000000004</v>
      </c>
      <c r="I237" s="25">
        <f ca="1">IFERROR(__xludf.DUMMYFUNCTION("ROUND(D237*GOOGLEFINANCE(""RUBKZT"")*H237)"),655863)</f>
        <v>655863</v>
      </c>
      <c r="J237" s="26">
        <f ca="1">IFERROR(__xludf.DUMMYFUNCTION("ROUND(I237*GOOGLEFINANCE(""KZTEUR""))"),1374)</f>
        <v>1374</v>
      </c>
      <c r="K237" s="26">
        <f t="shared" ca="1" si="1"/>
        <v>6606</v>
      </c>
      <c r="L237" s="26">
        <f t="shared" ca="1" si="2"/>
        <v>1255.1400000000001</v>
      </c>
      <c r="M237" s="26">
        <f t="shared" ref="M237:N237" si="238">M$3</f>
        <v>500</v>
      </c>
      <c r="N237" s="26">
        <f t="shared" si="238"/>
        <v>500</v>
      </c>
      <c r="O237" s="26">
        <f ca="1">IFERROR(__xludf.DUMMYFUNCTION("ROUND(GOOGLEFINANCE(""Currency:EURKZT"")*K237)"),3154825)</f>
        <v>3154825</v>
      </c>
      <c r="P237" s="26">
        <f ca="1">IFERROR(__xludf.DUMMYFUNCTION("ROUND(GOOGLEFINANCE(""Currency:EURKZT"")*M237)"),238785)</f>
        <v>238785</v>
      </c>
      <c r="Q237" s="26">
        <f ca="1">IFERROR(__xludf.DUMMYFUNCTION("ROUND(GOOGLEFINANCE(""Currency:EURKZT"")*N237)"),238785)</f>
        <v>238785</v>
      </c>
      <c r="R237" s="26">
        <f t="shared" ca="1" si="4"/>
        <v>378579</v>
      </c>
      <c r="S237" s="26">
        <f t="shared" ca="1" si="5"/>
        <v>4010974</v>
      </c>
      <c r="T237" s="26">
        <f ca="1">IFERROR(__xludf.DUMMYFUNCTION("ROUND(GOOGLEFINANCE(""Currency:EURKZT"")*L237+S237)"),4610391)</f>
        <v>4610391</v>
      </c>
      <c r="U237" s="26">
        <f ca="1">IFERROR(__xludf.DUMMYFUNCTION("D237*GOOGLEFINANCE(""RUBKZT"")*1000/F237"),5733068.15806781)</f>
        <v>5733068.1580678103</v>
      </c>
      <c r="V237" s="27">
        <f t="shared" ca="1" si="6"/>
        <v>0.24351018342431485</v>
      </c>
    </row>
    <row r="238" spans="1:22" ht="12.75" customHeight="1" x14ac:dyDescent="0.2">
      <c r="A238" s="6" t="s">
        <v>349</v>
      </c>
      <c r="B238" s="6" t="s">
        <v>15</v>
      </c>
      <c r="C238" s="7">
        <v>193718</v>
      </c>
      <c r="D238" s="8">
        <v>100575.59999999999</v>
      </c>
      <c r="E238" s="9" t="s">
        <v>16</v>
      </c>
      <c r="F238" s="36">
        <v>208</v>
      </c>
      <c r="G238" s="25"/>
      <c r="H238" s="14">
        <f t="shared" si="0"/>
        <v>0.55000000000000004</v>
      </c>
      <c r="I238" s="25">
        <f ca="1">IFERROR(__xludf.DUMMYFUNCTION("ROUND(D238*GOOGLEFINANCE(""RUBKZT"")*H238)"),431664)</f>
        <v>431664</v>
      </c>
      <c r="J238" s="26">
        <f ca="1">IFERROR(__xludf.DUMMYFUNCTION("ROUND(I238*GOOGLEFINANCE(""KZTEUR""))"),904)</f>
        <v>904</v>
      </c>
      <c r="K238" s="26">
        <f t="shared" ca="1" si="1"/>
        <v>4346</v>
      </c>
      <c r="L238" s="26">
        <f t="shared" ca="1" si="2"/>
        <v>825.74</v>
      </c>
      <c r="M238" s="26">
        <f t="shared" ref="M238:N238" si="239">M$3</f>
        <v>500</v>
      </c>
      <c r="N238" s="26">
        <f t="shared" si="239"/>
        <v>500</v>
      </c>
      <c r="O238" s="26">
        <f ca="1">IFERROR(__xludf.DUMMYFUNCTION("ROUND(GOOGLEFINANCE(""Currency:EURKZT"")*K238)"),2075518)</f>
        <v>2075518</v>
      </c>
      <c r="P238" s="26">
        <f ca="1">IFERROR(__xludf.DUMMYFUNCTION("ROUND(GOOGLEFINANCE(""Currency:EURKZT"")*M238)"),238785)</f>
        <v>238785</v>
      </c>
      <c r="Q238" s="26">
        <f ca="1">IFERROR(__xludf.DUMMYFUNCTION("ROUND(GOOGLEFINANCE(""Currency:EURKZT"")*N238)"),238785)</f>
        <v>238785</v>
      </c>
      <c r="R238" s="26">
        <f t="shared" ca="1" si="4"/>
        <v>249062</v>
      </c>
      <c r="S238" s="26">
        <f t="shared" ca="1" si="5"/>
        <v>2802150</v>
      </c>
      <c r="T238" s="26">
        <f ca="1">IFERROR(__xludf.DUMMYFUNCTION("ROUND(GOOGLEFINANCE(""Currency:EURKZT"")*L238+S238)"),3196498)</f>
        <v>3196498</v>
      </c>
      <c r="U238" s="26">
        <f ca="1">IFERROR(__xludf.DUMMYFUNCTION("D238*GOOGLEFINANCE(""RUBKZT"")*1000/F238"),3773288.42766159)</f>
        <v>3773288.4276615898</v>
      </c>
      <c r="V238" s="27">
        <f t="shared" ca="1" si="6"/>
        <v>0.18044448257486467</v>
      </c>
    </row>
    <row r="239" spans="1:22" ht="12.75" customHeight="1" x14ac:dyDescent="0.2">
      <c r="A239" s="6" t="s">
        <v>351</v>
      </c>
      <c r="B239" s="6" t="s">
        <v>15</v>
      </c>
      <c r="C239" s="7">
        <v>194216</v>
      </c>
      <c r="D239" s="8">
        <v>197690.4</v>
      </c>
      <c r="E239" s="9" t="s">
        <v>16</v>
      </c>
      <c r="F239" s="36">
        <v>208</v>
      </c>
      <c r="G239" s="25"/>
      <c r="H239" s="14">
        <f t="shared" si="0"/>
        <v>0.55000000000000004</v>
      </c>
      <c r="I239" s="25">
        <f ca="1">IFERROR(__xludf.DUMMYFUNCTION("ROUND(D239*GOOGLEFINANCE(""RUBKZT"")*H239)"),848475)</f>
        <v>848475</v>
      </c>
      <c r="J239" s="26">
        <f ca="1">IFERROR(__xludf.DUMMYFUNCTION("ROUND(I239*GOOGLEFINANCE(""KZTEUR""))"),1777)</f>
        <v>1777</v>
      </c>
      <c r="K239" s="26">
        <f t="shared" ca="1" si="1"/>
        <v>8543</v>
      </c>
      <c r="L239" s="26">
        <f t="shared" ca="1" si="2"/>
        <v>1623.17</v>
      </c>
      <c r="M239" s="26">
        <f t="shared" ref="M239:N239" si="240">M$3</f>
        <v>500</v>
      </c>
      <c r="N239" s="26">
        <f t="shared" si="240"/>
        <v>500</v>
      </c>
      <c r="O239" s="26">
        <f ca="1">IFERROR(__xludf.DUMMYFUNCTION("ROUND(GOOGLEFINANCE(""Currency:EURKZT"")*K239)"),4079877)</f>
        <v>4079877</v>
      </c>
      <c r="P239" s="26">
        <f ca="1">IFERROR(__xludf.DUMMYFUNCTION("ROUND(GOOGLEFINANCE(""Currency:EURKZT"")*M239)"),238785)</f>
        <v>238785</v>
      </c>
      <c r="Q239" s="26">
        <f ca="1">IFERROR(__xludf.DUMMYFUNCTION("ROUND(GOOGLEFINANCE(""Currency:EURKZT"")*N239)"),238785)</f>
        <v>238785</v>
      </c>
      <c r="R239" s="26">
        <f t="shared" ca="1" si="4"/>
        <v>489585</v>
      </c>
      <c r="S239" s="26">
        <f t="shared" ca="1" si="5"/>
        <v>5047032</v>
      </c>
      <c r="T239" s="26">
        <f ca="1">IFERROR(__xludf.DUMMYFUNCTION("ROUND(GOOGLEFINANCE(""Currency:EURKZT"")*L239+S239)"),5822209)</f>
        <v>5822209</v>
      </c>
      <c r="U239" s="26">
        <f ca="1">IFERROR(__xludf.DUMMYFUNCTION("D239*GOOGLEFINANCE(""RUBKZT"")*1000/F239"),7416738.24048567)</f>
        <v>7416738.24048567</v>
      </c>
      <c r="V239" s="27">
        <f t="shared" ca="1" si="6"/>
        <v>0.27387014799463055</v>
      </c>
    </row>
    <row r="240" spans="1:22" ht="12.75" customHeight="1" x14ac:dyDescent="0.2">
      <c r="A240" s="6" t="s">
        <v>354</v>
      </c>
      <c r="B240" s="6" t="s">
        <v>15</v>
      </c>
      <c r="C240" s="7">
        <v>194773</v>
      </c>
      <c r="D240" s="8">
        <v>79570.8</v>
      </c>
      <c r="E240" s="9" t="s">
        <v>7</v>
      </c>
      <c r="F240" s="36">
        <v>208</v>
      </c>
      <c r="G240" s="25"/>
      <c r="H240" s="14">
        <f t="shared" si="0"/>
        <v>0.55000000000000004</v>
      </c>
      <c r="I240" s="25">
        <f ca="1">IFERROR(__xludf.DUMMYFUNCTION("ROUND(D240*GOOGLEFINANCE(""RUBKZT"")*H240)"),341513)</f>
        <v>341513</v>
      </c>
      <c r="J240" s="26">
        <f ca="1">IFERROR(__xludf.DUMMYFUNCTION("ROUND(I240*GOOGLEFINANCE(""KZTEUR""))"),715)</f>
        <v>715</v>
      </c>
      <c r="K240" s="26">
        <f t="shared" ca="1" si="1"/>
        <v>3438</v>
      </c>
      <c r="L240" s="26">
        <f t="shared" ca="1" si="2"/>
        <v>653.22</v>
      </c>
      <c r="M240" s="26">
        <f t="shared" ref="M240:N240" si="241">M$3</f>
        <v>500</v>
      </c>
      <c r="N240" s="26">
        <f t="shared" si="241"/>
        <v>500</v>
      </c>
      <c r="O240" s="26">
        <f ca="1">IFERROR(__xludf.DUMMYFUNCTION("ROUND(GOOGLEFINANCE(""Currency:EURKZT"")*K240)"),1641884)</f>
        <v>1641884</v>
      </c>
      <c r="P240" s="26">
        <f ca="1">IFERROR(__xludf.DUMMYFUNCTION("ROUND(GOOGLEFINANCE(""Currency:EURKZT"")*M240)"),238785)</f>
        <v>238785</v>
      </c>
      <c r="Q240" s="26">
        <f ca="1">IFERROR(__xludf.DUMMYFUNCTION("ROUND(GOOGLEFINANCE(""Currency:EURKZT"")*N240)"),238785)</f>
        <v>238785</v>
      </c>
      <c r="R240" s="26">
        <f t="shared" ca="1" si="4"/>
        <v>197026</v>
      </c>
      <c r="S240" s="26">
        <f t="shared" ca="1" si="5"/>
        <v>2316480</v>
      </c>
      <c r="T240" s="26">
        <f ca="1">IFERROR(__xludf.DUMMYFUNCTION("ROUND(GOOGLEFINANCE(""Currency:EURKZT"")*L240+S240)"),2628438)</f>
        <v>2628438</v>
      </c>
      <c r="U240" s="26">
        <f ca="1">IFERROR(__xludf.DUMMYFUNCTION("D240*GOOGLEFINANCE(""RUBKZT"")*1000/F240"),2985252.67380731)</f>
        <v>2985252.6738073099</v>
      </c>
      <c r="V240" s="27">
        <f t="shared" ca="1" si="6"/>
        <v>0.13575160373092687</v>
      </c>
    </row>
    <row r="241" spans="1:22" ht="12.75" customHeight="1" x14ac:dyDescent="0.2">
      <c r="A241" s="6" t="s">
        <v>356</v>
      </c>
      <c r="B241" s="6" t="s">
        <v>15</v>
      </c>
      <c r="C241" s="7">
        <v>194782</v>
      </c>
      <c r="D241" s="8">
        <v>118328.4</v>
      </c>
      <c r="E241" s="9" t="s">
        <v>7</v>
      </c>
      <c r="F241" s="36">
        <v>208</v>
      </c>
      <c r="G241" s="25"/>
      <c r="H241" s="14">
        <f t="shared" si="0"/>
        <v>0.55000000000000004</v>
      </c>
      <c r="I241" s="25">
        <f ca="1">IFERROR(__xludf.DUMMYFUNCTION("ROUND(D241*GOOGLEFINANCE(""RUBKZT"")*H241)"),507858)</f>
        <v>507858</v>
      </c>
      <c r="J241" s="26">
        <f ca="1">IFERROR(__xludf.DUMMYFUNCTION("ROUND(I241*GOOGLEFINANCE(""KZTEUR""))"),1064)</f>
        <v>1064</v>
      </c>
      <c r="K241" s="26">
        <f t="shared" ca="1" si="1"/>
        <v>5115</v>
      </c>
      <c r="L241" s="26">
        <f t="shared" ca="1" si="2"/>
        <v>971.85</v>
      </c>
      <c r="M241" s="26">
        <f t="shared" ref="M241:N241" si="242">M$3</f>
        <v>500</v>
      </c>
      <c r="N241" s="26">
        <f t="shared" si="242"/>
        <v>500</v>
      </c>
      <c r="O241" s="26">
        <f ca="1">IFERROR(__xludf.DUMMYFUNCTION("ROUND(GOOGLEFINANCE(""Currency:EURKZT"")*K241)"),2442769)</f>
        <v>2442769</v>
      </c>
      <c r="P241" s="26">
        <f ca="1">IFERROR(__xludf.DUMMYFUNCTION("ROUND(GOOGLEFINANCE(""Currency:EURKZT"")*M241)"),238785)</f>
        <v>238785</v>
      </c>
      <c r="Q241" s="26">
        <f ca="1">IFERROR(__xludf.DUMMYFUNCTION("ROUND(GOOGLEFINANCE(""Currency:EURKZT"")*N241)"),238785)</f>
        <v>238785</v>
      </c>
      <c r="R241" s="26">
        <f t="shared" ca="1" si="4"/>
        <v>293132</v>
      </c>
      <c r="S241" s="26">
        <f t="shared" ca="1" si="5"/>
        <v>3213471</v>
      </c>
      <c r="T241" s="26">
        <f ca="1">IFERROR(__xludf.DUMMYFUNCTION("ROUND(GOOGLEFINANCE(""Currency:EURKZT"")*L241+S241)"),3677597)</f>
        <v>3677597</v>
      </c>
      <c r="U241" s="26">
        <f ca="1">IFERROR(__xludf.DUMMYFUNCTION("D241*GOOGLEFINANCE(""RUBKZT"")*1000/F241"),4439319.10307979)</f>
        <v>4439319.1030797902</v>
      </c>
      <c r="V241" s="27">
        <f t="shared" ca="1" si="6"/>
        <v>0.20712495226632779</v>
      </c>
    </row>
    <row r="242" spans="1:22" ht="12.75" customHeight="1" x14ac:dyDescent="0.2">
      <c r="A242" s="6" t="s">
        <v>359</v>
      </c>
      <c r="B242" s="6" t="s">
        <v>15</v>
      </c>
      <c r="C242" s="7">
        <v>194792</v>
      </c>
      <c r="D242" s="8">
        <v>113257.2</v>
      </c>
      <c r="E242" s="9" t="s">
        <v>7</v>
      </c>
      <c r="F242" s="36">
        <v>208</v>
      </c>
      <c r="G242" s="25"/>
      <c r="H242" s="14">
        <f t="shared" si="0"/>
        <v>0.55000000000000004</v>
      </c>
      <c r="I242" s="25">
        <f ca="1">IFERROR(__xludf.DUMMYFUNCTION("ROUND(D242*GOOGLEFINANCE(""RUBKZT"")*H242)"),486093)</f>
        <v>486093</v>
      </c>
      <c r="J242" s="26">
        <f ca="1">IFERROR(__xludf.DUMMYFUNCTION("ROUND(I242*GOOGLEFINANCE(""KZTEUR""))"),1018)</f>
        <v>1018</v>
      </c>
      <c r="K242" s="26">
        <f t="shared" ca="1" si="1"/>
        <v>4894</v>
      </c>
      <c r="L242" s="26">
        <f t="shared" ca="1" si="2"/>
        <v>929.86</v>
      </c>
      <c r="M242" s="26">
        <f t="shared" ref="M242:N242" si="243">M$3</f>
        <v>500</v>
      </c>
      <c r="N242" s="26">
        <f t="shared" si="243"/>
        <v>500</v>
      </c>
      <c r="O242" s="26">
        <f ca="1">IFERROR(__xludf.DUMMYFUNCTION("ROUND(GOOGLEFINANCE(""Currency:EURKZT"")*K242)"),2337226)</f>
        <v>2337226</v>
      </c>
      <c r="P242" s="26">
        <f ca="1">IFERROR(__xludf.DUMMYFUNCTION("ROUND(GOOGLEFINANCE(""Currency:EURKZT"")*M242)"),238785)</f>
        <v>238785</v>
      </c>
      <c r="Q242" s="26">
        <f ca="1">IFERROR(__xludf.DUMMYFUNCTION("ROUND(GOOGLEFINANCE(""Currency:EURKZT"")*N242)"),238785)</f>
        <v>238785</v>
      </c>
      <c r="R242" s="26">
        <f t="shared" ca="1" si="4"/>
        <v>280467</v>
      </c>
      <c r="S242" s="26">
        <f t="shared" ca="1" si="5"/>
        <v>3095263</v>
      </c>
      <c r="T242" s="26">
        <f ca="1">IFERROR(__xludf.DUMMYFUNCTION("ROUND(GOOGLEFINANCE(""Currency:EURKZT"")*L242+S242)"),3539336)</f>
        <v>3539336</v>
      </c>
      <c r="U242" s="26">
        <f ca="1">IFERROR(__xludf.DUMMYFUNCTION("D242*GOOGLEFINANCE(""RUBKZT"")*1000/F242"),4249063.21323814)</f>
        <v>4249063.2132381396</v>
      </c>
      <c r="V242" s="27">
        <f t="shared" ca="1" si="6"/>
        <v>0.20052552604164725</v>
      </c>
    </row>
    <row r="243" spans="1:22" ht="12.75" customHeight="1" x14ac:dyDescent="0.2">
      <c r="A243" s="6" t="s">
        <v>355</v>
      </c>
      <c r="B243" s="6" t="s">
        <v>15</v>
      </c>
      <c r="C243" s="7">
        <v>194793</v>
      </c>
      <c r="D243" s="8">
        <v>111748.8</v>
      </c>
      <c r="E243" s="9" t="s">
        <v>7</v>
      </c>
      <c r="F243" s="36">
        <v>208</v>
      </c>
      <c r="G243" s="25"/>
      <c r="H243" s="14">
        <f t="shared" si="0"/>
        <v>0.55000000000000004</v>
      </c>
      <c r="I243" s="25">
        <f ca="1">IFERROR(__xludf.DUMMYFUNCTION("ROUND(D243*GOOGLEFINANCE(""RUBKZT"")*H243)"),479619)</f>
        <v>479619</v>
      </c>
      <c r="J243" s="26">
        <f ca="1">IFERROR(__xludf.DUMMYFUNCTION("ROUND(I243*GOOGLEFINANCE(""KZTEUR""))"),1004)</f>
        <v>1004</v>
      </c>
      <c r="K243" s="26">
        <f t="shared" ca="1" si="1"/>
        <v>4827</v>
      </c>
      <c r="L243" s="26">
        <f t="shared" ca="1" si="2"/>
        <v>917.13</v>
      </c>
      <c r="M243" s="26">
        <f t="shared" ref="M243:N243" si="244">M$3</f>
        <v>500</v>
      </c>
      <c r="N243" s="26">
        <f t="shared" si="244"/>
        <v>500</v>
      </c>
      <c r="O243" s="26">
        <f ca="1">IFERROR(__xludf.DUMMYFUNCTION("ROUND(GOOGLEFINANCE(""Currency:EURKZT"")*K243)"),2305229)</f>
        <v>2305229</v>
      </c>
      <c r="P243" s="26">
        <f ca="1">IFERROR(__xludf.DUMMYFUNCTION("ROUND(GOOGLEFINANCE(""Currency:EURKZT"")*M243)"),238785)</f>
        <v>238785</v>
      </c>
      <c r="Q243" s="26">
        <f ca="1">IFERROR(__xludf.DUMMYFUNCTION("ROUND(GOOGLEFINANCE(""Currency:EURKZT"")*N243)"),238785)</f>
        <v>238785</v>
      </c>
      <c r="R243" s="26">
        <f t="shared" ca="1" si="4"/>
        <v>276627</v>
      </c>
      <c r="S243" s="26">
        <f t="shared" ca="1" si="5"/>
        <v>3059426</v>
      </c>
      <c r="T243" s="26">
        <f ca="1">IFERROR(__xludf.DUMMYFUNCTION("ROUND(GOOGLEFINANCE(""Currency:EURKZT"")*L243+S243)"),3497419)</f>
        <v>3497419</v>
      </c>
      <c r="U243" s="26">
        <f ca="1">IFERROR(__xludf.DUMMYFUNCTION("D243*GOOGLEFINANCE(""RUBKZT"")*1000/F243"),4192472.66578643)</f>
        <v>4192472.6657864298</v>
      </c>
      <c r="V243" s="27">
        <f t="shared" ca="1" si="6"/>
        <v>0.19873331327657046</v>
      </c>
    </row>
    <row r="244" spans="1:22" ht="12.75" customHeight="1" x14ac:dyDescent="0.2">
      <c r="A244" s="6" t="s">
        <v>357</v>
      </c>
      <c r="B244" s="6" t="s">
        <v>15</v>
      </c>
      <c r="C244" s="7">
        <v>194795</v>
      </c>
      <c r="D244" s="8">
        <v>131034</v>
      </c>
      <c r="E244" s="9" t="s">
        <v>7</v>
      </c>
      <c r="F244" s="36">
        <v>208</v>
      </c>
      <c r="G244" s="25"/>
      <c r="H244" s="14">
        <f t="shared" si="0"/>
        <v>0.55000000000000004</v>
      </c>
      <c r="I244" s="25">
        <f ca="1">IFERROR(__xludf.DUMMYFUNCTION("ROUND(D244*GOOGLEFINANCE(""RUBKZT"")*H244)"),562390)</f>
        <v>562390</v>
      </c>
      <c r="J244" s="26">
        <f ca="1">IFERROR(__xludf.DUMMYFUNCTION("ROUND(I244*GOOGLEFINANCE(""KZTEUR""))"),1178)</f>
        <v>1178</v>
      </c>
      <c r="K244" s="26">
        <f t="shared" ca="1" si="1"/>
        <v>5663</v>
      </c>
      <c r="L244" s="26">
        <f t="shared" ca="1" si="2"/>
        <v>1075.97</v>
      </c>
      <c r="M244" s="26">
        <f t="shared" ref="M244:N244" si="245">M$3</f>
        <v>500</v>
      </c>
      <c r="N244" s="26">
        <f t="shared" si="245"/>
        <v>500</v>
      </c>
      <c r="O244" s="26">
        <f ca="1">IFERROR(__xludf.DUMMYFUNCTION("ROUND(GOOGLEFINANCE(""Currency:EURKZT"")*K244)"),2704477)</f>
        <v>2704477</v>
      </c>
      <c r="P244" s="26">
        <f ca="1">IFERROR(__xludf.DUMMYFUNCTION("ROUND(GOOGLEFINANCE(""Currency:EURKZT"")*M244)"),238785)</f>
        <v>238785</v>
      </c>
      <c r="Q244" s="26">
        <f ca="1">IFERROR(__xludf.DUMMYFUNCTION("ROUND(GOOGLEFINANCE(""Currency:EURKZT"")*N244)"),238785)</f>
        <v>238785</v>
      </c>
      <c r="R244" s="26">
        <f t="shared" ca="1" si="4"/>
        <v>324537</v>
      </c>
      <c r="S244" s="26">
        <f t="shared" ca="1" si="5"/>
        <v>3506584</v>
      </c>
      <c r="T244" s="26">
        <f ca="1">IFERROR(__xludf.DUMMYFUNCTION("ROUND(GOOGLEFINANCE(""Currency:EURKZT"")*L244+S244)"),4020435)</f>
        <v>4020435</v>
      </c>
      <c r="U244" s="26">
        <f ca="1">IFERROR(__xludf.DUMMYFUNCTION("D244*GOOGLEFINANCE(""RUBKZT"")*1000/F244"),4915994.29513926)</f>
        <v>4915994.2951392597</v>
      </c>
      <c r="V244" s="27">
        <f t="shared" ca="1" si="6"/>
        <v>0.22275184032057715</v>
      </c>
    </row>
    <row r="245" spans="1:22" ht="12.75" customHeight="1" x14ac:dyDescent="0.2">
      <c r="A245" s="6" t="s">
        <v>358</v>
      </c>
      <c r="B245" s="6" t="s">
        <v>15</v>
      </c>
      <c r="C245" s="7">
        <v>194796</v>
      </c>
      <c r="D245" s="8">
        <v>112801.2</v>
      </c>
      <c r="E245" s="9" t="s">
        <v>7</v>
      </c>
      <c r="F245" s="36">
        <v>208</v>
      </c>
      <c r="G245" s="25"/>
      <c r="H245" s="14">
        <f t="shared" si="0"/>
        <v>0.55000000000000004</v>
      </c>
      <c r="I245" s="25">
        <f ca="1">IFERROR(__xludf.DUMMYFUNCTION("ROUND(D245*GOOGLEFINANCE(""RUBKZT"")*H245)"),484136)</f>
        <v>484136</v>
      </c>
      <c r="J245" s="26">
        <f ca="1">IFERROR(__xludf.DUMMYFUNCTION("ROUND(I245*GOOGLEFINANCE(""KZTEUR""))"),1014)</f>
        <v>1014</v>
      </c>
      <c r="K245" s="26">
        <f t="shared" ca="1" si="1"/>
        <v>4875</v>
      </c>
      <c r="L245" s="26">
        <f t="shared" ca="1" si="2"/>
        <v>926.25</v>
      </c>
      <c r="M245" s="26">
        <f t="shared" ref="M245:N245" si="246">M$3</f>
        <v>500</v>
      </c>
      <c r="N245" s="26">
        <f t="shared" si="246"/>
        <v>500</v>
      </c>
      <c r="O245" s="26">
        <f ca="1">IFERROR(__xludf.DUMMYFUNCTION("ROUND(GOOGLEFINANCE(""Currency:EURKZT"")*K245)"),2328152)</f>
        <v>2328152</v>
      </c>
      <c r="P245" s="26">
        <f ca="1">IFERROR(__xludf.DUMMYFUNCTION("ROUND(GOOGLEFINANCE(""Currency:EURKZT"")*M245)"),238785)</f>
        <v>238785</v>
      </c>
      <c r="Q245" s="26">
        <f ca="1">IFERROR(__xludf.DUMMYFUNCTION("ROUND(GOOGLEFINANCE(""Currency:EURKZT"")*N245)"),238785)</f>
        <v>238785</v>
      </c>
      <c r="R245" s="26">
        <f t="shared" ca="1" si="4"/>
        <v>279378</v>
      </c>
      <c r="S245" s="26">
        <f t="shared" ca="1" si="5"/>
        <v>3085100</v>
      </c>
      <c r="T245" s="26">
        <f ca="1">IFERROR(__xludf.DUMMYFUNCTION("ROUND(GOOGLEFINANCE(""Currency:EURKZT"")*L245+S245)"),3527449)</f>
        <v>3527449</v>
      </c>
      <c r="U245" s="26">
        <f ca="1">IFERROR(__xludf.DUMMYFUNCTION("D245*GOOGLEFINANCE(""RUBKZT"")*1000/F245"),4231955.4900626)</f>
        <v>4231955.4900626</v>
      </c>
      <c r="V245" s="27">
        <f t="shared" ca="1" si="6"/>
        <v>0.1997212404949299</v>
      </c>
    </row>
    <row r="246" spans="1:22" ht="12.75" customHeight="1" x14ac:dyDescent="0.2">
      <c r="A246" s="6" t="s">
        <v>360</v>
      </c>
      <c r="B246" s="6" t="s">
        <v>15</v>
      </c>
      <c r="C246" s="7">
        <v>194797</v>
      </c>
      <c r="D246" s="8">
        <v>118086</v>
      </c>
      <c r="E246" s="9" t="s">
        <v>7</v>
      </c>
      <c r="F246" s="36">
        <v>208</v>
      </c>
      <c r="G246" s="25"/>
      <c r="H246" s="14">
        <f t="shared" si="0"/>
        <v>0.55000000000000004</v>
      </c>
      <c r="I246" s="25">
        <f ca="1">IFERROR(__xludf.DUMMYFUNCTION("ROUND(D246*GOOGLEFINANCE(""RUBKZT"")*H246)"),506818)</f>
        <v>506818</v>
      </c>
      <c r="J246" s="26">
        <f ca="1">IFERROR(__xludf.DUMMYFUNCTION("ROUND(I246*GOOGLEFINANCE(""KZTEUR""))"),1061)</f>
        <v>1061</v>
      </c>
      <c r="K246" s="26">
        <f t="shared" ca="1" si="1"/>
        <v>5101</v>
      </c>
      <c r="L246" s="26">
        <f t="shared" ca="1" si="2"/>
        <v>969.19</v>
      </c>
      <c r="M246" s="26">
        <f t="shared" ref="M246:N246" si="247">M$3</f>
        <v>500</v>
      </c>
      <c r="N246" s="26">
        <f t="shared" si="247"/>
        <v>500</v>
      </c>
      <c r="O246" s="26">
        <f ca="1">IFERROR(__xludf.DUMMYFUNCTION("ROUND(GOOGLEFINANCE(""Currency:EURKZT"")*K246)"),2436083)</f>
        <v>2436083</v>
      </c>
      <c r="P246" s="26">
        <f ca="1">IFERROR(__xludf.DUMMYFUNCTION("ROUND(GOOGLEFINANCE(""Currency:EURKZT"")*M246)"),238785)</f>
        <v>238785</v>
      </c>
      <c r="Q246" s="26">
        <f ca="1">IFERROR(__xludf.DUMMYFUNCTION("ROUND(GOOGLEFINANCE(""Currency:EURKZT"")*N246)"),238785)</f>
        <v>238785</v>
      </c>
      <c r="R246" s="26">
        <f t="shared" ca="1" si="4"/>
        <v>292330</v>
      </c>
      <c r="S246" s="26">
        <f t="shared" ca="1" si="5"/>
        <v>3205983</v>
      </c>
      <c r="T246" s="26">
        <f ca="1">IFERROR(__xludf.DUMMYFUNCTION("ROUND(GOOGLEFINANCE(""Currency:EURKZT"")*L246+S246)"),3668839)</f>
        <v>3668839</v>
      </c>
      <c r="U246" s="26">
        <f ca="1">IFERROR(__xludf.DUMMYFUNCTION("D246*GOOGLEFINANCE(""RUBKZT"")*1000/F246"),4430224.99760227)</f>
        <v>4430224.99760227</v>
      </c>
      <c r="V246" s="27">
        <f t="shared" ca="1" si="6"/>
        <v>0.20752777584469365</v>
      </c>
    </row>
    <row r="247" spans="1:22" ht="12.75" customHeight="1" x14ac:dyDescent="0.2">
      <c r="A247" s="6" t="s">
        <v>361</v>
      </c>
      <c r="B247" s="6" t="s">
        <v>15</v>
      </c>
      <c r="C247" s="7">
        <v>194800</v>
      </c>
      <c r="D247" s="8">
        <v>118903.2</v>
      </c>
      <c r="E247" s="9" t="s">
        <v>7</v>
      </c>
      <c r="F247" s="36">
        <v>208</v>
      </c>
      <c r="G247" s="25"/>
      <c r="H247" s="14">
        <f t="shared" si="0"/>
        <v>0.55000000000000004</v>
      </c>
      <c r="I247" s="25">
        <f ca="1">IFERROR(__xludf.DUMMYFUNCTION("ROUND(D247*GOOGLEFINANCE(""RUBKZT"")*H247)"),510325)</f>
        <v>510325</v>
      </c>
      <c r="J247" s="26">
        <f ca="1">IFERROR(__xludf.DUMMYFUNCTION("ROUND(I247*GOOGLEFINANCE(""KZTEUR""))"),1069)</f>
        <v>1069</v>
      </c>
      <c r="K247" s="26">
        <f t="shared" ca="1" si="1"/>
        <v>5139</v>
      </c>
      <c r="L247" s="26">
        <f t="shared" ca="1" si="2"/>
        <v>976.41</v>
      </c>
      <c r="M247" s="26">
        <f t="shared" ref="M247:N247" si="248">M$3</f>
        <v>500</v>
      </c>
      <c r="N247" s="26">
        <f t="shared" si="248"/>
        <v>500</v>
      </c>
      <c r="O247" s="26">
        <f ca="1">IFERROR(__xludf.DUMMYFUNCTION("ROUND(GOOGLEFINANCE(""Currency:EURKZT"")*K247)"),2454230)</f>
        <v>2454230</v>
      </c>
      <c r="P247" s="26">
        <f ca="1">IFERROR(__xludf.DUMMYFUNCTION("ROUND(GOOGLEFINANCE(""Currency:EURKZT"")*M247)"),238785)</f>
        <v>238785</v>
      </c>
      <c r="Q247" s="26">
        <f ca="1">IFERROR(__xludf.DUMMYFUNCTION("ROUND(GOOGLEFINANCE(""Currency:EURKZT"")*N247)"),238785)</f>
        <v>238785</v>
      </c>
      <c r="R247" s="26">
        <f t="shared" ca="1" si="4"/>
        <v>294508</v>
      </c>
      <c r="S247" s="26">
        <f t="shared" ca="1" si="5"/>
        <v>3226308</v>
      </c>
      <c r="T247" s="26">
        <f ca="1">IFERROR(__xludf.DUMMYFUNCTION("ROUND(GOOGLEFINANCE(""Currency:EURKZT"")*L247+S247)"),3692612)</f>
        <v>3692612</v>
      </c>
      <c r="U247" s="26">
        <f ca="1">IFERROR(__xludf.DUMMYFUNCTION("D247*GOOGLEFINANCE(""RUBKZT"")*1000/F247"),4460883.8383458)</f>
        <v>4460883.8383457996</v>
      </c>
      <c r="V247" s="27">
        <f t="shared" ca="1" si="6"/>
        <v>0.20805647556412632</v>
      </c>
    </row>
    <row r="248" spans="1:22" ht="12.75" customHeight="1" x14ac:dyDescent="0.2">
      <c r="A248" s="6" t="s">
        <v>362</v>
      </c>
      <c r="B248" s="6" t="s">
        <v>15</v>
      </c>
      <c r="C248" s="7">
        <v>194803</v>
      </c>
      <c r="D248" s="8">
        <v>119971.2</v>
      </c>
      <c r="E248" s="9" t="s">
        <v>7</v>
      </c>
      <c r="F248" s="36">
        <v>208</v>
      </c>
      <c r="G248" s="25"/>
      <c r="H248" s="14">
        <f t="shared" si="0"/>
        <v>0.55000000000000004</v>
      </c>
      <c r="I248" s="25">
        <f ca="1">IFERROR(__xludf.DUMMYFUNCTION("ROUND(D248*GOOGLEFINANCE(""RUBKZT"")*H248)"),514909)</f>
        <v>514909</v>
      </c>
      <c r="J248" s="26">
        <f ca="1">IFERROR(__xludf.DUMMYFUNCTION("ROUND(I248*GOOGLEFINANCE(""KZTEUR""))"),1078)</f>
        <v>1078</v>
      </c>
      <c r="K248" s="26">
        <f t="shared" ca="1" si="1"/>
        <v>5183</v>
      </c>
      <c r="L248" s="26">
        <f t="shared" ca="1" si="2"/>
        <v>984.77</v>
      </c>
      <c r="M248" s="26">
        <f t="shared" ref="M248:N248" si="249">M$3</f>
        <v>500</v>
      </c>
      <c r="N248" s="26">
        <f t="shared" si="249"/>
        <v>500</v>
      </c>
      <c r="O248" s="26">
        <f ca="1">IFERROR(__xludf.DUMMYFUNCTION("ROUND(GOOGLEFINANCE(""Currency:EURKZT"")*K248)"),2475243)</f>
        <v>2475243</v>
      </c>
      <c r="P248" s="26">
        <f ca="1">IFERROR(__xludf.DUMMYFUNCTION("ROUND(GOOGLEFINANCE(""Currency:EURKZT"")*M248)"),238785)</f>
        <v>238785</v>
      </c>
      <c r="Q248" s="26">
        <f ca="1">IFERROR(__xludf.DUMMYFUNCTION("ROUND(GOOGLEFINANCE(""Currency:EURKZT"")*N248)"),238785)</f>
        <v>238785</v>
      </c>
      <c r="R248" s="26">
        <f t="shared" ca="1" si="4"/>
        <v>297029</v>
      </c>
      <c r="S248" s="26">
        <f t="shared" ca="1" si="5"/>
        <v>3249842</v>
      </c>
      <c r="T248" s="26">
        <f ca="1">IFERROR(__xludf.DUMMYFUNCTION("ROUND(GOOGLEFINANCE(""Currency:EURKZT"")*L248+S248)"),3720138)</f>
        <v>3720138</v>
      </c>
      <c r="U248" s="26">
        <f ca="1">IFERROR(__xludf.DUMMYFUNCTION("D248*GOOGLEFINANCE(""RUBKZT"")*1000/F248"),4500951.92683587)</f>
        <v>4500951.9268358704</v>
      </c>
      <c r="V248" s="27">
        <f t="shared" ca="1" si="6"/>
        <v>0.20988843070764321</v>
      </c>
    </row>
    <row r="249" spans="1:22" ht="12.75" customHeight="1" x14ac:dyDescent="0.2">
      <c r="A249" s="6" t="s">
        <v>363</v>
      </c>
      <c r="B249" s="6" t="s">
        <v>15</v>
      </c>
      <c r="C249" s="7">
        <v>194807</v>
      </c>
      <c r="D249" s="8">
        <v>124119.59999999999</v>
      </c>
      <c r="E249" s="9" t="s">
        <v>7</v>
      </c>
      <c r="F249" s="36">
        <v>208</v>
      </c>
      <c r="G249" s="25"/>
      <c r="H249" s="14">
        <f t="shared" si="0"/>
        <v>0.55000000000000004</v>
      </c>
      <c r="I249" s="25">
        <f ca="1">IFERROR(__xludf.DUMMYFUNCTION("ROUND(D249*GOOGLEFINANCE(""RUBKZT"")*H249)"),532714)</f>
        <v>532714</v>
      </c>
      <c r="J249" s="26">
        <f ca="1">IFERROR(__xludf.DUMMYFUNCTION("ROUND(I249*GOOGLEFINANCE(""KZTEUR""))"),1116)</f>
        <v>1116</v>
      </c>
      <c r="K249" s="26">
        <f t="shared" ca="1" si="1"/>
        <v>5365</v>
      </c>
      <c r="L249" s="26">
        <f t="shared" ca="1" si="2"/>
        <v>1019.35</v>
      </c>
      <c r="M249" s="26">
        <f t="shared" ref="M249:N249" si="250">M$3</f>
        <v>500</v>
      </c>
      <c r="N249" s="26">
        <f t="shared" si="250"/>
        <v>500</v>
      </c>
      <c r="O249" s="26">
        <f ca="1">IFERROR(__xludf.DUMMYFUNCTION("ROUND(GOOGLEFINANCE(""Currency:EURKZT"")*K249)"),2562161)</f>
        <v>2562161</v>
      </c>
      <c r="P249" s="26">
        <f ca="1">IFERROR(__xludf.DUMMYFUNCTION("ROUND(GOOGLEFINANCE(""Currency:EURKZT"")*M249)"),238785)</f>
        <v>238785</v>
      </c>
      <c r="Q249" s="26">
        <f ca="1">IFERROR(__xludf.DUMMYFUNCTION("ROUND(GOOGLEFINANCE(""Currency:EURKZT"")*N249)"),238785)</f>
        <v>238785</v>
      </c>
      <c r="R249" s="26">
        <f t="shared" ca="1" si="4"/>
        <v>307459</v>
      </c>
      <c r="S249" s="26">
        <f t="shared" ca="1" si="5"/>
        <v>3347190</v>
      </c>
      <c r="T249" s="26">
        <f ca="1">IFERROR(__xludf.DUMMYFUNCTION("ROUND(GOOGLEFINANCE(""Currency:EURKZT"")*L249+S249)"),3834001)</f>
        <v>3834001</v>
      </c>
      <c r="U249" s="26">
        <f ca="1">IFERROR(__xludf.DUMMYFUNCTION("D249*GOOGLEFINANCE(""RUBKZT"")*1000/F249"),4656587.18740913)</f>
        <v>4656587.1874091299</v>
      </c>
      <c r="V249" s="27">
        <f t="shared" ca="1" si="6"/>
        <v>0.21455033199238338</v>
      </c>
    </row>
    <row r="250" spans="1:22" ht="12.75" customHeight="1" x14ac:dyDescent="0.2">
      <c r="A250" s="6" t="s">
        <v>364</v>
      </c>
      <c r="B250" s="6" t="s">
        <v>15</v>
      </c>
      <c r="C250" s="7">
        <v>194811</v>
      </c>
      <c r="D250" s="8">
        <v>115903.2</v>
      </c>
      <c r="E250" s="9" t="s">
        <v>7</v>
      </c>
      <c r="F250" s="36">
        <v>208</v>
      </c>
      <c r="G250" s="25"/>
      <c r="H250" s="14">
        <f t="shared" si="0"/>
        <v>0.55000000000000004</v>
      </c>
      <c r="I250" s="25">
        <f ca="1">IFERROR(__xludf.DUMMYFUNCTION("ROUND(D250*GOOGLEFINANCE(""RUBKZT"")*H250)"),497449)</f>
        <v>497449</v>
      </c>
      <c r="J250" s="26">
        <f ca="1">IFERROR(__xludf.DUMMYFUNCTION("ROUND(I250*GOOGLEFINANCE(""KZTEUR""))"),1042)</f>
        <v>1042</v>
      </c>
      <c r="K250" s="26">
        <f t="shared" ca="1" si="1"/>
        <v>5010</v>
      </c>
      <c r="L250" s="26">
        <f t="shared" ca="1" si="2"/>
        <v>951.9</v>
      </c>
      <c r="M250" s="26">
        <f t="shared" ref="M250:N250" si="251">M$3</f>
        <v>500</v>
      </c>
      <c r="N250" s="26">
        <f t="shared" si="251"/>
        <v>500</v>
      </c>
      <c r="O250" s="26">
        <f ca="1">IFERROR(__xludf.DUMMYFUNCTION("ROUND(GOOGLEFINANCE(""Currency:EURKZT"")*K250)"),2392624)</f>
        <v>2392624</v>
      </c>
      <c r="P250" s="26">
        <f ca="1">IFERROR(__xludf.DUMMYFUNCTION("ROUND(GOOGLEFINANCE(""Currency:EURKZT"")*M250)"),238785)</f>
        <v>238785</v>
      </c>
      <c r="Q250" s="26">
        <f ca="1">IFERROR(__xludf.DUMMYFUNCTION("ROUND(GOOGLEFINANCE(""Currency:EURKZT"")*N250)"),238785)</f>
        <v>238785</v>
      </c>
      <c r="R250" s="26">
        <f t="shared" ca="1" si="4"/>
        <v>287115</v>
      </c>
      <c r="S250" s="26">
        <f t="shared" ca="1" si="5"/>
        <v>3157309</v>
      </c>
      <c r="T250" s="26">
        <f ca="1">IFERROR(__xludf.DUMMYFUNCTION("ROUND(GOOGLEFINANCE(""Currency:EURKZT"")*L250+S250)"),3611908)</f>
        <v>3611908</v>
      </c>
      <c r="U250" s="26">
        <f ca="1">IFERROR(__xludf.DUMMYFUNCTION("D250*GOOGLEFINANCE(""RUBKZT"")*1000/F250"),4348333.02798041)</f>
        <v>4348333.0279804096</v>
      </c>
      <c r="V250" s="27">
        <f t="shared" ca="1" si="6"/>
        <v>0.20388809127486346</v>
      </c>
    </row>
    <row r="251" spans="1:22" ht="12.75" customHeight="1" x14ac:dyDescent="0.2">
      <c r="A251" s="6" t="s">
        <v>367</v>
      </c>
      <c r="B251" s="6" t="s">
        <v>15</v>
      </c>
      <c r="C251" s="7">
        <v>195024</v>
      </c>
      <c r="D251" s="8">
        <v>141975.6</v>
      </c>
      <c r="E251" s="9" t="s">
        <v>16</v>
      </c>
      <c r="F251" s="36">
        <v>208</v>
      </c>
      <c r="G251" s="25"/>
      <c r="H251" s="14">
        <f t="shared" si="0"/>
        <v>0.55000000000000004</v>
      </c>
      <c r="I251" s="25">
        <f ca="1">IFERROR(__xludf.DUMMYFUNCTION("ROUND(D251*GOOGLEFINANCE(""RUBKZT"")*H251)"),609350)</f>
        <v>609350</v>
      </c>
      <c r="J251" s="26">
        <f ca="1">IFERROR(__xludf.DUMMYFUNCTION("ROUND(I251*GOOGLEFINANCE(""KZTEUR""))"),1276)</f>
        <v>1276</v>
      </c>
      <c r="K251" s="26">
        <f t="shared" ca="1" si="1"/>
        <v>6135</v>
      </c>
      <c r="L251" s="26">
        <f t="shared" ca="1" si="2"/>
        <v>1165.6500000000001</v>
      </c>
      <c r="M251" s="26">
        <f t="shared" ref="M251:N251" si="252">M$3</f>
        <v>500</v>
      </c>
      <c r="N251" s="26">
        <f t="shared" si="252"/>
        <v>500</v>
      </c>
      <c r="O251" s="26">
        <f ca="1">IFERROR(__xludf.DUMMYFUNCTION("ROUND(GOOGLEFINANCE(""Currency:EURKZT"")*K251)"),2929890)</f>
        <v>2929890</v>
      </c>
      <c r="P251" s="26">
        <f ca="1">IFERROR(__xludf.DUMMYFUNCTION("ROUND(GOOGLEFINANCE(""Currency:EURKZT"")*M251)"),238785)</f>
        <v>238785</v>
      </c>
      <c r="Q251" s="26">
        <f ca="1">IFERROR(__xludf.DUMMYFUNCTION("ROUND(GOOGLEFINANCE(""Currency:EURKZT"")*N251)"),238785)</f>
        <v>238785</v>
      </c>
      <c r="R251" s="26">
        <f t="shared" ca="1" si="4"/>
        <v>351587</v>
      </c>
      <c r="S251" s="26">
        <f t="shared" ca="1" si="5"/>
        <v>3759047</v>
      </c>
      <c r="T251" s="26">
        <f ca="1">IFERROR(__xludf.DUMMYFUNCTION("ROUND(GOOGLEFINANCE(""Currency:EURKZT"")*L251+S251)"),4315726)</f>
        <v>4315726</v>
      </c>
      <c r="U251" s="26">
        <f ca="1">IFERROR(__xludf.DUMMYFUNCTION("D251*GOOGLEFINANCE(""RUBKZT"")*1000/F251"),5326489.6107039)</f>
        <v>5326489.6107039005</v>
      </c>
      <c r="V251" s="27">
        <f t="shared" ca="1" si="6"/>
        <v>0.23420476895518863</v>
      </c>
    </row>
    <row r="252" spans="1:22" ht="12.75" customHeight="1" x14ac:dyDescent="0.2">
      <c r="A252" s="6" t="s">
        <v>368</v>
      </c>
      <c r="B252" s="6" t="s">
        <v>15</v>
      </c>
      <c r="C252" s="7">
        <v>195025</v>
      </c>
      <c r="D252" s="8">
        <v>140846.39999999999</v>
      </c>
      <c r="E252" s="9" t="s">
        <v>7</v>
      </c>
      <c r="F252" s="36">
        <v>208</v>
      </c>
      <c r="G252" s="25"/>
      <c r="H252" s="14">
        <f t="shared" si="0"/>
        <v>0.55000000000000004</v>
      </c>
      <c r="I252" s="25">
        <f ca="1">IFERROR(__xludf.DUMMYFUNCTION("ROUND(D252*GOOGLEFINANCE(""RUBKZT"")*H252)"),604504)</f>
        <v>604504</v>
      </c>
      <c r="J252" s="26">
        <f ca="1">IFERROR(__xludf.DUMMYFUNCTION("ROUND(I252*GOOGLEFINANCE(""KZTEUR""))"),1266)</f>
        <v>1266</v>
      </c>
      <c r="K252" s="26">
        <f t="shared" ca="1" si="1"/>
        <v>6087</v>
      </c>
      <c r="L252" s="26">
        <f t="shared" ca="1" si="2"/>
        <v>1156.53</v>
      </c>
      <c r="M252" s="26">
        <f t="shared" ref="M252:N252" si="253">M$3</f>
        <v>500</v>
      </c>
      <c r="N252" s="26">
        <f t="shared" si="253"/>
        <v>500</v>
      </c>
      <c r="O252" s="26">
        <f ca="1">IFERROR(__xludf.DUMMYFUNCTION("ROUND(GOOGLEFINANCE(""Currency:EURKZT"")*K252)"),2906966)</f>
        <v>2906966</v>
      </c>
      <c r="P252" s="26">
        <f ca="1">IFERROR(__xludf.DUMMYFUNCTION("ROUND(GOOGLEFINANCE(""Currency:EURKZT"")*M252)"),238785)</f>
        <v>238785</v>
      </c>
      <c r="Q252" s="26">
        <f ca="1">IFERROR(__xludf.DUMMYFUNCTION("ROUND(GOOGLEFINANCE(""Currency:EURKZT"")*N252)"),238785)</f>
        <v>238785</v>
      </c>
      <c r="R252" s="26">
        <f t="shared" ca="1" si="4"/>
        <v>348836</v>
      </c>
      <c r="S252" s="26">
        <f t="shared" ca="1" si="5"/>
        <v>3733372</v>
      </c>
      <c r="T252" s="26">
        <f ca="1">IFERROR(__xludf.DUMMYFUNCTION("ROUND(GOOGLEFINANCE(""Currency:EURKZT"")*L252+S252)"),4285696)</f>
        <v>4285696</v>
      </c>
      <c r="U252" s="26">
        <f ca="1">IFERROR(__xludf.DUMMYFUNCTION("D252*GOOGLEFINANCE(""RUBKZT"")*1000/F252"),5284125.48568236)</f>
        <v>5284125.4856823599</v>
      </c>
      <c r="V252" s="27">
        <f t="shared" ca="1" si="6"/>
        <v>0.232967873988813</v>
      </c>
    </row>
    <row r="253" spans="1:22" ht="12.75" customHeight="1" x14ac:dyDescent="0.2">
      <c r="A253" s="6" t="s">
        <v>369</v>
      </c>
      <c r="B253" s="6" t="s">
        <v>15</v>
      </c>
      <c r="C253" s="7">
        <v>195415</v>
      </c>
      <c r="D253" s="8">
        <v>140977.19999999998</v>
      </c>
      <c r="E253" s="9" t="s">
        <v>7</v>
      </c>
      <c r="F253" s="36">
        <v>208</v>
      </c>
      <c r="G253" s="25"/>
      <c r="H253" s="14">
        <f t="shared" si="0"/>
        <v>0.55000000000000004</v>
      </c>
      <c r="I253" s="25">
        <f ca="1">IFERROR(__xludf.DUMMYFUNCTION("ROUND(D253*GOOGLEFINANCE(""RUBKZT"")*H253)"),605065)</f>
        <v>605065</v>
      </c>
      <c r="J253" s="26">
        <f ca="1">IFERROR(__xludf.DUMMYFUNCTION("ROUND(I253*GOOGLEFINANCE(""KZTEUR""))"),1267)</f>
        <v>1267</v>
      </c>
      <c r="K253" s="26">
        <f t="shared" ca="1" si="1"/>
        <v>6091</v>
      </c>
      <c r="L253" s="26">
        <f t="shared" ca="1" si="2"/>
        <v>1157.29</v>
      </c>
      <c r="M253" s="26">
        <f t="shared" ref="M253:N253" si="254">M$3</f>
        <v>500</v>
      </c>
      <c r="N253" s="26">
        <f t="shared" si="254"/>
        <v>500</v>
      </c>
      <c r="O253" s="26">
        <f ca="1">IFERROR(__xludf.DUMMYFUNCTION("ROUND(GOOGLEFINANCE(""Currency:EURKZT"")*K253)"),2908877)</f>
        <v>2908877</v>
      </c>
      <c r="P253" s="26">
        <f ca="1">IFERROR(__xludf.DUMMYFUNCTION("ROUND(GOOGLEFINANCE(""Currency:EURKZT"")*M253)"),238785)</f>
        <v>238785</v>
      </c>
      <c r="Q253" s="26">
        <f ca="1">IFERROR(__xludf.DUMMYFUNCTION("ROUND(GOOGLEFINANCE(""Currency:EURKZT"")*N253)"),238785)</f>
        <v>238785</v>
      </c>
      <c r="R253" s="26">
        <f t="shared" ca="1" si="4"/>
        <v>349065</v>
      </c>
      <c r="S253" s="26">
        <f t="shared" ca="1" si="5"/>
        <v>3735512</v>
      </c>
      <c r="T253" s="26">
        <f ca="1">IFERROR(__xludf.DUMMYFUNCTION("ROUND(GOOGLEFINANCE(""Currency:EURKZT"")*L253+S253)"),4288199)</f>
        <v>4288199</v>
      </c>
      <c r="U253" s="26">
        <f ca="1">IFERROR(__xludf.DUMMYFUNCTION("D253*GOOGLEFINANCE(""RUBKZT"")*1000/F253"),5289032.7010143)</f>
        <v>5289032.7010142999</v>
      </c>
      <c r="V253" s="27">
        <f t="shared" ca="1" si="6"/>
        <v>0.23339255034906259</v>
      </c>
    </row>
    <row r="254" spans="1:22" ht="12.75" customHeight="1" x14ac:dyDescent="0.2">
      <c r="A254" s="6" t="s">
        <v>372</v>
      </c>
      <c r="B254" s="6" t="s">
        <v>15</v>
      </c>
      <c r="C254" s="7">
        <v>196327</v>
      </c>
      <c r="D254" s="8">
        <v>104673.59999999999</v>
      </c>
      <c r="E254" s="9" t="s">
        <v>16</v>
      </c>
      <c r="F254" s="36">
        <v>208</v>
      </c>
      <c r="G254" s="25"/>
      <c r="H254" s="14">
        <f t="shared" si="0"/>
        <v>0.55000000000000004</v>
      </c>
      <c r="I254" s="25">
        <f ca="1">IFERROR(__xludf.DUMMYFUNCTION("ROUND(D254*GOOGLEFINANCE(""RUBKZT"")*H254)"),449253)</f>
        <v>449253</v>
      </c>
      <c r="J254" s="26">
        <f ca="1">IFERROR(__xludf.DUMMYFUNCTION("ROUND(I254*GOOGLEFINANCE(""KZTEUR""))"),941)</f>
        <v>941</v>
      </c>
      <c r="K254" s="26">
        <f t="shared" ca="1" si="1"/>
        <v>4524</v>
      </c>
      <c r="L254" s="26">
        <f t="shared" ca="1" si="2"/>
        <v>859.56000000000006</v>
      </c>
      <c r="M254" s="26">
        <f t="shared" ref="M254:N254" si="255">M$3</f>
        <v>500</v>
      </c>
      <c r="N254" s="26">
        <f t="shared" si="255"/>
        <v>500</v>
      </c>
      <c r="O254" s="26">
        <f ca="1">IFERROR(__xludf.DUMMYFUNCTION("ROUND(GOOGLEFINANCE(""Currency:EURKZT"")*K254)"),2160525)</f>
        <v>2160525</v>
      </c>
      <c r="P254" s="26">
        <f ca="1">IFERROR(__xludf.DUMMYFUNCTION("ROUND(GOOGLEFINANCE(""Currency:EURKZT"")*M254)"),238785)</f>
        <v>238785</v>
      </c>
      <c r="Q254" s="26">
        <f ca="1">IFERROR(__xludf.DUMMYFUNCTION("ROUND(GOOGLEFINANCE(""Currency:EURKZT"")*N254)"),238785)</f>
        <v>238785</v>
      </c>
      <c r="R254" s="26">
        <f t="shared" ca="1" si="4"/>
        <v>259263</v>
      </c>
      <c r="S254" s="26">
        <f t="shared" ca="1" si="5"/>
        <v>2897358</v>
      </c>
      <c r="T254" s="26">
        <f ca="1">IFERROR(__xludf.DUMMYFUNCTION("ROUND(GOOGLEFINANCE(""Currency:EURKZT"")*L254+S254)"),3307858)</f>
        <v>3307858</v>
      </c>
      <c r="U254" s="26">
        <f ca="1">IFERROR(__xludf.DUMMYFUNCTION("D254*GOOGLEFINANCE(""RUBKZT"")*1000/F254"),3927032.8346207)</f>
        <v>3927032.8346207002</v>
      </c>
      <c r="V254" s="27">
        <f t="shared" ca="1" si="6"/>
        <v>0.18718301529893369</v>
      </c>
    </row>
    <row r="255" spans="1:22" ht="12.75" customHeight="1" x14ac:dyDescent="0.2">
      <c r="A255" s="6" t="s">
        <v>373</v>
      </c>
      <c r="B255" s="6" t="s">
        <v>15</v>
      </c>
      <c r="C255" s="7">
        <v>196473</v>
      </c>
      <c r="D255" s="8">
        <v>109863.59999999999</v>
      </c>
      <c r="E255" s="9" t="s">
        <v>16</v>
      </c>
      <c r="F255" s="36">
        <v>208</v>
      </c>
      <c r="G255" s="25"/>
      <c r="H255" s="14">
        <f t="shared" si="0"/>
        <v>0.55000000000000004</v>
      </c>
      <c r="I255" s="25">
        <f ca="1">IFERROR(__xludf.DUMMYFUNCTION("ROUND(D255*GOOGLEFINANCE(""RUBKZT"")*H255)"),471528)</f>
        <v>471528</v>
      </c>
      <c r="J255" s="26">
        <f ca="1">IFERROR(__xludf.DUMMYFUNCTION("ROUND(I255*GOOGLEFINANCE(""KZTEUR""))"),988)</f>
        <v>988</v>
      </c>
      <c r="K255" s="26">
        <f t="shared" ca="1" si="1"/>
        <v>4750</v>
      </c>
      <c r="L255" s="26">
        <f t="shared" ca="1" si="2"/>
        <v>902.5</v>
      </c>
      <c r="M255" s="26">
        <f t="shared" ref="M255:N255" si="256">M$3</f>
        <v>500</v>
      </c>
      <c r="N255" s="26">
        <f t="shared" si="256"/>
        <v>500</v>
      </c>
      <c r="O255" s="26">
        <f ca="1">IFERROR(__xludf.DUMMYFUNCTION("ROUND(GOOGLEFINANCE(""Currency:EURKZT"")*K255)"),2268456)</f>
        <v>2268456</v>
      </c>
      <c r="P255" s="26">
        <f ca="1">IFERROR(__xludf.DUMMYFUNCTION("ROUND(GOOGLEFINANCE(""Currency:EURKZT"")*M255)"),238785)</f>
        <v>238785</v>
      </c>
      <c r="Q255" s="26">
        <f ca="1">IFERROR(__xludf.DUMMYFUNCTION("ROUND(GOOGLEFINANCE(""Currency:EURKZT"")*N255)"),238785)</f>
        <v>238785</v>
      </c>
      <c r="R255" s="26">
        <f t="shared" ca="1" si="4"/>
        <v>272215</v>
      </c>
      <c r="S255" s="26">
        <f t="shared" ca="1" si="5"/>
        <v>3018241</v>
      </c>
      <c r="T255" s="26">
        <f ca="1">IFERROR(__xludf.DUMMYFUNCTION("ROUND(GOOGLEFINANCE(""Currency:EURKZT"")*L255+S255)"),3449248)</f>
        <v>3449248</v>
      </c>
      <c r="U255" s="26">
        <f ca="1">IFERROR(__xludf.DUMMYFUNCTION("D255*GOOGLEFINANCE(""RUBKZT"")*1000/F255"),4121745.73655282)</f>
        <v>4121745.7365528201</v>
      </c>
      <c r="V255" s="27">
        <f t="shared" ca="1" si="6"/>
        <v>0.19496937783331905</v>
      </c>
    </row>
    <row r="256" spans="1:22" ht="12.75" customHeight="1" x14ac:dyDescent="0.2">
      <c r="A256" s="6" t="s">
        <v>377</v>
      </c>
      <c r="B256" s="6" t="s">
        <v>15</v>
      </c>
      <c r="C256" s="7">
        <v>197731</v>
      </c>
      <c r="D256" s="8">
        <v>113688</v>
      </c>
      <c r="E256" s="9" t="s">
        <v>16</v>
      </c>
      <c r="F256" s="36">
        <v>208</v>
      </c>
      <c r="G256" s="25"/>
      <c r="H256" s="14">
        <f t="shared" si="0"/>
        <v>0.55000000000000004</v>
      </c>
      <c r="I256" s="25">
        <f ca="1">IFERROR(__xludf.DUMMYFUNCTION("ROUND(D256*GOOGLEFINANCE(""RUBKZT"")*H256)"),487942)</f>
        <v>487942</v>
      </c>
      <c r="J256" s="26">
        <f ca="1">IFERROR(__xludf.DUMMYFUNCTION("ROUND(I256*GOOGLEFINANCE(""KZTEUR""))"),1022)</f>
        <v>1022</v>
      </c>
      <c r="K256" s="26">
        <f t="shared" ca="1" si="1"/>
        <v>4913</v>
      </c>
      <c r="L256" s="26">
        <f t="shared" ca="1" si="2"/>
        <v>933.47</v>
      </c>
      <c r="M256" s="26">
        <f t="shared" ref="M256:N256" si="257">M$3</f>
        <v>500</v>
      </c>
      <c r="N256" s="26">
        <f t="shared" si="257"/>
        <v>500</v>
      </c>
      <c r="O256" s="26">
        <f ca="1">IFERROR(__xludf.DUMMYFUNCTION("ROUND(GOOGLEFINANCE(""Currency:EURKZT"")*K256)"),2346300)</f>
        <v>2346300</v>
      </c>
      <c r="P256" s="26">
        <f ca="1">IFERROR(__xludf.DUMMYFUNCTION("ROUND(GOOGLEFINANCE(""Currency:EURKZT"")*M256)"),238785)</f>
        <v>238785</v>
      </c>
      <c r="Q256" s="26">
        <f ca="1">IFERROR(__xludf.DUMMYFUNCTION("ROUND(GOOGLEFINANCE(""Currency:EURKZT"")*N256)"),238785)</f>
        <v>238785</v>
      </c>
      <c r="R256" s="26">
        <f t="shared" ca="1" si="4"/>
        <v>281556</v>
      </c>
      <c r="S256" s="26">
        <f t="shared" ca="1" si="5"/>
        <v>3105426</v>
      </c>
      <c r="T256" s="26">
        <f ca="1">IFERROR(__xludf.DUMMYFUNCTION("ROUND(GOOGLEFINANCE(""Currency:EURKZT"")*L256+S256)"),3551223)</f>
        <v>3551223</v>
      </c>
      <c r="U256" s="26">
        <f ca="1">IFERROR(__xludf.DUMMYFUNCTION("D256*GOOGLEFINANCE(""RUBKZT"")*1000/F256"),4265225.50960661)</f>
        <v>4265225.5096066101</v>
      </c>
      <c r="V256" s="27">
        <f t="shared" ca="1" si="6"/>
        <v>0.20105820152849033</v>
      </c>
    </row>
    <row r="257" spans="1:22" ht="12.75" customHeight="1" x14ac:dyDescent="0.2">
      <c r="A257" s="6" t="s">
        <v>378</v>
      </c>
      <c r="B257" s="6" t="s">
        <v>15</v>
      </c>
      <c r="C257" s="7">
        <v>198151</v>
      </c>
      <c r="D257" s="8">
        <v>277088.39999999997</v>
      </c>
      <c r="E257" s="9" t="s">
        <v>16</v>
      </c>
      <c r="F257" s="36">
        <v>208</v>
      </c>
      <c r="G257" s="25"/>
      <c r="H257" s="14">
        <f t="shared" si="0"/>
        <v>0.55000000000000004</v>
      </c>
      <c r="I257" s="25">
        <f ca="1">IFERROR(__xludf.DUMMYFUNCTION("ROUND(D257*GOOGLEFINANCE(""RUBKZT"")*H257)"),1189246)</f>
        <v>1189246</v>
      </c>
      <c r="J257" s="26">
        <f ca="1">IFERROR(__xludf.DUMMYFUNCTION("ROUND(I257*GOOGLEFINANCE(""KZTEUR""))"),2491)</f>
        <v>2491</v>
      </c>
      <c r="K257" s="26">
        <f t="shared" ca="1" si="1"/>
        <v>11976</v>
      </c>
      <c r="L257" s="26">
        <f t="shared" ca="1" si="2"/>
        <v>2275.44</v>
      </c>
      <c r="M257" s="26">
        <f t="shared" ref="M257:N257" si="258">M$3</f>
        <v>500</v>
      </c>
      <c r="N257" s="26">
        <f t="shared" si="258"/>
        <v>500</v>
      </c>
      <c r="O257" s="26">
        <f ca="1">IFERROR(__xludf.DUMMYFUNCTION("ROUND(GOOGLEFINANCE(""Currency:EURKZT"")*K257)"),5719374)</f>
        <v>5719374</v>
      </c>
      <c r="P257" s="26">
        <f ca="1">IFERROR(__xludf.DUMMYFUNCTION("ROUND(GOOGLEFINANCE(""Currency:EURKZT"")*M257)"),238785)</f>
        <v>238785</v>
      </c>
      <c r="Q257" s="26">
        <f ca="1">IFERROR(__xludf.DUMMYFUNCTION("ROUND(GOOGLEFINANCE(""Currency:EURKZT"")*N257)"),238785)</f>
        <v>238785</v>
      </c>
      <c r="R257" s="26">
        <f t="shared" ca="1" si="4"/>
        <v>686325</v>
      </c>
      <c r="S257" s="26">
        <f t="shared" ca="1" si="5"/>
        <v>6883269</v>
      </c>
      <c r="T257" s="26">
        <f ca="1">IFERROR(__xludf.DUMMYFUNCTION("ROUND(GOOGLEFINANCE(""Currency:EURKZT"")*L257+S257)"),7969950)</f>
        <v>7969950</v>
      </c>
      <c r="U257" s="26">
        <f ca="1">IFERROR(__xludf.DUMMYFUNCTION("D257*GOOGLEFINANCE(""RUBKZT"")*1000/F257"),10395507.9876159)</f>
        <v>10395507.9876159</v>
      </c>
      <c r="V257" s="27">
        <f t="shared" ca="1" si="6"/>
        <v>0.3043379177555568</v>
      </c>
    </row>
    <row r="258" spans="1:22" ht="12.75" customHeight="1" x14ac:dyDescent="0.2">
      <c r="A258" s="6" t="s">
        <v>379</v>
      </c>
      <c r="B258" s="6" t="s">
        <v>15</v>
      </c>
      <c r="C258" s="7">
        <v>198154</v>
      </c>
      <c r="D258" s="8">
        <v>292353.59999999998</v>
      </c>
      <c r="E258" s="9" t="s">
        <v>16</v>
      </c>
      <c r="F258" s="36">
        <v>208</v>
      </c>
      <c r="G258" s="25"/>
      <c r="H258" s="14">
        <f t="shared" si="0"/>
        <v>0.55000000000000004</v>
      </c>
      <c r="I258" s="25">
        <f ca="1">IFERROR(__xludf.DUMMYFUNCTION("ROUND(D258*GOOGLEFINANCE(""RUBKZT"")*H258)"),1254763)</f>
        <v>1254763</v>
      </c>
      <c r="J258" s="26">
        <f ca="1">IFERROR(__xludf.DUMMYFUNCTION("ROUND(I258*GOOGLEFINANCE(""KZTEUR""))"),2628)</f>
        <v>2628</v>
      </c>
      <c r="K258" s="26">
        <f t="shared" ca="1" si="1"/>
        <v>12635</v>
      </c>
      <c r="L258" s="26">
        <f t="shared" ca="1" si="2"/>
        <v>2400.65</v>
      </c>
      <c r="M258" s="26">
        <f t="shared" ref="M258:N258" si="259">M$3</f>
        <v>500</v>
      </c>
      <c r="N258" s="26">
        <f t="shared" si="259"/>
        <v>500</v>
      </c>
      <c r="O258" s="26">
        <f ca="1">IFERROR(__xludf.DUMMYFUNCTION("ROUND(GOOGLEFINANCE(""Currency:EURKZT"")*K258)"),6034092)</f>
        <v>6034092</v>
      </c>
      <c r="P258" s="26">
        <f ca="1">IFERROR(__xludf.DUMMYFUNCTION("ROUND(GOOGLEFINANCE(""Currency:EURKZT"")*M258)"),238785)</f>
        <v>238785</v>
      </c>
      <c r="Q258" s="26">
        <f ca="1">IFERROR(__xludf.DUMMYFUNCTION("ROUND(GOOGLEFINANCE(""Currency:EURKZT"")*N258)"),238785)</f>
        <v>238785</v>
      </c>
      <c r="R258" s="26">
        <f t="shared" ca="1" si="4"/>
        <v>724091</v>
      </c>
      <c r="S258" s="26">
        <f t="shared" ca="1" si="5"/>
        <v>7235753</v>
      </c>
      <c r="T258" s="26">
        <f ca="1">IFERROR(__xludf.DUMMYFUNCTION("ROUND(GOOGLEFINANCE(""Currency:EURKZT"")*L258+S258)"),8382230)</f>
        <v>8382230</v>
      </c>
      <c r="U258" s="26">
        <f ca="1">IFERROR(__xludf.DUMMYFUNCTION("D258*GOOGLEFINANCE(""RUBKZT"")*1000/F258"),10968211.5310791)</f>
        <v>10968211.5310791</v>
      </c>
      <c r="V258" s="27">
        <f t="shared" ca="1" si="6"/>
        <v>0.30850758462594086</v>
      </c>
    </row>
    <row r="259" spans="1:22" ht="12.75" customHeight="1" x14ac:dyDescent="0.2">
      <c r="A259" s="6" t="s">
        <v>380</v>
      </c>
      <c r="B259" s="6" t="s">
        <v>15</v>
      </c>
      <c r="C259" s="7">
        <v>198155</v>
      </c>
      <c r="D259" s="8">
        <v>310916.39999999997</v>
      </c>
      <c r="E259" s="9" t="s">
        <v>16</v>
      </c>
      <c r="F259" s="36">
        <v>208</v>
      </c>
      <c r="G259" s="25"/>
      <c r="H259" s="14">
        <f t="shared" si="0"/>
        <v>0.55000000000000004</v>
      </c>
      <c r="I259" s="25">
        <f ca="1">IFERROR(__xludf.DUMMYFUNCTION("ROUND(D259*GOOGLEFINANCE(""RUBKZT"")*H259)"),1334434)</f>
        <v>1334434</v>
      </c>
      <c r="J259" s="26">
        <f ca="1">IFERROR(__xludf.DUMMYFUNCTION("ROUND(I259*GOOGLEFINANCE(""KZTEUR""))"),2795)</f>
        <v>2795</v>
      </c>
      <c r="K259" s="26">
        <f t="shared" ca="1" si="1"/>
        <v>13438</v>
      </c>
      <c r="L259" s="26">
        <f t="shared" ca="1" si="2"/>
        <v>2553.2200000000003</v>
      </c>
      <c r="M259" s="26">
        <f t="shared" ref="M259:N259" si="260">M$3</f>
        <v>500</v>
      </c>
      <c r="N259" s="26">
        <f t="shared" si="260"/>
        <v>500</v>
      </c>
      <c r="O259" s="26">
        <f ca="1">IFERROR(__xludf.DUMMYFUNCTION("ROUND(GOOGLEFINANCE(""Currency:EURKZT"")*K259)"),6417580)</f>
        <v>6417580</v>
      </c>
      <c r="P259" s="26">
        <f ca="1">IFERROR(__xludf.DUMMYFUNCTION("ROUND(GOOGLEFINANCE(""Currency:EURKZT"")*M259)"),238785)</f>
        <v>238785</v>
      </c>
      <c r="Q259" s="26">
        <f ca="1">IFERROR(__xludf.DUMMYFUNCTION("ROUND(GOOGLEFINANCE(""Currency:EURKZT"")*N259)"),238785)</f>
        <v>238785</v>
      </c>
      <c r="R259" s="26">
        <f t="shared" ca="1" si="4"/>
        <v>770110</v>
      </c>
      <c r="S259" s="26">
        <f t="shared" ca="1" si="5"/>
        <v>7665260</v>
      </c>
      <c r="T259" s="26">
        <f ca="1">IFERROR(__xludf.DUMMYFUNCTION("ROUND(GOOGLEFINANCE(""Currency:EURKZT"")*L259+S259)"),8884600)</f>
        <v>8884600</v>
      </c>
      <c r="U259" s="26">
        <f ca="1">IFERROR(__xludf.DUMMYFUNCTION("D259*GOOGLEFINANCE(""RUBKZT"")*1000/F259"),11664630.925296)</f>
        <v>11664630.925295999</v>
      </c>
      <c r="V259" s="27">
        <f t="shared" ca="1" si="6"/>
        <v>0.31290445549557655</v>
      </c>
    </row>
    <row r="260" spans="1:22" ht="12.75" customHeight="1" x14ac:dyDescent="0.2">
      <c r="A260" s="6" t="s">
        <v>381</v>
      </c>
      <c r="B260" s="6" t="s">
        <v>15</v>
      </c>
      <c r="C260" s="7">
        <v>198157</v>
      </c>
      <c r="D260" s="8">
        <v>330752.39999999997</v>
      </c>
      <c r="E260" s="9" t="s">
        <v>16</v>
      </c>
      <c r="F260" s="36">
        <v>208</v>
      </c>
      <c r="G260" s="25"/>
      <c r="H260" s="14">
        <f t="shared" ref="H260:H465" si="261">H$3+G260</f>
        <v>0.55000000000000004</v>
      </c>
      <c r="I260" s="25">
        <f ca="1">IFERROR(__xludf.DUMMYFUNCTION("ROUND(D260*GOOGLEFINANCE(""RUBKZT"")*H260)"),1419569)</f>
        <v>1419569</v>
      </c>
      <c r="J260" s="26">
        <f ca="1">IFERROR(__xludf.DUMMYFUNCTION("ROUND(I260*GOOGLEFINANCE(""KZTEUR""))"),2973)</f>
        <v>2973</v>
      </c>
      <c r="K260" s="26">
        <f t="shared" ref="K260:K465" ca="1" si="262">ROUND(J260/F260*1000,0)</f>
        <v>14293</v>
      </c>
      <c r="L260" s="26">
        <f t="shared" ref="L260:L465" ca="1" si="263">K260*L$3</f>
        <v>2715.67</v>
      </c>
      <c r="M260" s="26">
        <f t="shared" ref="M260:N260" si="264">M$3</f>
        <v>500</v>
      </c>
      <c r="N260" s="26">
        <f t="shared" si="264"/>
        <v>500</v>
      </c>
      <c r="O260" s="26">
        <f ca="1">IFERROR(__xludf.DUMMYFUNCTION("ROUND(GOOGLEFINANCE(""Currency:EURKZT"")*K260)"),6825903)</f>
        <v>6825903</v>
      </c>
      <c r="P260" s="26">
        <f ca="1">IFERROR(__xludf.DUMMYFUNCTION("ROUND(GOOGLEFINANCE(""Currency:EURKZT"")*M260)"),238785)</f>
        <v>238785</v>
      </c>
      <c r="Q260" s="26">
        <f ca="1">IFERROR(__xludf.DUMMYFUNCTION("ROUND(GOOGLEFINANCE(""Currency:EURKZT"")*N260)"),238785)</f>
        <v>238785</v>
      </c>
      <c r="R260" s="26">
        <f t="shared" ref="R260:R465" ca="1" si="265">ROUND(O260*R$3,0)</f>
        <v>819108</v>
      </c>
      <c r="S260" s="26">
        <f t="shared" ref="S260:S465" ca="1" si="266">SUM(O260:R260)</f>
        <v>8122581</v>
      </c>
      <c r="T260" s="26">
        <f ca="1">IFERROR(__xludf.DUMMYFUNCTION("ROUND(GOOGLEFINANCE(""Currency:EURKZT"")*L260+S260)"),9419502)</f>
        <v>9419502</v>
      </c>
      <c r="U260" s="26">
        <f ca="1">IFERROR(__xludf.DUMMYFUNCTION("D260*GOOGLEFINANCE(""RUBKZT"")*1000/F260"),12408816.8834319)</f>
        <v>12408816.8834319</v>
      </c>
      <c r="V260" s="27">
        <f t="shared" ref="V260:V465" ca="1" si="267">(U260-T260)/T260</f>
        <v>0.31735381376126892</v>
      </c>
    </row>
    <row r="261" spans="1:22" ht="12.75" customHeight="1" x14ac:dyDescent="0.2">
      <c r="A261" s="6" t="s">
        <v>382</v>
      </c>
      <c r="B261" s="6" t="s">
        <v>15</v>
      </c>
      <c r="C261" s="7">
        <v>198182</v>
      </c>
      <c r="D261" s="8">
        <v>118713.59999999999</v>
      </c>
      <c r="E261" s="9" t="s">
        <v>16</v>
      </c>
      <c r="F261" s="36">
        <v>208</v>
      </c>
      <c r="G261" s="25"/>
      <c r="H261" s="14">
        <f t="shared" si="261"/>
        <v>0.55000000000000004</v>
      </c>
      <c r="I261" s="25">
        <f ca="1">IFERROR(__xludf.DUMMYFUNCTION("ROUND(D261*GOOGLEFINANCE(""RUBKZT"")*H261)"),509511)</f>
        <v>509511</v>
      </c>
      <c r="J261" s="26">
        <f ca="1">IFERROR(__xludf.DUMMYFUNCTION("ROUND(I261*GOOGLEFINANCE(""KZTEUR""))"),1067)</f>
        <v>1067</v>
      </c>
      <c r="K261" s="26">
        <f t="shared" ca="1" si="262"/>
        <v>5130</v>
      </c>
      <c r="L261" s="26">
        <f t="shared" ca="1" si="263"/>
        <v>974.7</v>
      </c>
      <c r="M261" s="26">
        <f t="shared" ref="M261:N261" si="268">M$3</f>
        <v>500</v>
      </c>
      <c r="N261" s="26">
        <f t="shared" si="268"/>
        <v>500</v>
      </c>
      <c r="O261" s="26">
        <f ca="1">IFERROR(__xludf.DUMMYFUNCTION("ROUND(GOOGLEFINANCE(""Currency:EURKZT"")*K261)"),2449932)</f>
        <v>2449932</v>
      </c>
      <c r="P261" s="26">
        <f ca="1">IFERROR(__xludf.DUMMYFUNCTION("ROUND(GOOGLEFINANCE(""Currency:EURKZT"")*M261)"),238785)</f>
        <v>238785</v>
      </c>
      <c r="Q261" s="26">
        <f ca="1">IFERROR(__xludf.DUMMYFUNCTION("ROUND(GOOGLEFINANCE(""Currency:EURKZT"")*N261)"),238785)</f>
        <v>238785</v>
      </c>
      <c r="R261" s="26">
        <f t="shared" ca="1" si="265"/>
        <v>293992</v>
      </c>
      <c r="S261" s="26">
        <f t="shared" ca="1" si="266"/>
        <v>3221494</v>
      </c>
      <c r="T261" s="26">
        <f ca="1">IFERROR(__xludf.DUMMYFUNCTION("ROUND(GOOGLEFINANCE(""Currency:EURKZT"")*L261+S261)"),3686981)</f>
        <v>3686981</v>
      </c>
      <c r="U261" s="26">
        <f ca="1">IFERROR(__xludf.DUMMYFUNCTION("D261*GOOGLEFINANCE(""RUBKZT"")*1000/F261"),4453770.6271307)</f>
        <v>4453770.6271307003</v>
      </c>
      <c r="V261" s="27">
        <f t="shared" ca="1" si="267"/>
        <v>0.20797222093921836</v>
      </c>
    </row>
    <row r="262" spans="1:22" ht="12.75" customHeight="1" x14ac:dyDescent="0.2">
      <c r="A262" s="6" t="s">
        <v>383</v>
      </c>
      <c r="B262" s="6" t="s">
        <v>15</v>
      </c>
      <c r="C262" s="7">
        <v>198280</v>
      </c>
      <c r="D262" s="8">
        <v>111087.59999999999</v>
      </c>
      <c r="E262" s="9" t="s">
        <v>7</v>
      </c>
      <c r="F262" s="36">
        <v>208</v>
      </c>
      <c r="G262" s="25"/>
      <c r="H262" s="14">
        <f t="shared" si="261"/>
        <v>0.55000000000000004</v>
      </c>
      <c r="I262" s="25">
        <f ca="1">IFERROR(__xludf.DUMMYFUNCTION("ROUND(D262*GOOGLEFINANCE(""RUBKZT"")*H262)"),476781)</f>
        <v>476781</v>
      </c>
      <c r="J262" s="26">
        <f ca="1">IFERROR(__xludf.DUMMYFUNCTION("ROUND(I262*GOOGLEFINANCE(""KZTEUR""))"),999)</f>
        <v>999</v>
      </c>
      <c r="K262" s="26">
        <f t="shared" ca="1" si="262"/>
        <v>4803</v>
      </c>
      <c r="L262" s="26">
        <f t="shared" ca="1" si="263"/>
        <v>912.57</v>
      </c>
      <c r="M262" s="26">
        <f t="shared" ref="M262:N262" si="269">M$3</f>
        <v>500</v>
      </c>
      <c r="N262" s="26">
        <f t="shared" si="269"/>
        <v>500</v>
      </c>
      <c r="O262" s="26">
        <f ca="1">IFERROR(__xludf.DUMMYFUNCTION("ROUND(GOOGLEFINANCE(""Currency:EURKZT"")*K262)"),2293767)</f>
        <v>2293767</v>
      </c>
      <c r="P262" s="26">
        <f ca="1">IFERROR(__xludf.DUMMYFUNCTION("ROUND(GOOGLEFINANCE(""Currency:EURKZT"")*M262)"),238785)</f>
        <v>238785</v>
      </c>
      <c r="Q262" s="26">
        <f ca="1">IFERROR(__xludf.DUMMYFUNCTION("ROUND(GOOGLEFINANCE(""Currency:EURKZT"")*N262)"),238785)</f>
        <v>238785</v>
      </c>
      <c r="R262" s="26">
        <f t="shared" ca="1" si="265"/>
        <v>275252</v>
      </c>
      <c r="S262" s="26">
        <f t="shared" ca="1" si="266"/>
        <v>3046589</v>
      </c>
      <c r="T262" s="26">
        <f ca="1">IFERROR(__xludf.DUMMYFUNCTION("ROUND(GOOGLEFINANCE(""Currency:EURKZT"")*L262+S262)"),3482405)</f>
        <v>3482405</v>
      </c>
      <c r="U262" s="26">
        <f ca="1">IFERROR(__xludf.DUMMYFUNCTION("D262*GOOGLEFINANCE(""RUBKZT"")*1000/F262"),4167666.46718189)</f>
        <v>4167666.4671818898</v>
      </c>
      <c r="V262" s="27">
        <f t="shared" ca="1" si="267"/>
        <v>0.1967782228608935</v>
      </c>
    </row>
    <row r="263" spans="1:22" ht="12.75" customHeight="1" x14ac:dyDescent="0.2">
      <c r="A263" s="6" t="s">
        <v>384</v>
      </c>
      <c r="B263" s="6" t="s">
        <v>15</v>
      </c>
      <c r="C263" s="7">
        <v>198536</v>
      </c>
      <c r="D263" s="8">
        <v>91669.2</v>
      </c>
      <c r="E263" s="9" t="s">
        <v>7</v>
      </c>
      <c r="F263" s="36">
        <v>208</v>
      </c>
      <c r="G263" s="25"/>
      <c r="H263" s="14">
        <f t="shared" si="261"/>
        <v>0.55000000000000004</v>
      </c>
      <c r="I263" s="25">
        <f ca="1">IFERROR(__xludf.DUMMYFUNCTION("ROUND(D263*GOOGLEFINANCE(""RUBKZT"")*H263)"),393438)</f>
        <v>393438</v>
      </c>
      <c r="J263" s="26">
        <f ca="1">IFERROR(__xludf.DUMMYFUNCTION("ROUND(I263*GOOGLEFINANCE(""KZTEUR""))"),824)</f>
        <v>824</v>
      </c>
      <c r="K263" s="26">
        <f t="shared" ca="1" si="262"/>
        <v>3962</v>
      </c>
      <c r="L263" s="26">
        <f t="shared" ca="1" si="263"/>
        <v>752.78</v>
      </c>
      <c r="M263" s="26">
        <f t="shared" ref="M263:N263" si="270">M$3</f>
        <v>500</v>
      </c>
      <c r="N263" s="26">
        <f t="shared" si="270"/>
        <v>500</v>
      </c>
      <c r="O263" s="26">
        <f ca="1">IFERROR(__xludf.DUMMYFUNCTION("ROUND(GOOGLEFINANCE(""Currency:EURKZT"")*K263)"),1892131)</f>
        <v>1892131</v>
      </c>
      <c r="P263" s="26">
        <f ca="1">IFERROR(__xludf.DUMMYFUNCTION("ROUND(GOOGLEFINANCE(""Currency:EURKZT"")*M263)"),238785)</f>
        <v>238785</v>
      </c>
      <c r="Q263" s="26">
        <f ca="1">IFERROR(__xludf.DUMMYFUNCTION("ROUND(GOOGLEFINANCE(""Currency:EURKZT"")*N263)"),238785)</f>
        <v>238785</v>
      </c>
      <c r="R263" s="26">
        <f t="shared" ca="1" si="265"/>
        <v>227056</v>
      </c>
      <c r="S263" s="26">
        <f t="shared" ca="1" si="266"/>
        <v>2596757</v>
      </c>
      <c r="T263" s="26">
        <f ca="1">IFERROR(__xludf.DUMMYFUNCTION("ROUND(GOOGLEFINANCE(""Currency:EURKZT"")*L263+S263)"),2956262)</f>
        <v>2956262</v>
      </c>
      <c r="U263" s="26">
        <f ca="1">IFERROR(__xludf.DUMMYFUNCTION("D263*GOOGLEFINANCE(""RUBKZT"")*1000/F263"),3439147.58184883)</f>
        <v>3439147.58184883</v>
      </c>
      <c r="V263" s="27">
        <f t="shared" ca="1" si="267"/>
        <v>0.16334329699087224</v>
      </c>
    </row>
    <row r="264" spans="1:22" ht="12.75" customHeight="1" x14ac:dyDescent="0.2">
      <c r="A264" s="6" t="s">
        <v>270</v>
      </c>
      <c r="B264" s="6" t="s">
        <v>15</v>
      </c>
      <c r="C264" s="7">
        <v>199180</v>
      </c>
      <c r="D264" s="8">
        <v>302288.39999999997</v>
      </c>
      <c r="E264" s="9" t="s">
        <v>16</v>
      </c>
      <c r="F264" s="36">
        <v>208</v>
      </c>
      <c r="G264" s="25"/>
      <c r="H264" s="14">
        <f t="shared" si="261"/>
        <v>0.55000000000000004</v>
      </c>
      <c r="I264" s="25">
        <f ca="1">IFERROR(__xludf.DUMMYFUNCTION("ROUND(D264*GOOGLEFINANCE(""RUBKZT"")*H264)"),1297403)</f>
        <v>1297403</v>
      </c>
      <c r="J264" s="26">
        <f ca="1">IFERROR(__xludf.DUMMYFUNCTION("ROUND(I264*GOOGLEFINANCE(""KZTEUR""))"),2717)</f>
        <v>2717</v>
      </c>
      <c r="K264" s="26">
        <f t="shared" ca="1" si="262"/>
        <v>13063</v>
      </c>
      <c r="L264" s="26">
        <f t="shared" ca="1" si="263"/>
        <v>2481.9700000000003</v>
      </c>
      <c r="M264" s="26">
        <f t="shared" ref="M264:N264" si="271">M$3</f>
        <v>500</v>
      </c>
      <c r="N264" s="26">
        <f t="shared" si="271"/>
        <v>500</v>
      </c>
      <c r="O264" s="26">
        <f ca="1">IFERROR(__xludf.DUMMYFUNCTION("ROUND(GOOGLEFINANCE(""Currency:EURKZT"")*K264)"),6238492)</f>
        <v>6238492</v>
      </c>
      <c r="P264" s="26">
        <f ca="1">IFERROR(__xludf.DUMMYFUNCTION("ROUND(GOOGLEFINANCE(""Currency:EURKZT"")*M264)"),238785)</f>
        <v>238785</v>
      </c>
      <c r="Q264" s="26">
        <f ca="1">IFERROR(__xludf.DUMMYFUNCTION("ROUND(GOOGLEFINANCE(""Currency:EURKZT"")*N264)"),238785)</f>
        <v>238785</v>
      </c>
      <c r="R264" s="26">
        <f t="shared" ca="1" si="265"/>
        <v>748619</v>
      </c>
      <c r="S264" s="26">
        <f t="shared" ca="1" si="266"/>
        <v>7464681</v>
      </c>
      <c r="T264" s="26">
        <f ca="1">IFERROR(__xludf.DUMMYFUNCTION("ROUND(GOOGLEFINANCE(""Currency:EURKZT"")*L264+S264)"),8649994)</f>
        <v>8649994</v>
      </c>
      <c r="U264" s="26">
        <f ca="1">IFERROR(__xludf.DUMMYFUNCTION("D264*GOOGLEFINANCE(""RUBKZT"")*1000/F264"),11340934.7946851)</f>
        <v>11340934.794685099</v>
      </c>
      <c r="V264" s="27">
        <f t="shared" ca="1" si="267"/>
        <v>0.31109163713698523</v>
      </c>
    </row>
    <row r="265" spans="1:22" ht="12.75" customHeight="1" x14ac:dyDescent="0.2">
      <c r="A265" s="6" t="s">
        <v>387</v>
      </c>
      <c r="B265" s="6" t="s">
        <v>15</v>
      </c>
      <c r="C265" s="7">
        <v>199190</v>
      </c>
      <c r="D265" s="8">
        <v>82744.800000000003</v>
      </c>
      <c r="E265" s="9" t="s">
        <v>16</v>
      </c>
      <c r="F265" s="36">
        <v>208</v>
      </c>
      <c r="G265" s="25"/>
      <c r="H265" s="14">
        <f t="shared" si="261"/>
        <v>0.55000000000000004</v>
      </c>
      <c r="I265" s="25">
        <f ca="1">IFERROR(__xludf.DUMMYFUNCTION("ROUND(D265*GOOGLEFINANCE(""RUBKZT"")*H265)"),355136)</f>
        <v>355136</v>
      </c>
      <c r="J265" s="26">
        <f ca="1">IFERROR(__xludf.DUMMYFUNCTION("ROUND(I265*GOOGLEFINANCE(""KZTEUR""))"),744)</f>
        <v>744</v>
      </c>
      <c r="K265" s="26">
        <f t="shared" ca="1" si="262"/>
        <v>3577</v>
      </c>
      <c r="L265" s="26">
        <f t="shared" ca="1" si="263"/>
        <v>679.63</v>
      </c>
      <c r="M265" s="26">
        <f t="shared" ref="M265:N265" si="272">M$3</f>
        <v>500</v>
      </c>
      <c r="N265" s="26">
        <f t="shared" si="272"/>
        <v>500</v>
      </c>
      <c r="O265" s="26">
        <f ca="1">IFERROR(__xludf.DUMMYFUNCTION("ROUND(GOOGLEFINANCE(""Currency:EURKZT"")*K265)"),1708267)</f>
        <v>1708267</v>
      </c>
      <c r="P265" s="26">
        <f ca="1">IFERROR(__xludf.DUMMYFUNCTION("ROUND(GOOGLEFINANCE(""Currency:EURKZT"")*M265)"),238785)</f>
        <v>238785</v>
      </c>
      <c r="Q265" s="26">
        <f ca="1">IFERROR(__xludf.DUMMYFUNCTION("ROUND(GOOGLEFINANCE(""Currency:EURKZT"")*N265)"),238785)</f>
        <v>238785</v>
      </c>
      <c r="R265" s="26">
        <f t="shared" ca="1" si="265"/>
        <v>204992</v>
      </c>
      <c r="S265" s="26">
        <f t="shared" ca="1" si="266"/>
        <v>2390829</v>
      </c>
      <c r="T265" s="26">
        <f ca="1">IFERROR(__xludf.DUMMYFUNCTION("ROUND(GOOGLEFINANCE(""Currency:EURKZT"")*L265+S265)"),2715400)</f>
        <v>2715400</v>
      </c>
      <c r="U265" s="26">
        <f ca="1">IFERROR(__xludf.DUMMYFUNCTION("D265*GOOGLEFINANCE(""RUBKZT"")*1000/F265"),3104331.43117389)</f>
        <v>3104331.4311738899</v>
      </c>
      <c r="V265" s="27">
        <f t="shared" ca="1" si="267"/>
        <v>0.14323172688145022</v>
      </c>
    </row>
    <row r="266" spans="1:22" ht="12.75" customHeight="1" x14ac:dyDescent="0.2">
      <c r="A266" s="6" t="s">
        <v>388</v>
      </c>
      <c r="B266" s="6" t="s">
        <v>15</v>
      </c>
      <c r="C266" s="7">
        <v>199239</v>
      </c>
      <c r="D266" s="8">
        <v>130372.79999999999</v>
      </c>
      <c r="E266" s="9" t="s">
        <v>16</v>
      </c>
      <c r="F266" s="36">
        <v>208</v>
      </c>
      <c r="G266" s="25"/>
      <c r="H266" s="14">
        <f t="shared" si="261"/>
        <v>0.55000000000000004</v>
      </c>
      <c r="I266" s="25">
        <f ca="1">IFERROR(__xludf.DUMMYFUNCTION("ROUND(D266*GOOGLEFINANCE(""RUBKZT"")*H266)"),559552)</f>
        <v>559552</v>
      </c>
      <c r="J266" s="26">
        <f ca="1">IFERROR(__xludf.DUMMYFUNCTION("ROUND(I266*GOOGLEFINANCE(""KZTEUR""))"),1172)</f>
        <v>1172</v>
      </c>
      <c r="K266" s="26">
        <f t="shared" ca="1" si="262"/>
        <v>5635</v>
      </c>
      <c r="L266" s="26">
        <f t="shared" ca="1" si="263"/>
        <v>1070.6500000000001</v>
      </c>
      <c r="M266" s="26">
        <f t="shared" ref="M266:N266" si="273">M$3</f>
        <v>500</v>
      </c>
      <c r="N266" s="26">
        <f t="shared" si="273"/>
        <v>500</v>
      </c>
      <c r="O266" s="26">
        <f ca="1">IFERROR(__xludf.DUMMYFUNCTION("ROUND(GOOGLEFINANCE(""Currency:EURKZT"")*K266)"),2691105)</f>
        <v>2691105</v>
      </c>
      <c r="P266" s="26">
        <f ca="1">IFERROR(__xludf.DUMMYFUNCTION("ROUND(GOOGLEFINANCE(""Currency:EURKZT"")*M266)"),238785)</f>
        <v>238785</v>
      </c>
      <c r="Q266" s="26">
        <f ca="1">IFERROR(__xludf.DUMMYFUNCTION("ROUND(GOOGLEFINANCE(""Currency:EURKZT"")*N266)"),238785)</f>
        <v>238785</v>
      </c>
      <c r="R266" s="26">
        <f t="shared" ca="1" si="265"/>
        <v>322933</v>
      </c>
      <c r="S266" s="26">
        <f t="shared" ca="1" si="266"/>
        <v>3491608</v>
      </c>
      <c r="T266" s="26">
        <f ca="1">IFERROR(__xludf.DUMMYFUNCTION("ROUND(GOOGLEFINANCE(""Currency:EURKZT"")*L266+S266)"),4002918)</f>
        <v>4002918</v>
      </c>
      <c r="U266" s="26">
        <f ca="1">IFERROR(__xludf.DUMMYFUNCTION("D266*GOOGLEFINANCE(""RUBKZT"")*1000/F266"),4891188.09653473)</f>
        <v>4891188.0965347299</v>
      </c>
      <c r="V266" s="27">
        <f t="shared" ca="1" si="267"/>
        <v>0.22190564396640899</v>
      </c>
    </row>
    <row r="267" spans="1:22" ht="12.75" customHeight="1" x14ac:dyDescent="0.2">
      <c r="A267" s="6" t="s">
        <v>393</v>
      </c>
      <c r="B267" s="6" t="s">
        <v>15</v>
      </c>
      <c r="C267" s="7">
        <v>199430</v>
      </c>
      <c r="D267" s="8">
        <v>123733.2</v>
      </c>
      <c r="E267" s="9" t="s">
        <v>16</v>
      </c>
      <c r="F267" s="36">
        <v>208</v>
      </c>
      <c r="G267" s="25"/>
      <c r="H267" s="14">
        <f t="shared" si="261"/>
        <v>0.55000000000000004</v>
      </c>
      <c r="I267" s="25">
        <f ca="1">IFERROR(__xludf.DUMMYFUNCTION("ROUND(D267*GOOGLEFINANCE(""RUBKZT"")*H267)"),531055)</f>
        <v>531055</v>
      </c>
      <c r="J267" s="26">
        <f ca="1">IFERROR(__xludf.DUMMYFUNCTION("ROUND(I267*GOOGLEFINANCE(""KZTEUR""))"),1112)</f>
        <v>1112</v>
      </c>
      <c r="K267" s="26">
        <f t="shared" ca="1" si="262"/>
        <v>5346</v>
      </c>
      <c r="L267" s="26">
        <f t="shared" ca="1" si="263"/>
        <v>1015.74</v>
      </c>
      <c r="M267" s="26">
        <f t="shared" ref="M267:N267" si="274">M$3</f>
        <v>500</v>
      </c>
      <c r="N267" s="26">
        <f t="shared" si="274"/>
        <v>500</v>
      </c>
      <c r="O267" s="26">
        <f ca="1">IFERROR(__xludf.DUMMYFUNCTION("ROUND(GOOGLEFINANCE(""Currency:EURKZT"")*K267)"),2553087)</f>
        <v>2553087</v>
      </c>
      <c r="P267" s="26">
        <f ca="1">IFERROR(__xludf.DUMMYFUNCTION("ROUND(GOOGLEFINANCE(""Currency:EURKZT"")*M267)"),238785)</f>
        <v>238785</v>
      </c>
      <c r="Q267" s="26">
        <f ca="1">IFERROR(__xludf.DUMMYFUNCTION("ROUND(GOOGLEFINANCE(""Currency:EURKZT"")*N267)"),238785)</f>
        <v>238785</v>
      </c>
      <c r="R267" s="26">
        <f t="shared" ca="1" si="265"/>
        <v>306370</v>
      </c>
      <c r="S267" s="26">
        <f t="shared" ca="1" si="266"/>
        <v>3337027</v>
      </c>
      <c r="T267" s="26">
        <f ca="1">IFERROR(__xludf.DUMMYFUNCTION("ROUND(GOOGLEFINANCE(""Currency:EURKZT"")*L267+S267)"),3822114)</f>
        <v>3822114</v>
      </c>
      <c r="U267" s="26">
        <f ca="1">IFERROR(__xludf.DUMMYFUNCTION("D267*GOOGLEFINANCE(""RUBKZT"")*1000/F267"),4642090.64303406)</f>
        <v>4642090.6430340596</v>
      </c>
      <c r="V267" s="27">
        <f t="shared" ca="1" si="267"/>
        <v>0.21453484721650362</v>
      </c>
    </row>
    <row r="268" spans="1:22" ht="12.75" customHeight="1" x14ac:dyDescent="0.2">
      <c r="A268" s="6" t="s">
        <v>394</v>
      </c>
      <c r="B268" s="6" t="s">
        <v>15</v>
      </c>
      <c r="C268" s="7">
        <v>199433</v>
      </c>
      <c r="D268" s="8">
        <v>92767.2</v>
      </c>
      <c r="E268" s="9" t="s">
        <v>16</v>
      </c>
      <c r="F268" s="36">
        <v>208</v>
      </c>
      <c r="G268" s="25"/>
      <c r="H268" s="14">
        <f t="shared" si="261"/>
        <v>0.55000000000000004</v>
      </c>
      <c r="I268" s="25">
        <f ca="1">IFERROR(__xludf.DUMMYFUNCTION("ROUND(D268*GOOGLEFINANCE(""RUBKZT"")*H268)"),398151)</f>
        <v>398151</v>
      </c>
      <c r="J268" s="26">
        <f ca="1">IFERROR(__xludf.DUMMYFUNCTION("ROUND(I268*GOOGLEFINANCE(""KZTEUR""))"),834)</f>
        <v>834</v>
      </c>
      <c r="K268" s="26">
        <f t="shared" ca="1" si="262"/>
        <v>4010</v>
      </c>
      <c r="L268" s="26">
        <f t="shared" ca="1" si="263"/>
        <v>761.9</v>
      </c>
      <c r="M268" s="26">
        <f t="shared" ref="M268:N268" si="275">M$3</f>
        <v>500</v>
      </c>
      <c r="N268" s="26">
        <f t="shared" si="275"/>
        <v>500</v>
      </c>
      <c r="O268" s="26">
        <f ca="1">IFERROR(__xludf.DUMMYFUNCTION("ROUND(GOOGLEFINANCE(""Currency:EURKZT"")*K268)"),1915054)</f>
        <v>1915054</v>
      </c>
      <c r="P268" s="26">
        <f ca="1">IFERROR(__xludf.DUMMYFUNCTION("ROUND(GOOGLEFINANCE(""Currency:EURKZT"")*M268)"),238785)</f>
        <v>238785</v>
      </c>
      <c r="Q268" s="26">
        <f ca="1">IFERROR(__xludf.DUMMYFUNCTION("ROUND(GOOGLEFINANCE(""Currency:EURKZT"")*N268)"),238785)</f>
        <v>238785</v>
      </c>
      <c r="R268" s="26">
        <f t="shared" ca="1" si="265"/>
        <v>229806</v>
      </c>
      <c r="S268" s="26">
        <f t="shared" ca="1" si="266"/>
        <v>2622430</v>
      </c>
      <c r="T268" s="26">
        <f ca="1">IFERROR(__xludf.DUMMYFUNCTION("ROUND(GOOGLEFINANCE(""Currency:EURKZT"")*L268+S268)"),2986290)</f>
        <v>2986290</v>
      </c>
      <c r="U268" s="26">
        <f ca="1">IFERROR(__xludf.DUMMYFUNCTION("D268*GOOGLEFINANCE(""RUBKZT"")*1000/F268"),3480341.17844256)</f>
        <v>3480341.1784425601</v>
      </c>
      <c r="V268" s="27">
        <f t="shared" ca="1" si="267"/>
        <v>0.1654397859694002</v>
      </c>
    </row>
    <row r="269" spans="1:22" ht="12.75" customHeight="1" x14ac:dyDescent="0.2">
      <c r="A269" s="6" t="s">
        <v>395</v>
      </c>
      <c r="B269" s="6" t="s">
        <v>15</v>
      </c>
      <c r="C269" s="7">
        <v>199506</v>
      </c>
      <c r="D269" s="8">
        <v>241923.59999999998</v>
      </c>
      <c r="E269" s="9" t="s">
        <v>16</v>
      </c>
      <c r="F269" s="36">
        <v>208</v>
      </c>
      <c r="G269" s="25"/>
      <c r="H269" s="14">
        <f t="shared" si="261"/>
        <v>0.55000000000000004</v>
      </c>
      <c r="I269" s="25">
        <f ca="1">IFERROR(__xludf.DUMMYFUNCTION("ROUND(D269*GOOGLEFINANCE(""RUBKZT"")*H269)"),1038321)</f>
        <v>1038321</v>
      </c>
      <c r="J269" s="26">
        <f ca="1">IFERROR(__xludf.DUMMYFUNCTION("ROUND(I269*GOOGLEFINANCE(""KZTEUR""))"),2175)</f>
        <v>2175</v>
      </c>
      <c r="K269" s="26">
        <f t="shared" ca="1" si="262"/>
        <v>10457</v>
      </c>
      <c r="L269" s="26">
        <f t="shared" ca="1" si="263"/>
        <v>1986.83</v>
      </c>
      <c r="M269" s="26">
        <f t="shared" ref="M269:N269" si="276">M$3</f>
        <v>500</v>
      </c>
      <c r="N269" s="26">
        <f t="shared" si="276"/>
        <v>500</v>
      </c>
      <c r="O269" s="26">
        <f ca="1">IFERROR(__xludf.DUMMYFUNCTION("ROUND(GOOGLEFINANCE(""Currency:EURKZT"")*K269)"),4993945)</f>
        <v>4993945</v>
      </c>
      <c r="P269" s="26">
        <f ca="1">IFERROR(__xludf.DUMMYFUNCTION("ROUND(GOOGLEFINANCE(""Currency:EURKZT"")*M269)"),238785)</f>
        <v>238785</v>
      </c>
      <c r="Q269" s="26">
        <f ca="1">IFERROR(__xludf.DUMMYFUNCTION("ROUND(GOOGLEFINANCE(""Currency:EURKZT"")*N269)"),238785)</f>
        <v>238785</v>
      </c>
      <c r="R269" s="26">
        <f t="shared" ca="1" si="265"/>
        <v>599273</v>
      </c>
      <c r="S269" s="26">
        <f t="shared" ca="1" si="266"/>
        <v>6070788</v>
      </c>
      <c r="T269" s="26">
        <f ca="1">IFERROR(__xludf.DUMMYFUNCTION("ROUND(GOOGLEFINANCE(""Currency:EURKZT"")*L269+S269)"),7019638)</f>
        <v>7019638</v>
      </c>
      <c r="U269" s="26">
        <f ca="1">IFERROR(__xludf.DUMMYFUNCTION("D269*GOOGLEFINANCE(""RUBKZT"")*1000/F269"),9076232.40883705)</f>
        <v>9076232.4088370502</v>
      </c>
      <c r="V269" s="27">
        <f t="shared" ca="1" si="267"/>
        <v>0.29297727444592586</v>
      </c>
    </row>
    <row r="270" spans="1:22" ht="12.75" customHeight="1" x14ac:dyDescent="0.2">
      <c r="A270" s="6" t="s">
        <v>396</v>
      </c>
      <c r="B270" s="6" t="s">
        <v>15</v>
      </c>
      <c r="C270" s="7">
        <v>199603</v>
      </c>
      <c r="D270" s="8">
        <v>120694.79999999999</v>
      </c>
      <c r="E270" s="9" t="s">
        <v>7</v>
      </c>
      <c r="F270" s="36">
        <v>208</v>
      </c>
      <c r="G270" s="25"/>
      <c r="H270" s="14">
        <f t="shared" si="261"/>
        <v>0.55000000000000004</v>
      </c>
      <c r="I270" s="25">
        <f ca="1">IFERROR(__xludf.DUMMYFUNCTION("ROUND(D270*GOOGLEFINANCE(""RUBKZT"")*H270)"),518015)</f>
        <v>518015</v>
      </c>
      <c r="J270" s="26">
        <f ca="1">IFERROR(__xludf.DUMMYFUNCTION("ROUND(I270*GOOGLEFINANCE(""KZTEUR""))"),1085)</f>
        <v>1085</v>
      </c>
      <c r="K270" s="26">
        <f t="shared" ca="1" si="262"/>
        <v>5216</v>
      </c>
      <c r="L270" s="26">
        <f t="shared" ca="1" si="263"/>
        <v>991.04</v>
      </c>
      <c r="M270" s="26">
        <f t="shared" ref="M270:N270" si="277">M$3</f>
        <v>500</v>
      </c>
      <c r="N270" s="26">
        <f t="shared" si="277"/>
        <v>500</v>
      </c>
      <c r="O270" s="26">
        <f ca="1">IFERROR(__xludf.DUMMYFUNCTION("ROUND(GOOGLEFINANCE(""Currency:EURKZT"")*K270)"),2491003)</f>
        <v>2491003</v>
      </c>
      <c r="P270" s="26">
        <f ca="1">IFERROR(__xludf.DUMMYFUNCTION("ROUND(GOOGLEFINANCE(""Currency:EURKZT"")*M270)"),238785)</f>
        <v>238785</v>
      </c>
      <c r="Q270" s="26">
        <f ca="1">IFERROR(__xludf.DUMMYFUNCTION("ROUND(GOOGLEFINANCE(""Currency:EURKZT"")*N270)"),238785)</f>
        <v>238785</v>
      </c>
      <c r="R270" s="26">
        <f t="shared" ca="1" si="265"/>
        <v>298920</v>
      </c>
      <c r="S270" s="26">
        <f t="shared" ca="1" si="266"/>
        <v>3267493</v>
      </c>
      <c r="T270" s="26">
        <f ca="1">IFERROR(__xludf.DUMMYFUNCTION("ROUND(GOOGLEFINANCE(""Currency:EURKZT"")*L270+S270)"),3740784)</f>
        <v>3740784</v>
      </c>
      <c r="U270" s="26">
        <f ca="1">IFERROR(__xludf.DUMMYFUNCTION("D270*GOOGLEFINANCE(""RUBKZT"")*1000/F270"),4528099.182296)</f>
        <v>4528099.1822960004</v>
      </c>
      <c r="V270" s="27">
        <f t="shared" ca="1" si="267"/>
        <v>0.2104679613407244</v>
      </c>
    </row>
    <row r="271" spans="1:22" ht="12.75" customHeight="1" x14ac:dyDescent="0.2">
      <c r="A271" s="6" t="s">
        <v>397</v>
      </c>
      <c r="B271" s="6" t="s">
        <v>15</v>
      </c>
      <c r="C271" s="7">
        <v>199635</v>
      </c>
      <c r="D271" s="8">
        <v>262580.39999999997</v>
      </c>
      <c r="E271" s="9" t="s">
        <v>16</v>
      </c>
      <c r="F271" s="36">
        <v>208</v>
      </c>
      <c r="G271" s="25"/>
      <c r="H271" s="14">
        <f t="shared" si="261"/>
        <v>0.55000000000000004</v>
      </c>
      <c r="I271" s="25">
        <f ca="1">IFERROR(__xludf.DUMMYFUNCTION("ROUND(D271*GOOGLEFINANCE(""RUBKZT"")*H271)"),1126979)</f>
        <v>1126979</v>
      </c>
      <c r="J271" s="26">
        <f ca="1">IFERROR(__xludf.DUMMYFUNCTION("ROUND(I271*GOOGLEFINANCE(""KZTEUR""))"),2360)</f>
        <v>2360</v>
      </c>
      <c r="K271" s="26">
        <f t="shared" ca="1" si="262"/>
        <v>11346</v>
      </c>
      <c r="L271" s="26">
        <f t="shared" ca="1" si="263"/>
        <v>2155.7400000000002</v>
      </c>
      <c r="M271" s="26">
        <f t="shared" ref="M271:N271" si="278">M$3</f>
        <v>500</v>
      </c>
      <c r="N271" s="26">
        <f t="shared" si="278"/>
        <v>500</v>
      </c>
      <c r="O271" s="26">
        <f ca="1">IFERROR(__xludf.DUMMYFUNCTION("ROUND(GOOGLEFINANCE(""Currency:EURKZT"")*K271)"),5418505)</f>
        <v>5418505</v>
      </c>
      <c r="P271" s="26">
        <f ca="1">IFERROR(__xludf.DUMMYFUNCTION("ROUND(GOOGLEFINANCE(""Currency:EURKZT"")*M271)"),238785)</f>
        <v>238785</v>
      </c>
      <c r="Q271" s="26">
        <f ca="1">IFERROR(__xludf.DUMMYFUNCTION("ROUND(GOOGLEFINANCE(""Currency:EURKZT"")*N271)"),238785)</f>
        <v>238785</v>
      </c>
      <c r="R271" s="26">
        <f t="shared" ca="1" si="265"/>
        <v>650221</v>
      </c>
      <c r="S271" s="26">
        <f t="shared" ca="1" si="266"/>
        <v>6546296</v>
      </c>
      <c r="T271" s="26">
        <f ca="1">IFERROR(__xludf.DUMMYFUNCTION("ROUND(GOOGLEFINANCE(""Currency:EURKZT"")*L271+S271)"),7575812)</f>
        <v>7575812</v>
      </c>
      <c r="U271" s="26">
        <f ca="1">IFERROR(__xludf.DUMMYFUNCTION("D271*GOOGLEFINANCE(""RUBKZT"")*1000/F271"),9851212.26868894)</f>
        <v>9851212.2686889395</v>
      </c>
      <c r="V271" s="27">
        <f t="shared" ca="1" si="267"/>
        <v>0.3003506777476711</v>
      </c>
    </row>
    <row r="272" spans="1:22" ht="12.75" customHeight="1" x14ac:dyDescent="0.2">
      <c r="A272" s="6" t="s">
        <v>398</v>
      </c>
      <c r="B272" s="6" t="s">
        <v>15</v>
      </c>
      <c r="C272" s="7">
        <v>199641</v>
      </c>
      <c r="D272" s="8">
        <v>274812</v>
      </c>
      <c r="E272" s="9" t="s">
        <v>16</v>
      </c>
      <c r="F272" s="36">
        <v>208</v>
      </c>
      <c r="G272" s="25"/>
      <c r="H272" s="14">
        <f t="shared" si="261"/>
        <v>0.55000000000000004</v>
      </c>
      <c r="I272" s="25">
        <f ca="1">IFERROR(__xludf.DUMMYFUNCTION("ROUND(D272*GOOGLEFINANCE(""RUBKZT"")*H272)"),1179476)</f>
        <v>1179476</v>
      </c>
      <c r="J272" s="26">
        <f ca="1">IFERROR(__xludf.DUMMYFUNCTION("ROUND(I272*GOOGLEFINANCE(""KZTEUR""))"),2470)</f>
        <v>2470</v>
      </c>
      <c r="K272" s="26">
        <f t="shared" ca="1" si="262"/>
        <v>11875</v>
      </c>
      <c r="L272" s="26">
        <f t="shared" ca="1" si="263"/>
        <v>2256.25</v>
      </c>
      <c r="M272" s="26">
        <f t="shared" ref="M272:N272" si="279">M$3</f>
        <v>500</v>
      </c>
      <c r="N272" s="26">
        <f t="shared" si="279"/>
        <v>500</v>
      </c>
      <c r="O272" s="26">
        <f ca="1">IFERROR(__xludf.DUMMYFUNCTION("ROUND(GOOGLEFINANCE(""Currency:EURKZT"")*K272)"),5671139)</f>
        <v>5671139</v>
      </c>
      <c r="P272" s="26">
        <f ca="1">IFERROR(__xludf.DUMMYFUNCTION("ROUND(GOOGLEFINANCE(""Currency:EURKZT"")*M272)"),238785)</f>
        <v>238785</v>
      </c>
      <c r="Q272" s="26">
        <f ca="1">IFERROR(__xludf.DUMMYFUNCTION("ROUND(GOOGLEFINANCE(""Currency:EURKZT"")*N272)"),238785)</f>
        <v>238785</v>
      </c>
      <c r="R272" s="26">
        <f t="shared" ca="1" si="265"/>
        <v>680537</v>
      </c>
      <c r="S272" s="26">
        <f t="shared" ca="1" si="266"/>
        <v>6829246</v>
      </c>
      <c r="T272" s="26">
        <f ca="1">IFERROR(__xludf.DUMMYFUNCTION("ROUND(GOOGLEFINANCE(""Currency:EURKZT"")*L272+S272)"),7906762)</f>
        <v>7906762</v>
      </c>
      <c r="U272" s="26">
        <f ca="1">IFERROR(__xludf.DUMMYFUNCTION("D272*GOOGLEFINANCE(""RUBKZT"")*1000/F272"),10310104.4327106)</f>
        <v>10310104.432710599</v>
      </c>
      <c r="V272" s="27">
        <f t="shared" ca="1" si="267"/>
        <v>0.30396038640224649</v>
      </c>
    </row>
    <row r="273" spans="1:22" ht="12.75" customHeight="1" x14ac:dyDescent="0.2">
      <c r="A273" s="6" t="s">
        <v>399</v>
      </c>
      <c r="B273" s="6" t="s">
        <v>15</v>
      </c>
      <c r="C273" s="7">
        <v>199648</v>
      </c>
      <c r="D273" s="8">
        <v>229886.4</v>
      </c>
      <c r="E273" s="9" t="s">
        <v>16</v>
      </c>
      <c r="F273" s="36">
        <v>208</v>
      </c>
      <c r="G273" s="25"/>
      <c r="H273" s="14">
        <f t="shared" si="261"/>
        <v>0.55000000000000004</v>
      </c>
      <c r="I273" s="25">
        <f ca="1">IFERROR(__xludf.DUMMYFUNCTION("ROUND(D273*GOOGLEFINANCE(""RUBKZT"")*H273)"),986658)</f>
        <v>986658</v>
      </c>
      <c r="J273" s="26">
        <f ca="1">IFERROR(__xludf.DUMMYFUNCTION("ROUND(I273*GOOGLEFINANCE(""KZTEUR""))"),2066)</f>
        <v>2066</v>
      </c>
      <c r="K273" s="26">
        <f t="shared" ca="1" si="262"/>
        <v>9933</v>
      </c>
      <c r="L273" s="26">
        <f t="shared" ca="1" si="263"/>
        <v>1887.27</v>
      </c>
      <c r="M273" s="26">
        <f t="shared" ref="M273:N273" si="280">M$3</f>
        <v>500</v>
      </c>
      <c r="N273" s="26">
        <f t="shared" si="280"/>
        <v>500</v>
      </c>
      <c r="O273" s="26">
        <f ca="1">IFERROR(__xludf.DUMMYFUNCTION("ROUND(GOOGLEFINANCE(""Currency:EURKZT"")*K273)"),4743699)</f>
        <v>4743699</v>
      </c>
      <c r="P273" s="26">
        <f ca="1">IFERROR(__xludf.DUMMYFUNCTION("ROUND(GOOGLEFINANCE(""Currency:EURKZT"")*M273)"),238785)</f>
        <v>238785</v>
      </c>
      <c r="Q273" s="26">
        <f ca="1">IFERROR(__xludf.DUMMYFUNCTION("ROUND(GOOGLEFINANCE(""Currency:EURKZT"")*N273)"),238785)</f>
        <v>238785</v>
      </c>
      <c r="R273" s="26">
        <f t="shared" ca="1" si="265"/>
        <v>569244</v>
      </c>
      <c r="S273" s="26">
        <f t="shared" ca="1" si="266"/>
        <v>5790513</v>
      </c>
      <c r="T273" s="26">
        <f ca="1">IFERROR(__xludf.DUMMYFUNCTION("ROUND(GOOGLEFINANCE(""Currency:EURKZT"")*L273+S273)"),6691816)</f>
        <v>6691816</v>
      </c>
      <c r="U273" s="26">
        <f ca="1">IFERROR(__xludf.DUMMYFUNCTION("D273*GOOGLEFINANCE(""RUBKZT"")*1000/F273"),8624633.53732698)</f>
        <v>8624633.5373269804</v>
      </c>
      <c r="V273" s="27">
        <f t="shared" ca="1" si="267"/>
        <v>0.288833036850831</v>
      </c>
    </row>
    <row r="274" spans="1:22" ht="12.75" customHeight="1" x14ac:dyDescent="0.2">
      <c r="A274" s="6" t="s">
        <v>401</v>
      </c>
      <c r="B274" s="6" t="s">
        <v>15</v>
      </c>
      <c r="C274" s="7">
        <v>199672</v>
      </c>
      <c r="D274" s="8">
        <v>232034.4</v>
      </c>
      <c r="E274" s="9" t="s">
        <v>16</v>
      </c>
      <c r="F274" s="36">
        <v>208</v>
      </c>
      <c r="G274" s="25"/>
      <c r="H274" s="14">
        <f t="shared" si="261"/>
        <v>0.55000000000000004</v>
      </c>
      <c r="I274" s="25">
        <f ca="1">IFERROR(__xludf.DUMMYFUNCTION("ROUND(D274*GOOGLEFINANCE(""RUBKZT"")*H274)"),995877)</f>
        <v>995877</v>
      </c>
      <c r="J274" s="26">
        <f ca="1">IFERROR(__xludf.DUMMYFUNCTION("ROUND(I274*GOOGLEFINANCE(""KZTEUR""))"),2086)</f>
        <v>2086</v>
      </c>
      <c r="K274" s="26">
        <f t="shared" ca="1" si="262"/>
        <v>10029</v>
      </c>
      <c r="L274" s="26">
        <f t="shared" ca="1" si="263"/>
        <v>1905.51</v>
      </c>
      <c r="M274" s="26">
        <f t="shared" ref="M274:N274" si="281">M$3</f>
        <v>500</v>
      </c>
      <c r="N274" s="26">
        <f t="shared" si="281"/>
        <v>500</v>
      </c>
      <c r="O274" s="26">
        <f ca="1">IFERROR(__xludf.DUMMYFUNCTION("ROUND(GOOGLEFINANCE(""Currency:EURKZT"")*K274)"),4789546)</f>
        <v>4789546</v>
      </c>
      <c r="P274" s="26">
        <f ca="1">IFERROR(__xludf.DUMMYFUNCTION("ROUND(GOOGLEFINANCE(""Currency:EURKZT"")*M274)"),238785)</f>
        <v>238785</v>
      </c>
      <c r="Q274" s="26">
        <f ca="1">IFERROR(__xludf.DUMMYFUNCTION("ROUND(GOOGLEFINANCE(""Currency:EURKZT"")*N274)"),238785)</f>
        <v>238785</v>
      </c>
      <c r="R274" s="26">
        <f t="shared" ca="1" si="265"/>
        <v>574746</v>
      </c>
      <c r="S274" s="26">
        <f t="shared" ca="1" si="266"/>
        <v>5841862</v>
      </c>
      <c r="T274" s="26">
        <f ca="1">IFERROR(__xludf.DUMMYFUNCTION("ROUND(GOOGLEFINANCE(""Currency:EURKZT"")*L274+S274)"),6751876)</f>
        <v>6751876</v>
      </c>
      <c r="U274" s="26">
        <f ca="1">IFERROR(__xludf.DUMMYFUNCTION("D274*GOOGLEFINANCE(""RUBKZT"")*1000/F274"),8705219.9175486)</f>
        <v>8705219.9175486006</v>
      </c>
      <c r="V274" s="27">
        <f t="shared" ca="1" si="267"/>
        <v>0.28930387903282001</v>
      </c>
    </row>
    <row r="275" spans="1:22" ht="12.75" customHeight="1" x14ac:dyDescent="0.2">
      <c r="A275" s="6" t="s">
        <v>409</v>
      </c>
      <c r="B275" s="6" t="s">
        <v>15</v>
      </c>
      <c r="C275" s="7">
        <v>201303</v>
      </c>
      <c r="D275" s="8">
        <v>110193.59999999999</v>
      </c>
      <c r="E275" s="9" t="s">
        <v>16</v>
      </c>
      <c r="F275" s="36">
        <v>208</v>
      </c>
      <c r="G275" s="25"/>
      <c r="H275" s="14">
        <f t="shared" si="261"/>
        <v>0.55000000000000004</v>
      </c>
      <c r="I275" s="25">
        <f ca="1">IFERROR(__xludf.DUMMYFUNCTION("ROUND(D275*GOOGLEFINANCE(""RUBKZT"")*H275)"),472944)</f>
        <v>472944</v>
      </c>
      <c r="J275" s="26">
        <f ca="1">IFERROR(__xludf.DUMMYFUNCTION("ROUND(I275*GOOGLEFINANCE(""KZTEUR""))"),990)</f>
        <v>990</v>
      </c>
      <c r="K275" s="26">
        <f t="shared" ca="1" si="262"/>
        <v>4760</v>
      </c>
      <c r="L275" s="26">
        <f t="shared" ca="1" si="263"/>
        <v>904.4</v>
      </c>
      <c r="M275" s="26">
        <f t="shared" ref="M275:N275" si="282">M$3</f>
        <v>500</v>
      </c>
      <c r="N275" s="26">
        <f t="shared" si="282"/>
        <v>500</v>
      </c>
      <c r="O275" s="26">
        <f ca="1">IFERROR(__xludf.DUMMYFUNCTION("ROUND(GOOGLEFINANCE(""Currency:EURKZT"")*K275)"),2273231)</f>
        <v>2273231</v>
      </c>
      <c r="P275" s="26">
        <f ca="1">IFERROR(__xludf.DUMMYFUNCTION("ROUND(GOOGLEFINANCE(""Currency:EURKZT"")*M275)"),238785)</f>
        <v>238785</v>
      </c>
      <c r="Q275" s="26">
        <f ca="1">IFERROR(__xludf.DUMMYFUNCTION("ROUND(GOOGLEFINANCE(""Currency:EURKZT"")*N275)"),238785)</f>
        <v>238785</v>
      </c>
      <c r="R275" s="26">
        <f t="shared" ca="1" si="265"/>
        <v>272788</v>
      </c>
      <c r="S275" s="26">
        <f t="shared" ca="1" si="266"/>
        <v>3023589</v>
      </c>
      <c r="T275" s="26">
        <f ca="1">IFERROR(__xludf.DUMMYFUNCTION("ROUND(GOOGLEFINANCE(""Currency:EURKZT"")*L275+S275)"),3455503)</f>
        <v>3455503</v>
      </c>
      <c r="U275" s="26">
        <f ca="1">IFERROR(__xludf.DUMMYFUNCTION("D275*GOOGLEFINANCE(""RUBKZT"")*1000/F275"),4134126.32569301)</f>
        <v>4134126.3256930099</v>
      </c>
      <c r="V275" s="27">
        <f t="shared" ca="1" si="267"/>
        <v>0.1963891583057546</v>
      </c>
    </row>
    <row r="276" spans="1:22" ht="12.75" customHeight="1" x14ac:dyDescent="0.2">
      <c r="A276" s="6" t="s">
        <v>412</v>
      </c>
      <c r="B276" s="6" t="s">
        <v>15</v>
      </c>
      <c r="C276" s="7">
        <v>201512</v>
      </c>
      <c r="D276" s="8">
        <v>123619.2</v>
      </c>
      <c r="E276" s="9" t="s">
        <v>16</v>
      </c>
      <c r="F276" s="36">
        <v>208</v>
      </c>
      <c r="G276" s="25"/>
      <c r="H276" s="14">
        <f t="shared" si="261"/>
        <v>0.55000000000000004</v>
      </c>
      <c r="I276" s="25">
        <f ca="1">IFERROR(__xludf.DUMMYFUNCTION("ROUND(D276*GOOGLEFINANCE(""RUBKZT"")*H276)"),530566)</f>
        <v>530566</v>
      </c>
      <c r="J276" s="26">
        <f ca="1">IFERROR(__xludf.DUMMYFUNCTION("ROUND(I276*GOOGLEFINANCE(""KZTEUR""))"),1111)</f>
        <v>1111</v>
      </c>
      <c r="K276" s="26">
        <f t="shared" ca="1" si="262"/>
        <v>5341</v>
      </c>
      <c r="L276" s="26">
        <f t="shared" ca="1" si="263"/>
        <v>1014.79</v>
      </c>
      <c r="M276" s="26">
        <f t="shared" ref="M276:N276" si="283">M$3</f>
        <v>500</v>
      </c>
      <c r="N276" s="26">
        <f t="shared" si="283"/>
        <v>500</v>
      </c>
      <c r="O276" s="26">
        <f ca="1">IFERROR(__xludf.DUMMYFUNCTION("ROUND(GOOGLEFINANCE(""Currency:EURKZT"")*K276)"),2550699)</f>
        <v>2550699</v>
      </c>
      <c r="P276" s="26">
        <f ca="1">IFERROR(__xludf.DUMMYFUNCTION("ROUND(GOOGLEFINANCE(""Currency:EURKZT"")*M276)"),238785)</f>
        <v>238785</v>
      </c>
      <c r="Q276" s="26">
        <f ca="1">IFERROR(__xludf.DUMMYFUNCTION("ROUND(GOOGLEFINANCE(""Currency:EURKZT"")*N276)"),238785)</f>
        <v>238785</v>
      </c>
      <c r="R276" s="26">
        <f t="shared" ca="1" si="265"/>
        <v>306084</v>
      </c>
      <c r="S276" s="26">
        <f t="shared" ca="1" si="266"/>
        <v>3334353</v>
      </c>
      <c r="T276" s="26">
        <f ca="1">IFERROR(__xludf.DUMMYFUNCTION("ROUND(GOOGLEFINANCE(""Currency:EURKZT"")*L276+S276)"),3818986)</f>
        <v>3818986</v>
      </c>
      <c r="U276" s="26">
        <f ca="1">IFERROR(__xludf.DUMMYFUNCTION("D276*GOOGLEFINANCE(""RUBKZT"")*1000/F276"),4637813.71224018)</f>
        <v>4637813.71224018</v>
      </c>
      <c r="V276" s="27">
        <f t="shared" ca="1" si="267"/>
        <v>0.21440971824462829</v>
      </c>
    </row>
    <row r="277" spans="1:22" ht="12.75" customHeight="1" x14ac:dyDescent="0.2">
      <c r="A277" s="6" t="s">
        <v>413</v>
      </c>
      <c r="B277" s="6" t="s">
        <v>15</v>
      </c>
      <c r="C277" s="7">
        <v>201514</v>
      </c>
      <c r="D277" s="8">
        <v>76806</v>
      </c>
      <c r="E277" s="9" t="s">
        <v>16</v>
      </c>
      <c r="F277" s="36">
        <v>208</v>
      </c>
      <c r="G277" s="25"/>
      <c r="H277" s="14">
        <f t="shared" si="261"/>
        <v>0.55000000000000004</v>
      </c>
      <c r="I277" s="25">
        <f ca="1">IFERROR(__xludf.DUMMYFUNCTION("ROUND(D277*GOOGLEFINANCE(""RUBKZT"")*H277)"),329647)</f>
        <v>329647</v>
      </c>
      <c r="J277" s="26">
        <f ca="1">IFERROR(__xludf.DUMMYFUNCTION("ROUND(I277*GOOGLEFINANCE(""KZTEUR""))"),690)</f>
        <v>690</v>
      </c>
      <c r="K277" s="26">
        <f t="shared" ca="1" si="262"/>
        <v>3317</v>
      </c>
      <c r="L277" s="26">
        <f t="shared" ca="1" si="263"/>
        <v>630.23</v>
      </c>
      <c r="M277" s="26">
        <f t="shared" ref="M277:N277" si="284">M$3</f>
        <v>500</v>
      </c>
      <c r="N277" s="26">
        <f t="shared" si="284"/>
        <v>500</v>
      </c>
      <c r="O277" s="26">
        <f ca="1">IFERROR(__xludf.DUMMYFUNCTION("ROUND(GOOGLEFINANCE(""Currency:EURKZT"")*K277)"),1584098)</f>
        <v>1584098</v>
      </c>
      <c r="P277" s="26">
        <f ca="1">IFERROR(__xludf.DUMMYFUNCTION("ROUND(GOOGLEFINANCE(""Currency:EURKZT"")*M277)"),238785)</f>
        <v>238785</v>
      </c>
      <c r="Q277" s="26">
        <f ca="1">IFERROR(__xludf.DUMMYFUNCTION("ROUND(GOOGLEFINANCE(""Currency:EURKZT"")*N277)"),238785)</f>
        <v>238785</v>
      </c>
      <c r="R277" s="26">
        <f t="shared" ca="1" si="265"/>
        <v>190092</v>
      </c>
      <c r="S277" s="26">
        <f t="shared" ca="1" si="266"/>
        <v>2251760</v>
      </c>
      <c r="T277" s="26">
        <f ca="1">IFERROR(__xludf.DUMMYFUNCTION("ROUND(GOOGLEFINANCE(""Currency:EURKZT"")*L277+S277)"),2552739)</f>
        <v>2552739</v>
      </c>
      <c r="U277" s="26">
        <f ca="1">IFERROR(__xludf.DUMMYFUNCTION("D277*GOOGLEFINANCE(""RUBKZT"")*1000/F277"),2881525.84697457)</f>
        <v>2881525.8469745698</v>
      </c>
      <c r="V277" s="27">
        <f t="shared" ca="1" si="267"/>
        <v>0.12879767456624819</v>
      </c>
    </row>
    <row r="278" spans="1:22" ht="12.75" customHeight="1" x14ac:dyDescent="0.2">
      <c r="A278" s="6" t="s">
        <v>414</v>
      </c>
      <c r="B278" s="6" t="s">
        <v>15</v>
      </c>
      <c r="C278" s="7">
        <v>201517</v>
      </c>
      <c r="D278" s="8">
        <v>83227.199999999997</v>
      </c>
      <c r="E278" s="9" t="s">
        <v>16</v>
      </c>
      <c r="F278" s="36">
        <v>208</v>
      </c>
      <c r="G278" s="25"/>
      <c r="H278" s="14">
        <f t="shared" si="261"/>
        <v>0.55000000000000004</v>
      </c>
      <c r="I278" s="25">
        <f ca="1">IFERROR(__xludf.DUMMYFUNCTION("ROUND(D278*GOOGLEFINANCE(""RUBKZT"")*H278)"),357206)</f>
        <v>357206</v>
      </c>
      <c r="J278" s="26">
        <f ca="1">IFERROR(__xludf.DUMMYFUNCTION("ROUND(I278*GOOGLEFINANCE(""KZTEUR""))"),748)</f>
        <v>748</v>
      </c>
      <c r="K278" s="26">
        <f t="shared" ca="1" si="262"/>
        <v>3596</v>
      </c>
      <c r="L278" s="26">
        <f t="shared" ca="1" si="263"/>
        <v>683.24</v>
      </c>
      <c r="M278" s="26">
        <f t="shared" ref="M278:N278" si="285">M$3</f>
        <v>500</v>
      </c>
      <c r="N278" s="26">
        <f t="shared" si="285"/>
        <v>500</v>
      </c>
      <c r="O278" s="26">
        <f ca="1">IFERROR(__xludf.DUMMYFUNCTION("ROUND(GOOGLEFINANCE(""Currency:EURKZT"")*K278)"),1717340)</f>
        <v>1717340</v>
      </c>
      <c r="P278" s="26">
        <f ca="1">IFERROR(__xludf.DUMMYFUNCTION("ROUND(GOOGLEFINANCE(""Currency:EURKZT"")*M278)"),238785)</f>
        <v>238785</v>
      </c>
      <c r="Q278" s="26">
        <f ca="1">IFERROR(__xludf.DUMMYFUNCTION("ROUND(GOOGLEFINANCE(""Currency:EURKZT"")*N278)"),238785)</f>
        <v>238785</v>
      </c>
      <c r="R278" s="26">
        <f t="shared" ca="1" si="265"/>
        <v>206081</v>
      </c>
      <c r="S278" s="26">
        <f t="shared" ca="1" si="266"/>
        <v>2400991</v>
      </c>
      <c r="T278" s="26">
        <f ca="1">IFERROR(__xludf.DUMMYFUNCTION("ROUND(GOOGLEFINANCE(""Currency:EURKZT"")*L278+S278)"),2727286)</f>
        <v>2727286</v>
      </c>
      <c r="U278" s="26">
        <f ca="1">IFERROR(__xludf.DUMMYFUNCTION("D278*GOOGLEFINANCE(""RUBKZT"")*1000/F278"),3122429.60148064)</f>
        <v>3122429.60148064</v>
      </c>
      <c r="V278" s="27">
        <f t="shared" ca="1" si="267"/>
        <v>0.14488528210119511</v>
      </c>
    </row>
    <row r="279" spans="1:22" ht="12.75" customHeight="1" x14ac:dyDescent="0.2">
      <c r="A279" s="6" t="s">
        <v>415</v>
      </c>
      <c r="B279" s="6" t="s">
        <v>15</v>
      </c>
      <c r="C279" s="7">
        <v>201531</v>
      </c>
      <c r="D279" s="8">
        <v>79533.599999999991</v>
      </c>
      <c r="E279" s="9" t="s">
        <v>16</v>
      </c>
      <c r="F279" s="36">
        <v>208</v>
      </c>
      <c r="G279" s="25"/>
      <c r="H279" s="14">
        <f t="shared" si="261"/>
        <v>0.55000000000000004</v>
      </c>
      <c r="I279" s="25">
        <f ca="1">IFERROR(__xludf.DUMMYFUNCTION("ROUND(D279*GOOGLEFINANCE(""RUBKZT"")*H279)"),341353)</f>
        <v>341353</v>
      </c>
      <c r="J279" s="26">
        <f ca="1">IFERROR(__xludf.DUMMYFUNCTION("ROUND(I279*GOOGLEFINANCE(""KZTEUR""))"),715)</f>
        <v>715</v>
      </c>
      <c r="K279" s="26">
        <f t="shared" ca="1" si="262"/>
        <v>3438</v>
      </c>
      <c r="L279" s="26">
        <f t="shared" ca="1" si="263"/>
        <v>653.22</v>
      </c>
      <c r="M279" s="26">
        <f t="shared" ref="M279:N279" si="286">M$3</f>
        <v>500</v>
      </c>
      <c r="N279" s="26">
        <f t="shared" si="286"/>
        <v>500</v>
      </c>
      <c r="O279" s="26">
        <f ca="1">IFERROR(__xludf.DUMMYFUNCTION("ROUND(GOOGLEFINANCE(""Currency:EURKZT"")*K279)"),1641884)</f>
        <v>1641884</v>
      </c>
      <c r="P279" s="26">
        <f ca="1">IFERROR(__xludf.DUMMYFUNCTION("ROUND(GOOGLEFINANCE(""Currency:EURKZT"")*M279)"),238785)</f>
        <v>238785</v>
      </c>
      <c r="Q279" s="26">
        <f ca="1">IFERROR(__xludf.DUMMYFUNCTION("ROUND(GOOGLEFINANCE(""Currency:EURKZT"")*N279)"),238785)</f>
        <v>238785</v>
      </c>
      <c r="R279" s="26">
        <f t="shared" ca="1" si="265"/>
        <v>197026</v>
      </c>
      <c r="S279" s="26">
        <f t="shared" ca="1" si="266"/>
        <v>2316480</v>
      </c>
      <c r="T279" s="26">
        <f ca="1">IFERROR(__xludf.DUMMYFUNCTION("ROUND(GOOGLEFINANCE(""Currency:EURKZT"")*L279+S279)"),2628438)</f>
        <v>2628438</v>
      </c>
      <c r="U279" s="26">
        <f ca="1">IFERROR(__xludf.DUMMYFUNCTION("D279*GOOGLEFINANCE(""RUBKZT"")*1000/F279"),2983857.04375878)</f>
        <v>2983857.0437587802</v>
      </c>
      <c r="V279" s="27">
        <f t="shared" ca="1" si="267"/>
        <v>0.13522063056415265</v>
      </c>
    </row>
    <row r="280" spans="1:22" ht="12.75" customHeight="1" x14ac:dyDescent="0.2">
      <c r="A280" s="6" t="s">
        <v>416</v>
      </c>
      <c r="B280" s="6" t="s">
        <v>15</v>
      </c>
      <c r="C280" s="7">
        <v>201542</v>
      </c>
      <c r="D280" s="8">
        <v>78314.399999999994</v>
      </c>
      <c r="E280" s="9" t="s">
        <v>7</v>
      </c>
      <c r="F280" s="36">
        <v>208</v>
      </c>
      <c r="G280" s="25"/>
      <c r="H280" s="14">
        <f t="shared" si="261"/>
        <v>0.55000000000000004</v>
      </c>
      <c r="I280" s="25">
        <f ca="1">IFERROR(__xludf.DUMMYFUNCTION("ROUND(D280*GOOGLEFINANCE(""RUBKZT"")*H280)"),336121)</f>
        <v>336121</v>
      </c>
      <c r="J280" s="26">
        <f ca="1">IFERROR(__xludf.DUMMYFUNCTION("ROUND(I280*GOOGLEFINANCE(""KZTEUR""))"),704)</f>
        <v>704</v>
      </c>
      <c r="K280" s="26">
        <f t="shared" ca="1" si="262"/>
        <v>3385</v>
      </c>
      <c r="L280" s="26">
        <f t="shared" ca="1" si="263"/>
        <v>643.15</v>
      </c>
      <c r="M280" s="26">
        <f t="shared" ref="M280:N280" si="287">M$3</f>
        <v>500</v>
      </c>
      <c r="N280" s="26">
        <f t="shared" si="287"/>
        <v>500</v>
      </c>
      <c r="O280" s="26">
        <f ca="1">IFERROR(__xludf.DUMMYFUNCTION("ROUND(GOOGLEFINANCE(""Currency:EURKZT"")*K280)"),1616573)</f>
        <v>1616573</v>
      </c>
      <c r="P280" s="26">
        <f ca="1">IFERROR(__xludf.DUMMYFUNCTION("ROUND(GOOGLEFINANCE(""Currency:EURKZT"")*M280)"),238785)</f>
        <v>238785</v>
      </c>
      <c r="Q280" s="26">
        <f ca="1">IFERROR(__xludf.DUMMYFUNCTION("ROUND(GOOGLEFINANCE(""Currency:EURKZT"")*N280)"),238785)</f>
        <v>238785</v>
      </c>
      <c r="R280" s="26">
        <f t="shared" ca="1" si="265"/>
        <v>193989</v>
      </c>
      <c r="S280" s="26">
        <f t="shared" ca="1" si="266"/>
        <v>2288132</v>
      </c>
      <c r="T280" s="26">
        <f ca="1">IFERROR(__xludf.DUMMYFUNCTION("ROUND(GOOGLEFINANCE(""Currency:EURKZT"")*L280+S280)"),2595281)</f>
        <v>2595281</v>
      </c>
      <c r="U280" s="26">
        <f ca="1">IFERROR(__xludf.DUMMYFUNCTION("D280*GOOGLEFINANCE(""RUBKZT"")*1000/F280"),2938116.39442629)</f>
        <v>2938116.3944262899</v>
      </c>
      <c r="V280" s="27">
        <f t="shared" ca="1" si="267"/>
        <v>0.1320995277298643</v>
      </c>
    </row>
    <row r="281" spans="1:22" ht="12.75" customHeight="1" x14ac:dyDescent="0.2">
      <c r="A281" s="6" t="s">
        <v>417</v>
      </c>
      <c r="B281" s="6" t="s">
        <v>15</v>
      </c>
      <c r="C281" s="7">
        <v>201546</v>
      </c>
      <c r="D281" s="8">
        <v>96216</v>
      </c>
      <c r="E281" s="9" t="s">
        <v>7</v>
      </c>
      <c r="F281" s="36">
        <v>208</v>
      </c>
      <c r="G281" s="25"/>
      <c r="H281" s="14">
        <f t="shared" si="261"/>
        <v>0.55000000000000004</v>
      </c>
      <c r="I281" s="25">
        <f ca="1">IFERROR(__xludf.DUMMYFUNCTION("ROUND(D281*GOOGLEFINANCE(""RUBKZT"")*H281)"),412953)</f>
        <v>412953</v>
      </c>
      <c r="J281" s="26">
        <f ca="1">IFERROR(__xludf.DUMMYFUNCTION("ROUND(I281*GOOGLEFINANCE(""KZTEUR""))"),865)</f>
        <v>865</v>
      </c>
      <c r="K281" s="26">
        <f t="shared" ca="1" si="262"/>
        <v>4159</v>
      </c>
      <c r="L281" s="26">
        <f t="shared" ca="1" si="263"/>
        <v>790.21</v>
      </c>
      <c r="M281" s="26">
        <f t="shared" ref="M281:N281" si="288">M$3</f>
        <v>500</v>
      </c>
      <c r="N281" s="26">
        <f t="shared" si="288"/>
        <v>500</v>
      </c>
      <c r="O281" s="26">
        <f ca="1">IFERROR(__xludf.DUMMYFUNCTION("ROUND(GOOGLEFINANCE(""Currency:EURKZT"")*K281)"),1986212)</f>
        <v>1986212</v>
      </c>
      <c r="P281" s="26">
        <f ca="1">IFERROR(__xludf.DUMMYFUNCTION("ROUND(GOOGLEFINANCE(""Currency:EURKZT"")*M281)"),238785)</f>
        <v>238785</v>
      </c>
      <c r="Q281" s="26">
        <f ca="1">IFERROR(__xludf.DUMMYFUNCTION("ROUND(GOOGLEFINANCE(""Currency:EURKZT"")*N281)"),238785)</f>
        <v>238785</v>
      </c>
      <c r="R281" s="26">
        <f t="shared" ca="1" si="265"/>
        <v>238345</v>
      </c>
      <c r="S281" s="26">
        <f t="shared" ca="1" si="266"/>
        <v>2702127</v>
      </c>
      <c r="T281" s="26">
        <f ca="1">IFERROR(__xludf.DUMMYFUNCTION("ROUND(GOOGLEFINANCE(""Currency:EURKZT"")*L281+S281)"),3079507)</f>
        <v>3079507</v>
      </c>
      <c r="U281" s="26">
        <f ca="1">IFERROR(__xludf.DUMMYFUNCTION("D281*GOOGLEFINANCE(""RUBKZT"")*1000/F281"),3609729.59003861)</f>
        <v>3609729.5900386102</v>
      </c>
      <c r="V281" s="27">
        <f t="shared" ca="1" si="267"/>
        <v>0.17217775119154141</v>
      </c>
    </row>
    <row r="282" spans="1:22" ht="12.75" customHeight="1" x14ac:dyDescent="0.2">
      <c r="A282" s="6" t="s">
        <v>422</v>
      </c>
      <c r="B282" s="6" t="s">
        <v>15</v>
      </c>
      <c r="C282" s="7">
        <v>203971</v>
      </c>
      <c r="D282" s="8">
        <v>141624</v>
      </c>
      <c r="E282" s="9" t="s">
        <v>16</v>
      </c>
      <c r="F282" s="36">
        <v>208</v>
      </c>
      <c r="G282" s="25"/>
      <c r="H282" s="14">
        <f t="shared" si="261"/>
        <v>0.55000000000000004</v>
      </c>
      <c r="I282" s="25">
        <f ca="1">IFERROR(__xludf.DUMMYFUNCTION("ROUND(D282*GOOGLEFINANCE(""RUBKZT"")*H282)"),607841)</f>
        <v>607841</v>
      </c>
      <c r="J282" s="26">
        <f ca="1">IFERROR(__xludf.DUMMYFUNCTION("ROUND(I282*GOOGLEFINANCE(""KZTEUR""))"),1273)</f>
        <v>1273</v>
      </c>
      <c r="K282" s="26">
        <f t="shared" ca="1" si="262"/>
        <v>6120</v>
      </c>
      <c r="L282" s="26">
        <f t="shared" ca="1" si="263"/>
        <v>1162.8</v>
      </c>
      <c r="M282" s="26">
        <f t="shared" ref="M282:N282" si="289">M$3</f>
        <v>500</v>
      </c>
      <c r="N282" s="26">
        <f t="shared" si="289"/>
        <v>500</v>
      </c>
      <c r="O282" s="26">
        <f ca="1">IFERROR(__xludf.DUMMYFUNCTION("ROUND(GOOGLEFINANCE(""Currency:EURKZT"")*K282)"),2922726)</f>
        <v>2922726</v>
      </c>
      <c r="P282" s="26">
        <f ca="1">IFERROR(__xludf.DUMMYFUNCTION("ROUND(GOOGLEFINANCE(""Currency:EURKZT"")*M282)"),238785)</f>
        <v>238785</v>
      </c>
      <c r="Q282" s="26">
        <f ca="1">IFERROR(__xludf.DUMMYFUNCTION("ROUND(GOOGLEFINANCE(""Currency:EURKZT"")*N282)"),238785)</f>
        <v>238785</v>
      </c>
      <c r="R282" s="26">
        <f t="shared" ca="1" si="265"/>
        <v>350727</v>
      </c>
      <c r="S282" s="26">
        <f t="shared" ca="1" si="266"/>
        <v>3751023</v>
      </c>
      <c r="T282" s="26">
        <f ca="1">IFERROR(__xludf.DUMMYFUNCTION("ROUND(GOOGLEFINANCE(""Currency:EURKZT"")*L282+S282)"),4306341)</f>
        <v>4306341</v>
      </c>
      <c r="U282" s="26">
        <f ca="1">IFERROR(__xludf.DUMMYFUNCTION("D282*GOOGLEFINANCE(""RUBKZT"")*1000/F282"),5313298.65572907)</f>
        <v>5313298.6557290703</v>
      </c>
      <c r="V282" s="27">
        <f t="shared" ca="1" si="267"/>
        <v>0.23383137929139153</v>
      </c>
    </row>
    <row r="283" spans="1:22" ht="12.75" customHeight="1" x14ac:dyDescent="0.2">
      <c r="A283" s="6" t="s">
        <v>423</v>
      </c>
      <c r="B283" s="6" t="s">
        <v>15</v>
      </c>
      <c r="C283" s="7">
        <v>203973</v>
      </c>
      <c r="D283" s="8">
        <v>111331.2</v>
      </c>
      <c r="E283" s="9" t="s">
        <v>16</v>
      </c>
      <c r="F283" s="36">
        <v>208</v>
      </c>
      <c r="G283" s="25"/>
      <c r="H283" s="14">
        <f t="shared" si="261"/>
        <v>0.55000000000000004</v>
      </c>
      <c r="I283" s="25">
        <f ca="1">IFERROR(__xludf.DUMMYFUNCTION("ROUND(D283*GOOGLEFINANCE(""RUBKZT"")*H283)"),477827)</f>
        <v>477827</v>
      </c>
      <c r="J283" s="26">
        <f ca="1">IFERROR(__xludf.DUMMYFUNCTION("ROUND(I283*GOOGLEFINANCE(""KZTEUR""))"),1001)</f>
        <v>1001</v>
      </c>
      <c r="K283" s="26">
        <f t="shared" ca="1" si="262"/>
        <v>4813</v>
      </c>
      <c r="L283" s="26">
        <f t="shared" ca="1" si="263"/>
        <v>914.47</v>
      </c>
      <c r="M283" s="26">
        <f t="shared" ref="M283:N283" si="290">M$3</f>
        <v>500</v>
      </c>
      <c r="N283" s="26">
        <f t="shared" si="290"/>
        <v>500</v>
      </c>
      <c r="O283" s="26">
        <f ca="1">IFERROR(__xludf.DUMMYFUNCTION("ROUND(GOOGLEFINANCE(""Currency:EURKZT"")*K283)"),2298543)</f>
        <v>2298543</v>
      </c>
      <c r="P283" s="26">
        <f ca="1">IFERROR(__xludf.DUMMYFUNCTION("ROUND(GOOGLEFINANCE(""Currency:EURKZT"")*M283)"),238785)</f>
        <v>238785</v>
      </c>
      <c r="Q283" s="26">
        <f ca="1">IFERROR(__xludf.DUMMYFUNCTION("ROUND(GOOGLEFINANCE(""Currency:EURKZT"")*N283)"),238785)</f>
        <v>238785</v>
      </c>
      <c r="R283" s="26">
        <f t="shared" ca="1" si="265"/>
        <v>275825</v>
      </c>
      <c r="S283" s="26">
        <f t="shared" ca="1" si="266"/>
        <v>3051938</v>
      </c>
      <c r="T283" s="26">
        <f ca="1">IFERROR(__xludf.DUMMYFUNCTION("ROUND(GOOGLEFINANCE(""Currency:EURKZT"")*L283+S283)"),3488661)</f>
        <v>3488661</v>
      </c>
      <c r="U283" s="26">
        <f ca="1">IFERROR(__xludf.DUMMYFUNCTION("D283*GOOGLEFINANCE(""RUBKZT"")*1000/F283"),4176805.59298356)</f>
        <v>4176805.5929835602</v>
      </c>
      <c r="V283" s="27">
        <f t="shared" ca="1" si="267"/>
        <v>0.19725178026284587</v>
      </c>
    </row>
    <row r="284" spans="1:22" ht="12.75" customHeight="1" x14ac:dyDescent="0.2">
      <c r="A284" s="6" t="s">
        <v>424</v>
      </c>
      <c r="B284" s="6" t="s">
        <v>15</v>
      </c>
      <c r="C284" s="7">
        <v>204085</v>
      </c>
      <c r="D284" s="8">
        <v>161563.19999999998</v>
      </c>
      <c r="E284" s="9" t="s">
        <v>16</v>
      </c>
      <c r="F284" s="36">
        <v>208</v>
      </c>
      <c r="G284" s="25"/>
      <c r="H284" s="14">
        <f t="shared" si="261"/>
        <v>0.55000000000000004</v>
      </c>
      <c r="I284" s="25">
        <f ca="1">IFERROR(__xludf.DUMMYFUNCTION("ROUND(D284*GOOGLEFINANCE(""RUBKZT"")*H284)"),693419)</f>
        <v>693419</v>
      </c>
      <c r="J284" s="26">
        <f ca="1">IFERROR(__xludf.DUMMYFUNCTION("ROUND(I284*GOOGLEFINANCE(""KZTEUR""))"),1452)</f>
        <v>1452</v>
      </c>
      <c r="K284" s="26">
        <f t="shared" ca="1" si="262"/>
        <v>6981</v>
      </c>
      <c r="L284" s="26">
        <f t="shared" ca="1" si="263"/>
        <v>1326.39</v>
      </c>
      <c r="M284" s="26">
        <f t="shared" ref="M284:N284" si="291">M$3</f>
        <v>500</v>
      </c>
      <c r="N284" s="26">
        <f t="shared" si="291"/>
        <v>500</v>
      </c>
      <c r="O284" s="26">
        <f ca="1">IFERROR(__xludf.DUMMYFUNCTION("ROUND(GOOGLEFINANCE(""Currency:EURKZT"")*K284)"),3333913)</f>
        <v>3333913</v>
      </c>
      <c r="P284" s="26">
        <f ca="1">IFERROR(__xludf.DUMMYFUNCTION("ROUND(GOOGLEFINANCE(""Currency:EURKZT"")*M284)"),238785)</f>
        <v>238785</v>
      </c>
      <c r="Q284" s="26">
        <f ca="1">IFERROR(__xludf.DUMMYFUNCTION("ROUND(GOOGLEFINANCE(""Currency:EURKZT"")*N284)"),238785)</f>
        <v>238785</v>
      </c>
      <c r="R284" s="26">
        <f t="shared" ca="1" si="265"/>
        <v>400070</v>
      </c>
      <c r="S284" s="26">
        <f t="shared" ca="1" si="266"/>
        <v>4211553</v>
      </c>
      <c r="T284" s="26">
        <f ca="1">IFERROR(__xludf.DUMMYFUNCTION("ROUND(GOOGLEFINANCE(""Currency:EURKZT"")*L284+S284)"),4844997)</f>
        <v>4844997</v>
      </c>
      <c r="U284" s="26">
        <f ca="1">IFERROR(__xludf.DUMMYFUNCTION("D284*GOOGLEFINANCE(""RUBKZT"")*1000/F284"),6061356.36174156)</f>
        <v>6061356.3617415596</v>
      </c>
      <c r="V284" s="27">
        <f t="shared" ca="1" si="267"/>
        <v>0.25105471927878587</v>
      </c>
    </row>
    <row r="285" spans="1:22" ht="12.75" customHeight="1" x14ac:dyDescent="0.2">
      <c r="A285" s="6" t="s">
        <v>425</v>
      </c>
      <c r="B285" s="6" t="s">
        <v>15</v>
      </c>
      <c r="C285" s="7">
        <v>204128</v>
      </c>
      <c r="D285" s="8">
        <v>184263.6</v>
      </c>
      <c r="E285" s="9" t="s">
        <v>16</v>
      </c>
      <c r="F285" s="36">
        <v>208</v>
      </c>
      <c r="G285" s="25"/>
      <c r="H285" s="14">
        <f t="shared" si="261"/>
        <v>0.55000000000000004</v>
      </c>
      <c r="I285" s="25">
        <f ca="1">IFERROR(__xludf.DUMMYFUNCTION("ROUND(D285*GOOGLEFINANCE(""RUBKZT"")*H285)"),790848)</f>
        <v>790848</v>
      </c>
      <c r="J285" s="26">
        <f ca="1">IFERROR(__xludf.DUMMYFUNCTION("ROUND(I285*GOOGLEFINANCE(""KZTEUR""))"),1656)</f>
        <v>1656</v>
      </c>
      <c r="K285" s="26">
        <f t="shared" ca="1" si="262"/>
        <v>7962</v>
      </c>
      <c r="L285" s="26">
        <f t="shared" ca="1" si="263"/>
        <v>1512.78</v>
      </c>
      <c r="M285" s="26">
        <f t="shared" ref="M285:N285" si="292">M$3</f>
        <v>500</v>
      </c>
      <c r="N285" s="26">
        <f t="shared" si="292"/>
        <v>500</v>
      </c>
      <c r="O285" s="26">
        <f ca="1">IFERROR(__xludf.DUMMYFUNCTION("ROUND(GOOGLEFINANCE(""Currency:EURKZT"")*K285)"),3802409)</f>
        <v>3802409</v>
      </c>
      <c r="P285" s="26">
        <f ca="1">IFERROR(__xludf.DUMMYFUNCTION("ROUND(GOOGLEFINANCE(""Currency:EURKZT"")*M285)"),238785)</f>
        <v>238785</v>
      </c>
      <c r="Q285" s="26">
        <f ca="1">IFERROR(__xludf.DUMMYFUNCTION("ROUND(GOOGLEFINANCE(""Currency:EURKZT"")*N285)"),238785)</f>
        <v>238785</v>
      </c>
      <c r="R285" s="26">
        <f t="shared" ca="1" si="265"/>
        <v>456289</v>
      </c>
      <c r="S285" s="26">
        <f t="shared" ca="1" si="266"/>
        <v>4736268</v>
      </c>
      <c r="T285" s="26">
        <f ca="1">IFERROR(__xludf.DUMMYFUNCTION("ROUND(GOOGLEFINANCE(""Currency:EURKZT"")*L285+S285)"),5458726)</f>
        <v>5458726</v>
      </c>
      <c r="U285" s="26">
        <f ca="1">IFERROR(__xludf.DUMMYFUNCTION("D285*GOOGLEFINANCE(""RUBKZT"")*1000/F285"),6913005.83361436)</f>
        <v>6913005.8336143596</v>
      </c>
      <c r="V285" s="27">
        <f t="shared" ca="1" si="267"/>
        <v>0.26641378109367636</v>
      </c>
    </row>
    <row r="286" spans="1:22" ht="12.75" customHeight="1" x14ac:dyDescent="0.2">
      <c r="A286" s="6" t="s">
        <v>426</v>
      </c>
      <c r="B286" s="6" t="s">
        <v>15</v>
      </c>
      <c r="C286" s="7">
        <v>204406</v>
      </c>
      <c r="D286" s="8">
        <v>96174</v>
      </c>
      <c r="E286" s="9" t="s">
        <v>16</v>
      </c>
      <c r="F286" s="36">
        <v>208</v>
      </c>
      <c r="G286" s="25"/>
      <c r="H286" s="14">
        <f t="shared" si="261"/>
        <v>0.55000000000000004</v>
      </c>
      <c r="I286" s="25">
        <f ca="1">IFERROR(__xludf.DUMMYFUNCTION("ROUND(D286*GOOGLEFINANCE(""RUBKZT"")*H286)"),412773)</f>
        <v>412773</v>
      </c>
      <c r="J286" s="26">
        <f ca="1">IFERROR(__xludf.DUMMYFUNCTION("ROUND(I286*GOOGLEFINANCE(""KZTEUR""))"),864)</f>
        <v>864</v>
      </c>
      <c r="K286" s="26">
        <f t="shared" ca="1" si="262"/>
        <v>4154</v>
      </c>
      <c r="L286" s="26">
        <f t="shared" ca="1" si="263"/>
        <v>789.26</v>
      </c>
      <c r="M286" s="26">
        <f t="shared" ref="M286:N286" si="293">M$3</f>
        <v>500</v>
      </c>
      <c r="N286" s="26">
        <f t="shared" si="293"/>
        <v>500</v>
      </c>
      <c r="O286" s="26">
        <f ca="1">IFERROR(__xludf.DUMMYFUNCTION("ROUND(GOOGLEFINANCE(""Currency:EURKZT"")*K286)"),1983824)</f>
        <v>1983824</v>
      </c>
      <c r="P286" s="26">
        <f ca="1">IFERROR(__xludf.DUMMYFUNCTION("ROUND(GOOGLEFINANCE(""Currency:EURKZT"")*M286)"),238785)</f>
        <v>238785</v>
      </c>
      <c r="Q286" s="26">
        <f ca="1">IFERROR(__xludf.DUMMYFUNCTION("ROUND(GOOGLEFINANCE(""Currency:EURKZT"")*N286)"),238785)</f>
        <v>238785</v>
      </c>
      <c r="R286" s="26">
        <f t="shared" ca="1" si="265"/>
        <v>238059</v>
      </c>
      <c r="S286" s="26">
        <f t="shared" ca="1" si="266"/>
        <v>2699453</v>
      </c>
      <c r="T286" s="26">
        <f ca="1">IFERROR(__xludf.DUMMYFUNCTION("ROUND(GOOGLEFINANCE(""Currency:EURKZT"")*L286+S286)"),3076380)</f>
        <v>3076380</v>
      </c>
      <c r="U286" s="26">
        <f ca="1">IFERROR(__xludf.DUMMYFUNCTION("D286*GOOGLEFINANCE(""RUBKZT"")*1000/F286"),3608153.8786935)</f>
        <v>3608153.8786935001</v>
      </c>
      <c r="V286" s="27">
        <f t="shared" ca="1" si="267"/>
        <v>0.17285701983938917</v>
      </c>
    </row>
    <row r="287" spans="1:22" ht="12.75" customHeight="1" x14ac:dyDescent="0.2">
      <c r="A287" s="6" t="s">
        <v>427</v>
      </c>
      <c r="B287" s="6" t="s">
        <v>15</v>
      </c>
      <c r="C287" s="7">
        <v>205314</v>
      </c>
      <c r="D287" s="8">
        <v>133905.60000000001</v>
      </c>
      <c r="E287" s="9" t="s">
        <v>16</v>
      </c>
      <c r="F287" s="36">
        <v>208</v>
      </c>
      <c r="G287" s="25"/>
      <c r="H287" s="14">
        <f t="shared" si="261"/>
        <v>0.55000000000000004</v>
      </c>
      <c r="I287" s="25">
        <f ca="1">IFERROR(__xludf.DUMMYFUNCTION("ROUND(D287*GOOGLEFINANCE(""RUBKZT"")*H287)"),574714)</f>
        <v>574714</v>
      </c>
      <c r="J287" s="26">
        <f ca="1">IFERROR(__xludf.DUMMYFUNCTION("ROUND(I287*GOOGLEFINANCE(""KZTEUR""))"),1204)</f>
        <v>1204</v>
      </c>
      <c r="K287" s="26">
        <f t="shared" ca="1" si="262"/>
        <v>5788</v>
      </c>
      <c r="L287" s="26">
        <f t="shared" ca="1" si="263"/>
        <v>1099.72</v>
      </c>
      <c r="M287" s="26">
        <f t="shared" ref="M287:N287" si="294">M$3</f>
        <v>500</v>
      </c>
      <c r="N287" s="26">
        <f t="shared" si="294"/>
        <v>500</v>
      </c>
      <c r="O287" s="26">
        <f ca="1">IFERROR(__xludf.DUMMYFUNCTION("ROUND(GOOGLEFINANCE(""Currency:EURKZT"")*K287)"),2764173)</f>
        <v>2764173</v>
      </c>
      <c r="P287" s="26">
        <f ca="1">IFERROR(__xludf.DUMMYFUNCTION("ROUND(GOOGLEFINANCE(""Currency:EURKZT"")*M287)"),238785)</f>
        <v>238785</v>
      </c>
      <c r="Q287" s="26">
        <f ca="1">IFERROR(__xludf.DUMMYFUNCTION("ROUND(GOOGLEFINANCE(""Currency:EURKZT"")*N287)"),238785)</f>
        <v>238785</v>
      </c>
      <c r="R287" s="26">
        <f t="shared" ca="1" si="265"/>
        <v>331701</v>
      </c>
      <c r="S287" s="26">
        <f t="shared" ca="1" si="266"/>
        <v>3573444</v>
      </c>
      <c r="T287" s="26">
        <f ca="1">IFERROR(__xludf.DUMMYFUNCTION("ROUND(GOOGLEFINANCE(""Currency:EURKZT"")*L287+S287)"),4098637)</f>
        <v>4098637</v>
      </c>
      <c r="U287" s="26">
        <f ca="1">IFERROR(__xludf.DUMMYFUNCTION("D287*GOOGLEFINANCE(""RUBKZT"")*1000/F287"),5023727.93082101)</f>
        <v>5023727.9308210099</v>
      </c>
      <c r="V287" s="27">
        <f t="shared" ca="1" si="267"/>
        <v>0.22570696815087793</v>
      </c>
    </row>
    <row r="288" spans="1:22" ht="12.75" customHeight="1" x14ac:dyDescent="0.2">
      <c r="A288" s="6" t="s">
        <v>431</v>
      </c>
      <c r="B288" s="6" t="s">
        <v>15</v>
      </c>
      <c r="C288" s="7">
        <v>205818</v>
      </c>
      <c r="D288" s="8">
        <v>142578</v>
      </c>
      <c r="E288" s="9" t="s">
        <v>16</v>
      </c>
      <c r="F288" s="36">
        <v>208</v>
      </c>
      <c r="G288" s="25"/>
      <c r="H288" s="14">
        <f t="shared" si="261"/>
        <v>0.55000000000000004</v>
      </c>
      <c r="I288" s="25">
        <f ca="1">IFERROR(__xludf.DUMMYFUNCTION("ROUND(D288*GOOGLEFINANCE(""RUBKZT"")*H288)"),611936)</f>
        <v>611936</v>
      </c>
      <c r="J288" s="26">
        <f ca="1">IFERROR(__xludf.DUMMYFUNCTION("ROUND(I288*GOOGLEFINANCE(""KZTEUR""))"),1282)</f>
        <v>1282</v>
      </c>
      <c r="K288" s="26">
        <f t="shared" ca="1" si="262"/>
        <v>6163</v>
      </c>
      <c r="L288" s="26">
        <f t="shared" ca="1" si="263"/>
        <v>1170.97</v>
      </c>
      <c r="M288" s="26">
        <f t="shared" ref="M288:N288" si="295">M$3</f>
        <v>500</v>
      </c>
      <c r="N288" s="26">
        <f t="shared" si="295"/>
        <v>500</v>
      </c>
      <c r="O288" s="26">
        <f ca="1">IFERROR(__xludf.DUMMYFUNCTION("ROUND(GOOGLEFINANCE(""Currency:EURKZT"")*K288)"),2943262)</f>
        <v>2943262</v>
      </c>
      <c r="P288" s="26">
        <f ca="1">IFERROR(__xludf.DUMMYFUNCTION("ROUND(GOOGLEFINANCE(""Currency:EURKZT"")*M288)"),238785)</f>
        <v>238785</v>
      </c>
      <c r="Q288" s="26">
        <f ca="1">IFERROR(__xludf.DUMMYFUNCTION("ROUND(GOOGLEFINANCE(""Currency:EURKZT"")*N288)"),238785)</f>
        <v>238785</v>
      </c>
      <c r="R288" s="26">
        <f t="shared" ca="1" si="265"/>
        <v>353191</v>
      </c>
      <c r="S288" s="26">
        <f t="shared" ca="1" si="266"/>
        <v>3774023</v>
      </c>
      <c r="T288" s="26">
        <f ca="1">IFERROR(__xludf.DUMMYFUNCTION("ROUND(GOOGLEFINANCE(""Currency:EURKZT"")*L288+S288)"),4333243)</f>
        <v>4333243</v>
      </c>
      <c r="U288" s="26">
        <f ca="1">IFERROR(__xludf.DUMMYFUNCTION("D288*GOOGLEFINANCE(""RUBKZT"")*1000/F288"),5349089.81342526)</f>
        <v>5349089.8134252597</v>
      </c>
      <c r="V288" s="27">
        <f t="shared" ca="1" si="267"/>
        <v>0.23443107469977098</v>
      </c>
    </row>
    <row r="289" spans="1:22" ht="12.75" customHeight="1" x14ac:dyDescent="0.2">
      <c r="A289" s="6" t="s">
        <v>432</v>
      </c>
      <c r="B289" s="6" t="s">
        <v>15</v>
      </c>
      <c r="C289" s="7">
        <v>206401</v>
      </c>
      <c r="D289" s="8">
        <v>237871.19999999998</v>
      </c>
      <c r="E289" s="9" t="s">
        <v>16</v>
      </c>
      <c r="F289" s="36">
        <v>208</v>
      </c>
      <c r="G289" s="25"/>
      <c r="H289" s="14">
        <f t="shared" si="261"/>
        <v>0.55000000000000004</v>
      </c>
      <c r="I289" s="25">
        <f ca="1">IFERROR(__xludf.DUMMYFUNCTION("ROUND(D289*GOOGLEFINANCE(""RUBKZT"")*H289)"),1020928)</f>
        <v>1020928</v>
      </c>
      <c r="J289" s="26">
        <f ca="1">IFERROR(__xludf.DUMMYFUNCTION("ROUND(I289*GOOGLEFINANCE(""KZTEUR""))"),2138)</f>
        <v>2138</v>
      </c>
      <c r="K289" s="26">
        <f t="shared" ca="1" si="262"/>
        <v>10279</v>
      </c>
      <c r="L289" s="26">
        <f t="shared" ca="1" si="263"/>
        <v>1953.01</v>
      </c>
      <c r="M289" s="26">
        <f t="shared" ref="M289:N289" si="296">M$3</f>
        <v>500</v>
      </c>
      <c r="N289" s="26">
        <f t="shared" si="296"/>
        <v>500</v>
      </c>
      <c r="O289" s="26">
        <f ca="1">IFERROR(__xludf.DUMMYFUNCTION("ROUND(GOOGLEFINANCE(""Currency:EURKZT"")*K289)"),4908938)</f>
        <v>4908938</v>
      </c>
      <c r="P289" s="26">
        <f ca="1">IFERROR(__xludf.DUMMYFUNCTION("ROUND(GOOGLEFINANCE(""Currency:EURKZT"")*M289)"),238785)</f>
        <v>238785</v>
      </c>
      <c r="Q289" s="26">
        <f ca="1">IFERROR(__xludf.DUMMYFUNCTION("ROUND(GOOGLEFINANCE(""Currency:EURKZT"")*N289)"),238785)</f>
        <v>238785</v>
      </c>
      <c r="R289" s="26">
        <f t="shared" ca="1" si="265"/>
        <v>589073</v>
      </c>
      <c r="S289" s="26">
        <f t="shared" ca="1" si="266"/>
        <v>5975581</v>
      </c>
      <c r="T289" s="26">
        <f ca="1">IFERROR(__xludf.DUMMYFUNCTION("ROUND(GOOGLEFINANCE(""Currency:EURKZT"")*L289+S289)"),6908279)</f>
        <v>6908279</v>
      </c>
      <c r="U289" s="26">
        <f ca="1">IFERROR(__xludf.DUMMYFUNCTION("D289*GOOGLEFINANCE(""RUBKZT"")*1000/F289"),8924198.77419549)</f>
        <v>8924198.7741954904</v>
      </c>
      <c r="V289" s="27">
        <f t="shared" ca="1" si="267"/>
        <v>0.29181215382231818</v>
      </c>
    </row>
    <row r="290" spans="1:22" ht="12.75" customHeight="1" x14ac:dyDescent="0.2">
      <c r="A290" s="6" t="s">
        <v>433</v>
      </c>
      <c r="B290" s="6" t="s">
        <v>15</v>
      </c>
      <c r="C290" s="7">
        <v>206716</v>
      </c>
      <c r="D290" s="8">
        <v>150670.79999999999</v>
      </c>
      <c r="E290" s="9" t="s">
        <v>16</v>
      </c>
      <c r="F290" s="36">
        <v>208</v>
      </c>
      <c r="G290" s="25"/>
      <c r="H290" s="14">
        <f t="shared" si="261"/>
        <v>0.55000000000000004</v>
      </c>
      <c r="I290" s="25">
        <f ca="1">IFERROR(__xludf.DUMMYFUNCTION("ROUND(D290*GOOGLEFINANCE(""RUBKZT"")*H290)"),646670)</f>
        <v>646670</v>
      </c>
      <c r="J290" s="26">
        <f ca="1">IFERROR(__xludf.DUMMYFUNCTION("ROUND(I290*GOOGLEFINANCE(""KZTEUR""))"),1354)</f>
        <v>1354</v>
      </c>
      <c r="K290" s="26">
        <f t="shared" ca="1" si="262"/>
        <v>6510</v>
      </c>
      <c r="L290" s="26">
        <f t="shared" ca="1" si="263"/>
        <v>1236.9000000000001</v>
      </c>
      <c r="M290" s="26">
        <f t="shared" ref="M290:N290" si="297">M$3</f>
        <v>500</v>
      </c>
      <c r="N290" s="26">
        <f t="shared" si="297"/>
        <v>500</v>
      </c>
      <c r="O290" s="26">
        <f ca="1">IFERROR(__xludf.DUMMYFUNCTION("ROUND(GOOGLEFINANCE(""Currency:EURKZT"")*K290)"),3108978)</f>
        <v>3108978</v>
      </c>
      <c r="P290" s="26">
        <f ca="1">IFERROR(__xludf.DUMMYFUNCTION("ROUND(GOOGLEFINANCE(""Currency:EURKZT"")*M290)"),238785)</f>
        <v>238785</v>
      </c>
      <c r="Q290" s="26">
        <f ca="1">IFERROR(__xludf.DUMMYFUNCTION("ROUND(GOOGLEFINANCE(""Currency:EURKZT"")*N290)"),238785)</f>
        <v>238785</v>
      </c>
      <c r="R290" s="26">
        <f t="shared" ca="1" si="265"/>
        <v>373077</v>
      </c>
      <c r="S290" s="26">
        <f t="shared" ca="1" si="266"/>
        <v>3959625</v>
      </c>
      <c r="T290" s="26">
        <f ca="1">IFERROR(__xludf.DUMMYFUNCTION("ROUND(GOOGLEFINANCE(""Currency:EURKZT"")*L290+S290)"),4550331)</f>
        <v>4550331</v>
      </c>
      <c r="U290" s="26">
        <f ca="1">IFERROR(__xludf.DUMMYFUNCTION("D290*GOOGLEFINANCE(""RUBKZT"")*1000/F290"),5652706.87946693)</f>
        <v>5652706.8794669304</v>
      </c>
      <c r="V290" s="27">
        <f t="shared" ca="1" si="267"/>
        <v>0.24226278911730387</v>
      </c>
    </row>
    <row r="291" spans="1:22" ht="12.75" customHeight="1" x14ac:dyDescent="0.2">
      <c r="A291" s="6" t="s">
        <v>434</v>
      </c>
      <c r="B291" s="6" t="s">
        <v>15</v>
      </c>
      <c r="C291" s="7">
        <v>206720</v>
      </c>
      <c r="D291" s="8">
        <v>141451.19999999998</v>
      </c>
      <c r="E291" s="9" t="s">
        <v>7</v>
      </c>
      <c r="F291" s="36">
        <v>208</v>
      </c>
      <c r="G291" s="25"/>
      <c r="H291" s="14">
        <f t="shared" si="261"/>
        <v>0.55000000000000004</v>
      </c>
      <c r="I291" s="25">
        <f ca="1">IFERROR(__xludf.DUMMYFUNCTION("ROUND(D291*GOOGLEFINANCE(""RUBKZT"")*H291)"),607100)</f>
        <v>607100</v>
      </c>
      <c r="J291" s="26">
        <f ca="1">IFERROR(__xludf.DUMMYFUNCTION("ROUND(I291*GOOGLEFINANCE(""KZTEUR""))"),1271)</f>
        <v>1271</v>
      </c>
      <c r="K291" s="26">
        <f t="shared" ca="1" si="262"/>
        <v>6111</v>
      </c>
      <c r="L291" s="26">
        <f t="shared" ca="1" si="263"/>
        <v>1161.0899999999999</v>
      </c>
      <c r="M291" s="26">
        <f t="shared" ref="M291:N291" si="298">M$3</f>
        <v>500</v>
      </c>
      <c r="N291" s="26">
        <f t="shared" si="298"/>
        <v>500</v>
      </c>
      <c r="O291" s="26">
        <f ca="1">IFERROR(__xludf.DUMMYFUNCTION("ROUND(GOOGLEFINANCE(""Currency:EURKZT"")*K291)"),2918428)</f>
        <v>2918428</v>
      </c>
      <c r="P291" s="26">
        <f ca="1">IFERROR(__xludf.DUMMYFUNCTION("ROUND(GOOGLEFINANCE(""Currency:EURKZT"")*M291)"),238785)</f>
        <v>238785</v>
      </c>
      <c r="Q291" s="26">
        <f ca="1">IFERROR(__xludf.DUMMYFUNCTION("ROUND(GOOGLEFINANCE(""Currency:EURKZT"")*N291)"),238785)</f>
        <v>238785</v>
      </c>
      <c r="R291" s="26">
        <f t="shared" ca="1" si="265"/>
        <v>350211</v>
      </c>
      <c r="S291" s="26">
        <f t="shared" ca="1" si="266"/>
        <v>3746209</v>
      </c>
      <c r="T291" s="26">
        <f ca="1">IFERROR(__xludf.DUMMYFUNCTION("ROUND(GOOGLEFINANCE(""Currency:EURKZT"")*L291+S291)"),4300710)</f>
        <v>4300710</v>
      </c>
      <c r="U291" s="26">
        <f ca="1">IFERROR(__xludf.DUMMYFUNCTION("D291*GOOGLEFINANCE(""RUBKZT"")*1000/F291"),5306815.72905203)</f>
        <v>5306815.7290520296</v>
      </c>
      <c r="V291" s="27">
        <f t="shared" ca="1" si="267"/>
        <v>0.23393944931232971</v>
      </c>
    </row>
    <row r="292" spans="1:22" ht="12.75" customHeight="1" x14ac:dyDescent="0.2">
      <c r="A292" s="6" t="s">
        <v>435</v>
      </c>
      <c r="B292" s="6" t="s">
        <v>15</v>
      </c>
      <c r="C292" s="7">
        <v>206767</v>
      </c>
      <c r="D292" s="8">
        <v>157600.79999999999</v>
      </c>
      <c r="E292" s="9" t="s">
        <v>7</v>
      </c>
      <c r="F292" s="36">
        <v>208</v>
      </c>
      <c r="G292" s="25"/>
      <c r="H292" s="14">
        <f t="shared" si="261"/>
        <v>0.55000000000000004</v>
      </c>
      <c r="I292" s="25">
        <f ca="1">IFERROR(__xludf.DUMMYFUNCTION("ROUND(D292*GOOGLEFINANCE(""RUBKZT"")*H292)"),676413)</f>
        <v>676413</v>
      </c>
      <c r="J292" s="26">
        <f ca="1">IFERROR(__xludf.DUMMYFUNCTION("ROUND(I292*GOOGLEFINANCE(""KZTEUR""))"),1417)</f>
        <v>1417</v>
      </c>
      <c r="K292" s="26">
        <f t="shared" ca="1" si="262"/>
        <v>6813</v>
      </c>
      <c r="L292" s="26">
        <f t="shared" ca="1" si="263"/>
        <v>1294.47</v>
      </c>
      <c r="M292" s="26">
        <f t="shared" ref="M292:N292" si="299">M$3</f>
        <v>500</v>
      </c>
      <c r="N292" s="26">
        <f t="shared" si="299"/>
        <v>500</v>
      </c>
      <c r="O292" s="26">
        <f ca="1">IFERROR(__xludf.DUMMYFUNCTION("ROUND(GOOGLEFINANCE(""Currency:EURKZT"")*K292)"),3253682)</f>
        <v>3253682</v>
      </c>
      <c r="P292" s="26">
        <f ca="1">IFERROR(__xludf.DUMMYFUNCTION("ROUND(GOOGLEFINANCE(""Currency:EURKZT"")*M292)"),238785)</f>
        <v>238785</v>
      </c>
      <c r="Q292" s="26">
        <f ca="1">IFERROR(__xludf.DUMMYFUNCTION("ROUND(GOOGLEFINANCE(""Currency:EURKZT"")*N292)"),238785)</f>
        <v>238785</v>
      </c>
      <c r="R292" s="26">
        <f t="shared" ca="1" si="265"/>
        <v>390442</v>
      </c>
      <c r="S292" s="26">
        <f t="shared" ca="1" si="266"/>
        <v>4121694</v>
      </c>
      <c r="T292" s="26">
        <f ca="1">IFERROR(__xludf.DUMMYFUNCTION("ROUND(GOOGLEFINANCE(""Currency:EURKZT"")*L292+S292)"),4739894)</f>
        <v>4739894</v>
      </c>
      <c r="U292" s="26">
        <f ca="1">IFERROR(__xludf.DUMMYFUNCTION("D292*GOOGLEFINANCE(""RUBKZT"")*1000/F292"),5912699.25141096)</f>
        <v>5912699.2514109602</v>
      </c>
      <c r="V292" s="27">
        <f t="shared" ca="1" si="267"/>
        <v>0.24743280153753655</v>
      </c>
    </row>
    <row r="293" spans="1:22" ht="12.75" customHeight="1" x14ac:dyDescent="0.2">
      <c r="A293" s="6" t="s">
        <v>437</v>
      </c>
      <c r="B293" s="6" t="s">
        <v>15</v>
      </c>
      <c r="C293" s="7">
        <v>207423</v>
      </c>
      <c r="D293" s="8">
        <v>93447.599999999991</v>
      </c>
      <c r="E293" s="9" t="s">
        <v>16</v>
      </c>
      <c r="F293" s="36">
        <v>208</v>
      </c>
      <c r="G293" s="25"/>
      <c r="H293" s="14">
        <f t="shared" si="261"/>
        <v>0.55000000000000004</v>
      </c>
      <c r="I293" s="25">
        <f ca="1">IFERROR(__xludf.DUMMYFUNCTION("ROUND(D293*GOOGLEFINANCE(""RUBKZT"")*H293)"),401071)</f>
        <v>401071</v>
      </c>
      <c r="J293" s="26">
        <f ca="1">IFERROR(__xludf.DUMMYFUNCTION("ROUND(I293*GOOGLEFINANCE(""KZTEUR""))"),840)</f>
        <v>840</v>
      </c>
      <c r="K293" s="26">
        <f t="shared" ca="1" si="262"/>
        <v>4038</v>
      </c>
      <c r="L293" s="26">
        <f t="shared" ca="1" si="263"/>
        <v>767.22</v>
      </c>
      <c r="M293" s="26">
        <f t="shared" ref="M293:N293" si="300">M$3</f>
        <v>500</v>
      </c>
      <c r="N293" s="26">
        <f t="shared" si="300"/>
        <v>500</v>
      </c>
      <c r="O293" s="26">
        <f ca="1">IFERROR(__xludf.DUMMYFUNCTION("ROUND(GOOGLEFINANCE(""Currency:EURKZT"")*K293)"),1928426)</f>
        <v>1928426</v>
      </c>
      <c r="P293" s="26">
        <f ca="1">IFERROR(__xludf.DUMMYFUNCTION("ROUND(GOOGLEFINANCE(""Currency:EURKZT"")*M293)"),238785)</f>
        <v>238785</v>
      </c>
      <c r="Q293" s="26">
        <f ca="1">IFERROR(__xludf.DUMMYFUNCTION("ROUND(GOOGLEFINANCE(""Currency:EURKZT"")*N293)"),238785)</f>
        <v>238785</v>
      </c>
      <c r="R293" s="26">
        <f t="shared" ca="1" si="265"/>
        <v>231411</v>
      </c>
      <c r="S293" s="26">
        <f t="shared" ca="1" si="266"/>
        <v>2637407</v>
      </c>
      <c r="T293" s="26">
        <f ca="1">IFERROR(__xludf.DUMMYFUNCTION("ROUND(GOOGLEFINANCE(""Currency:EURKZT"")*L293+S293)"),3003808)</f>
        <v>3003808</v>
      </c>
      <c r="U293" s="26">
        <f ca="1">IFERROR(__xludf.DUMMYFUNCTION("D293*GOOGLEFINANCE(""RUBKZT"")*1000/F293"),3505867.70223343)</f>
        <v>3505867.70223343</v>
      </c>
      <c r="V293" s="27">
        <f t="shared" ca="1" si="267"/>
        <v>0.16714107633824465</v>
      </c>
    </row>
    <row r="294" spans="1:22" ht="12.75" customHeight="1" x14ac:dyDescent="0.2">
      <c r="A294" s="6" t="s">
        <v>438</v>
      </c>
      <c r="B294" s="6" t="s">
        <v>15</v>
      </c>
      <c r="C294" s="7">
        <v>207444</v>
      </c>
      <c r="D294" s="8">
        <v>94629.599999999991</v>
      </c>
      <c r="E294" s="9" t="s">
        <v>16</v>
      </c>
      <c r="F294" s="36">
        <v>208</v>
      </c>
      <c r="G294" s="25"/>
      <c r="H294" s="14">
        <f t="shared" si="261"/>
        <v>0.55000000000000004</v>
      </c>
      <c r="I294" s="25">
        <f ca="1">IFERROR(__xludf.DUMMYFUNCTION("ROUND(D294*GOOGLEFINANCE(""RUBKZT"")*H294)"),406144)</f>
        <v>406144</v>
      </c>
      <c r="J294" s="26">
        <f ca="1">IFERROR(__xludf.DUMMYFUNCTION("ROUND(I294*GOOGLEFINANCE(""KZTEUR""))"),851)</f>
        <v>851</v>
      </c>
      <c r="K294" s="26">
        <f t="shared" ca="1" si="262"/>
        <v>4091</v>
      </c>
      <c r="L294" s="26">
        <f t="shared" ca="1" si="263"/>
        <v>777.29</v>
      </c>
      <c r="M294" s="26">
        <f t="shared" ref="M294:N294" si="301">M$3</f>
        <v>500</v>
      </c>
      <c r="N294" s="26">
        <f t="shared" si="301"/>
        <v>500</v>
      </c>
      <c r="O294" s="26">
        <f ca="1">IFERROR(__xludf.DUMMYFUNCTION("ROUND(GOOGLEFINANCE(""Currency:EURKZT"")*K294)"),1953737)</f>
        <v>1953737</v>
      </c>
      <c r="P294" s="26">
        <f ca="1">IFERROR(__xludf.DUMMYFUNCTION("ROUND(GOOGLEFINANCE(""Currency:EURKZT"")*M294)"),238785)</f>
        <v>238785</v>
      </c>
      <c r="Q294" s="26">
        <f ca="1">IFERROR(__xludf.DUMMYFUNCTION("ROUND(GOOGLEFINANCE(""Currency:EURKZT"")*N294)"),238785)</f>
        <v>238785</v>
      </c>
      <c r="R294" s="26">
        <f t="shared" ca="1" si="265"/>
        <v>234448</v>
      </c>
      <c r="S294" s="26">
        <f t="shared" ca="1" si="266"/>
        <v>2665755</v>
      </c>
      <c r="T294" s="26">
        <f ca="1">IFERROR(__xludf.DUMMYFUNCTION("ROUND(GOOGLEFINANCE(""Currency:EURKZT"")*L294+S294)"),3036965)</f>
        <v>3036965</v>
      </c>
      <c r="U294" s="26">
        <f ca="1">IFERROR(__xludf.DUMMYFUNCTION("D294*GOOGLEFINANCE(""RUBKZT"")*1000/F294"),3550212.72151739)</f>
        <v>3550212.7215173901</v>
      </c>
      <c r="V294" s="27">
        <f t="shared" ca="1" si="267"/>
        <v>0.16900020958996567</v>
      </c>
    </row>
    <row r="295" spans="1:22" ht="12.75" customHeight="1" x14ac:dyDescent="0.2">
      <c r="A295" s="6" t="s">
        <v>439</v>
      </c>
      <c r="B295" s="6" t="s">
        <v>15</v>
      </c>
      <c r="C295" s="7">
        <v>207448</v>
      </c>
      <c r="D295" s="8">
        <v>98984.4</v>
      </c>
      <c r="E295" s="9" t="s">
        <v>16</v>
      </c>
      <c r="F295" s="36">
        <v>208</v>
      </c>
      <c r="G295" s="25"/>
      <c r="H295" s="14">
        <f t="shared" si="261"/>
        <v>0.55000000000000004</v>
      </c>
      <c r="I295" s="25">
        <f ca="1">IFERROR(__xludf.DUMMYFUNCTION("ROUND(D295*GOOGLEFINANCE(""RUBKZT"")*H295)"),424835)</f>
        <v>424835</v>
      </c>
      <c r="J295" s="26">
        <f ca="1">IFERROR(__xludf.DUMMYFUNCTION("ROUND(I295*GOOGLEFINANCE(""KZTEUR""))"),890)</f>
        <v>890</v>
      </c>
      <c r="K295" s="26">
        <f t="shared" ca="1" si="262"/>
        <v>4279</v>
      </c>
      <c r="L295" s="26">
        <f t="shared" ca="1" si="263"/>
        <v>813.01</v>
      </c>
      <c r="M295" s="26">
        <f t="shared" ref="M295:N295" si="302">M$3</f>
        <v>500</v>
      </c>
      <c r="N295" s="26">
        <f t="shared" si="302"/>
        <v>500</v>
      </c>
      <c r="O295" s="26">
        <f ca="1">IFERROR(__xludf.DUMMYFUNCTION("ROUND(GOOGLEFINANCE(""Currency:EURKZT"")*K295)"),2043520)</f>
        <v>2043520</v>
      </c>
      <c r="P295" s="26">
        <f ca="1">IFERROR(__xludf.DUMMYFUNCTION("ROUND(GOOGLEFINANCE(""Currency:EURKZT"")*M295)"),238785)</f>
        <v>238785</v>
      </c>
      <c r="Q295" s="26">
        <f ca="1">IFERROR(__xludf.DUMMYFUNCTION("ROUND(GOOGLEFINANCE(""Currency:EURKZT"")*N295)"),238785)</f>
        <v>238785</v>
      </c>
      <c r="R295" s="26">
        <f t="shared" ca="1" si="265"/>
        <v>245222</v>
      </c>
      <c r="S295" s="26">
        <f t="shared" ca="1" si="266"/>
        <v>2766312</v>
      </c>
      <c r="T295" s="26">
        <f ca="1">IFERROR(__xludf.DUMMYFUNCTION("ROUND(GOOGLEFINANCE(""Currency:EURKZT"")*L295+S295)"),3154581)</f>
        <v>3154581</v>
      </c>
      <c r="U295" s="26">
        <f ca="1">IFERROR(__xludf.DUMMYFUNCTION("D295*GOOGLEFINANCE(""RUBKZT"")*1000/F295"),3713591.47784379)</f>
        <v>3713591.4778437898</v>
      </c>
      <c r="V295" s="27">
        <f t="shared" ca="1" si="267"/>
        <v>0.17720593569915938</v>
      </c>
    </row>
    <row r="296" spans="1:22" ht="12.75" customHeight="1" x14ac:dyDescent="0.2">
      <c r="A296" s="6" t="s">
        <v>440</v>
      </c>
      <c r="B296" s="6" t="s">
        <v>15</v>
      </c>
      <c r="C296" s="7">
        <v>207680</v>
      </c>
      <c r="D296" s="8">
        <v>130388.4</v>
      </c>
      <c r="E296" s="9" t="s">
        <v>16</v>
      </c>
      <c r="F296" s="36">
        <v>208</v>
      </c>
      <c r="G296" s="25"/>
      <c r="H296" s="14">
        <f t="shared" si="261"/>
        <v>0.55000000000000004</v>
      </c>
      <c r="I296" s="25">
        <f ca="1">IFERROR(__xludf.DUMMYFUNCTION("ROUND(D296*GOOGLEFINANCE(""RUBKZT"")*H296)"),559619)</f>
        <v>559619</v>
      </c>
      <c r="J296" s="26">
        <f ca="1">IFERROR(__xludf.DUMMYFUNCTION("ROUND(I296*GOOGLEFINANCE(""KZTEUR""))"),1172)</f>
        <v>1172</v>
      </c>
      <c r="K296" s="26">
        <f t="shared" ca="1" si="262"/>
        <v>5635</v>
      </c>
      <c r="L296" s="26">
        <f t="shared" ca="1" si="263"/>
        <v>1070.6500000000001</v>
      </c>
      <c r="M296" s="26">
        <f t="shared" ref="M296:N296" si="303">M$3</f>
        <v>500</v>
      </c>
      <c r="N296" s="26">
        <f t="shared" si="303"/>
        <v>500</v>
      </c>
      <c r="O296" s="26">
        <f ca="1">IFERROR(__xludf.DUMMYFUNCTION("ROUND(GOOGLEFINANCE(""Currency:EURKZT"")*K296)"),2691105)</f>
        <v>2691105</v>
      </c>
      <c r="P296" s="26">
        <f ca="1">IFERROR(__xludf.DUMMYFUNCTION("ROUND(GOOGLEFINANCE(""Currency:EURKZT"")*M296)"),238785)</f>
        <v>238785</v>
      </c>
      <c r="Q296" s="26">
        <f ca="1">IFERROR(__xludf.DUMMYFUNCTION("ROUND(GOOGLEFINANCE(""Currency:EURKZT"")*N296)"),238785)</f>
        <v>238785</v>
      </c>
      <c r="R296" s="26">
        <f t="shared" ca="1" si="265"/>
        <v>322933</v>
      </c>
      <c r="S296" s="26">
        <f t="shared" ca="1" si="266"/>
        <v>3491608</v>
      </c>
      <c r="T296" s="26">
        <f ca="1">IFERROR(__xludf.DUMMYFUNCTION("ROUND(GOOGLEFINANCE(""Currency:EURKZT"")*L296+S296)"),4002918)</f>
        <v>4002918</v>
      </c>
      <c r="U296" s="26">
        <f ca="1">IFERROR(__xludf.DUMMYFUNCTION("D296*GOOGLEFINANCE(""RUBKZT"")*1000/F296"),4891773.36074863)</f>
        <v>4891773.36074863</v>
      </c>
      <c r="V296" s="27">
        <f t="shared" ca="1" si="267"/>
        <v>0.22205185336013128</v>
      </c>
    </row>
    <row r="297" spans="1:22" ht="12.75" customHeight="1" x14ac:dyDescent="0.2">
      <c r="A297" s="6" t="s">
        <v>441</v>
      </c>
      <c r="B297" s="6" t="s">
        <v>15</v>
      </c>
      <c r="C297" s="7">
        <v>207849</v>
      </c>
      <c r="D297" s="8">
        <v>84667.199999999997</v>
      </c>
      <c r="E297" s="9" t="s">
        <v>16</v>
      </c>
      <c r="F297" s="36">
        <v>208</v>
      </c>
      <c r="G297" s="25"/>
      <c r="H297" s="14">
        <f t="shared" si="261"/>
        <v>0.55000000000000004</v>
      </c>
      <c r="I297" s="25">
        <f ca="1">IFERROR(__xludf.DUMMYFUNCTION("ROUND(D297*GOOGLEFINANCE(""RUBKZT"")*H297)"),363386)</f>
        <v>363386</v>
      </c>
      <c r="J297" s="26">
        <f ca="1">IFERROR(__xludf.DUMMYFUNCTION("ROUND(I297*GOOGLEFINANCE(""KZTEUR""))"),761)</f>
        <v>761</v>
      </c>
      <c r="K297" s="26">
        <f t="shared" ca="1" si="262"/>
        <v>3659</v>
      </c>
      <c r="L297" s="26">
        <f t="shared" ca="1" si="263"/>
        <v>695.21</v>
      </c>
      <c r="M297" s="26">
        <f t="shared" ref="M297:N297" si="304">M$3</f>
        <v>500</v>
      </c>
      <c r="N297" s="26">
        <f t="shared" si="304"/>
        <v>500</v>
      </c>
      <c r="O297" s="26">
        <f ca="1">IFERROR(__xludf.DUMMYFUNCTION("ROUND(GOOGLEFINANCE(""Currency:EURKZT"")*K297)"),1747427)</f>
        <v>1747427</v>
      </c>
      <c r="P297" s="26">
        <f ca="1">IFERROR(__xludf.DUMMYFUNCTION("ROUND(GOOGLEFINANCE(""Currency:EURKZT"")*M297)"),238785)</f>
        <v>238785</v>
      </c>
      <c r="Q297" s="26">
        <f ca="1">IFERROR(__xludf.DUMMYFUNCTION("ROUND(GOOGLEFINANCE(""Currency:EURKZT"")*N297)"),238785)</f>
        <v>238785</v>
      </c>
      <c r="R297" s="26">
        <f t="shared" ca="1" si="265"/>
        <v>209691</v>
      </c>
      <c r="S297" s="26">
        <f t="shared" ca="1" si="266"/>
        <v>2434688</v>
      </c>
      <c r="T297" s="26">
        <f ca="1">IFERROR(__xludf.DUMMYFUNCTION("ROUND(GOOGLEFINANCE(""Currency:EURKZT"")*L297+S297)"),2766699)</f>
        <v>2766699</v>
      </c>
      <c r="U297" s="26">
        <f ca="1">IFERROR(__xludf.DUMMYFUNCTION("D297*GOOGLEFINANCE(""RUBKZT"")*1000/F297"),3176453.99045603)</f>
        <v>3176453.9904560298</v>
      </c>
      <c r="V297" s="27">
        <f t="shared" ca="1" si="267"/>
        <v>0.14810248258159986</v>
      </c>
    </row>
    <row r="298" spans="1:22" ht="12.75" customHeight="1" x14ac:dyDescent="0.2">
      <c r="A298" s="6" t="s">
        <v>442</v>
      </c>
      <c r="B298" s="6" t="s">
        <v>15</v>
      </c>
      <c r="C298" s="7">
        <v>207893</v>
      </c>
      <c r="D298" s="8">
        <v>84928.8</v>
      </c>
      <c r="E298" s="9" t="s">
        <v>16</v>
      </c>
      <c r="F298" s="36">
        <v>208</v>
      </c>
      <c r="G298" s="25"/>
      <c r="H298" s="14">
        <f t="shared" si="261"/>
        <v>0.55000000000000004</v>
      </c>
      <c r="I298" s="25">
        <f ca="1">IFERROR(__xludf.DUMMYFUNCTION("ROUND(D298*GOOGLEFINANCE(""RUBKZT"")*H298)"),364509)</f>
        <v>364509</v>
      </c>
      <c r="J298" s="26">
        <f ca="1">IFERROR(__xludf.DUMMYFUNCTION("ROUND(I298*GOOGLEFINANCE(""KZTEUR""))"),763)</f>
        <v>763</v>
      </c>
      <c r="K298" s="26">
        <f t="shared" ca="1" si="262"/>
        <v>3668</v>
      </c>
      <c r="L298" s="26">
        <f t="shared" ca="1" si="263"/>
        <v>696.92</v>
      </c>
      <c r="M298" s="26">
        <f t="shared" ref="M298:N298" si="305">M$3</f>
        <v>500</v>
      </c>
      <c r="N298" s="26">
        <f t="shared" si="305"/>
        <v>500</v>
      </c>
      <c r="O298" s="26">
        <f ca="1">IFERROR(__xludf.DUMMYFUNCTION("ROUND(GOOGLEFINANCE(""Currency:EURKZT"")*K298)"),1751725)</f>
        <v>1751725</v>
      </c>
      <c r="P298" s="26">
        <f ca="1">IFERROR(__xludf.DUMMYFUNCTION("ROUND(GOOGLEFINANCE(""Currency:EURKZT"")*M298)"),238785)</f>
        <v>238785</v>
      </c>
      <c r="Q298" s="26">
        <f ca="1">IFERROR(__xludf.DUMMYFUNCTION("ROUND(GOOGLEFINANCE(""Currency:EURKZT"")*N298)"),238785)</f>
        <v>238785</v>
      </c>
      <c r="R298" s="26">
        <f t="shared" ca="1" si="265"/>
        <v>210207</v>
      </c>
      <c r="S298" s="26">
        <f t="shared" ca="1" si="266"/>
        <v>2439502</v>
      </c>
      <c r="T298" s="26">
        <f ca="1">IFERROR(__xludf.DUMMYFUNCTION("ROUND(GOOGLEFINANCE(""Currency:EURKZT"")*L298+S298)"),2772330)</f>
        <v>2772330</v>
      </c>
      <c r="U298" s="26">
        <f ca="1">IFERROR(__xludf.DUMMYFUNCTION("D298*GOOGLEFINANCE(""RUBKZT"")*1000/F298"),3186268.42111989)</f>
        <v>3186268.4211198902</v>
      </c>
      <c r="V298" s="27">
        <f t="shared" ca="1" si="267"/>
        <v>0.14931065966890311</v>
      </c>
    </row>
    <row r="299" spans="1:22" ht="12.75" customHeight="1" x14ac:dyDescent="0.2">
      <c r="A299" s="6" t="s">
        <v>443</v>
      </c>
      <c r="B299" s="6" t="s">
        <v>15</v>
      </c>
      <c r="C299" s="7">
        <v>208895</v>
      </c>
      <c r="D299" s="8">
        <v>103132.8</v>
      </c>
      <c r="E299" s="9" t="s">
        <v>16</v>
      </c>
      <c r="F299" s="36">
        <v>208</v>
      </c>
      <c r="G299" s="25"/>
      <c r="H299" s="14">
        <f t="shared" si="261"/>
        <v>0.55000000000000004</v>
      </c>
      <c r="I299" s="25">
        <f ca="1">IFERROR(__xludf.DUMMYFUNCTION("ROUND(D299*GOOGLEFINANCE(""RUBKZT"")*H299)"),442640)</f>
        <v>442640</v>
      </c>
      <c r="J299" s="26">
        <f ca="1">IFERROR(__xludf.DUMMYFUNCTION("ROUND(I299*GOOGLEFINANCE(""KZTEUR""))"),927)</f>
        <v>927</v>
      </c>
      <c r="K299" s="26">
        <f t="shared" ca="1" si="262"/>
        <v>4457</v>
      </c>
      <c r="L299" s="26">
        <f t="shared" ca="1" si="263"/>
        <v>846.83</v>
      </c>
      <c r="M299" s="26">
        <f t="shared" ref="M299:N299" si="306">M$3</f>
        <v>500</v>
      </c>
      <c r="N299" s="26">
        <f t="shared" si="306"/>
        <v>500</v>
      </c>
      <c r="O299" s="26">
        <f ca="1">IFERROR(__xludf.DUMMYFUNCTION("ROUND(GOOGLEFINANCE(""Currency:EURKZT"")*K299)"),2128528)</f>
        <v>2128528</v>
      </c>
      <c r="P299" s="26">
        <f ca="1">IFERROR(__xludf.DUMMYFUNCTION("ROUND(GOOGLEFINANCE(""Currency:EURKZT"")*M299)"),238785)</f>
        <v>238785</v>
      </c>
      <c r="Q299" s="26">
        <f ca="1">IFERROR(__xludf.DUMMYFUNCTION("ROUND(GOOGLEFINANCE(""Currency:EURKZT"")*N299)"),238785)</f>
        <v>238785</v>
      </c>
      <c r="R299" s="26">
        <f t="shared" ca="1" si="265"/>
        <v>255423</v>
      </c>
      <c r="S299" s="26">
        <f t="shared" ca="1" si="266"/>
        <v>2861521</v>
      </c>
      <c r="T299" s="26">
        <f ca="1">IFERROR(__xludf.DUMMYFUNCTION("ROUND(GOOGLEFINANCE(""Currency:EURKZT"")*L299+S299)"),3265941)</f>
        <v>3265941</v>
      </c>
      <c r="U299" s="26">
        <f ca="1">IFERROR(__xludf.DUMMYFUNCTION("D299*GOOGLEFINANCE(""RUBKZT"")*1000/F299"),3869226.73841704)</f>
        <v>3869226.7384170401</v>
      </c>
      <c r="V299" s="27">
        <f t="shared" ca="1" si="267"/>
        <v>0.18472034198322629</v>
      </c>
    </row>
    <row r="300" spans="1:22" ht="12.75" customHeight="1" x14ac:dyDescent="0.2">
      <c r="A300" s="6" t="s">
        <v>444</v>
      </c>
      <c r="B300" s="6" t="s">
        <v>15</v>
      </c>
      <c r="C300" s="7">
        <v>209458</v>
      </c>
      <c r="D300" s="8">
        <v>92863.2</v>
      </c>
      <c r="E300" s="9" t="s">
        <v>16</v>
      </c>
      <c r="F300" s="36">
        <v>208</v>
      </c>
      <c r="G300" s="25"/>
      <c r="H300" s="14">
        <f t="shared" si="261"/>
        <v>0.55000000000000004</v>
      </c>
      <c r="I300" s="25">
        <f ca="1">IFERROR(__xludf.DUMMYFUNCTION("ROUND(D300*GOOGLEFINANCE(""RUBKZT"")*H300)"),398563)</f>
        <v>398563</v>
      </c>
      <c r="J300" s="26">
        <f ca="1">IFERROR(__xludf.DUMMYFUNCTION("ROUND(I300*GOOGLEFINANCE(""KZTEUR""))"),835)</f>
        <v>835</v>
      </c>
      <c r="K300" s="26">
        <f t="shared" ca="1" si="262"/>
        <v>4014</v>
      </c>
      <c r="L300" s="26">
        <f t="shared" ca="1" si="263"/>
        <v>762.66</v>
      </c>
      <c r="M300" s="26">
        <f t="shared" ref="M300:N300" si="307">M$3</f>
        <v>500</v>
      </c>
      <c r="N300" s="26">
        <f t="shared" si="307"/>
        <v>500</v>
      </c>
      <c r="O300" s="26">
        <f ca="1">IFERROR(__xludf.DUMMYFUNCTION("ROUND(GOOGLEFINANCE(""Currency:EURKZT"")*K300)"),1916964)</f>
        <v>1916964</v>
      </c>
      <c r="P300" s="26">
        <f ca="1">IFERROR(__xludf.DUMMYFUNCTION("ROUND(GOOGLEFINANCE(""Currency:EURKZT"")*M300)"),238785)</f>
        <v>238785</v>
      </c>
      <c r="Q300" s="26">
        <f ca="1">IFERROR(__xludf.DUMMYFUNCTION("ROUND(GOOGLEFINANCE(""Currency:EURKZT"")*N300)"),238785)</f>
        <v>238785</v>
      </c>
      <c r="R300" s="26">
        <f t="shared" ca="1" si="265"/>
        <v>230036</v>
      </c>
      <c r="S300" s="26">
        <f t="shared" ca="1" si="266"/>
        <v>2624570</v>
      </c>
      <c r="T300" s="26">
        <f ca="1">IFERROR(__xludf.DUMMYFUNCTION("ROUND(GOOGLEFINANCE(""Currency:EURKZT"")*L300+S300)"),2988793)</f>
        <v>2988793</v>
      </c>
      <c r="U300" s="26">
        <f ca="1">IFERROR(__xludf.DUMMYFUNCTION("D300*GOOGLEFINANCE(""RUBKZT"")*1000/F300"),3483942.80437426)</f>
        <v>3483942.8043742599</v>
      </c>
      <c r="V300" s="27">
        <f t="shared" ca="1" si="267"/>
        <v>0.16566881827355054</v>
      </c>
    </row>
    <row r="301" spans="1:22" ht="12.75" customHeight="1" x14ac:dyDescent="0.2">
      <c r="A301" s="6" t="s">
        <v>447</v>
      </c>
      <c r="B301" s="6" t="s">
        <v>15</v>
      </c>
      <c r="C301" s="7">
        <v>212513</v>
      </c>
      <c r="D301" s="8">
        <v>123939.59999999999</v>
      </c>
      <c r="E301" s="9" t="s">
        <v>16</v>
      </c>
      <c r="F301" s="36">
        <v>208</v>
      </c>
      <c r="G301" s="25"/>
      <c r="H301" s="14">
        <f t="shared" si="261"/>
        <v>0.55000000000000004</v>
      </c>
      <c r="I301" s="25">
        <f ca="1">IFERROR(__xludf.DUMMYFUNCTION("ROUND(D301*GOOGLEFINANCE(""RUBKZT"")*H301)"),531941)</f>
        <v>531941</v>
      </c>
      <c r="J301" s="26">
        <f ca="1">IFERROR(__xludf.DUMMYFUNCTION("ROUND(I301*GOOGLEFINANCE(""KZTEUR""))"),1114)</f>
        <v>1114</v>
      </c>
      <c r="K301" s="26">
        <f t="shared" ca="1" si="262"/>
        <v>5356</v>
      </c>
      <c r="L301" s="26">
        <f t="shared" ca="1" si="263"/>
        <v>1017.64</v>
      </c>
      <c r="M301" s="26">
        <f t="shared" ref="M301:N301" si="308">M$3</f>
        <v>500</v>
      </c>
      <c r="N301" s="26">
        <f t="shared" si="308"/>
        <v>500</v>
      </c>
      <c r="O301" s="26">
        <f ca="1">IFERROR(__xludf.DUMMYFUNCTION("ROUND(GOOGLEFINANCE(""Currency:EURKZT"")*K301)"),2557863)</f>
        <v>2557863</v>
      </c>
      <c r="P301" s="26">
        <f ca="1">IFERROR(__xludf.DUMMYFUNCTION("ROUND(GOOGLEFINANCE(""Currency:EURKZT"")*M301)"),238785)</f>
        <v>238785</v>
      </c>
      <c r="Q301" s="26">
        <f ca="1">IFERROR(__xludf.DUMMYFUNCTION("ROUND(GOOGLEFINANCE(""Currency:EURKZT"")*N301)"),238785)</f>
        <v>238785</v>
      </c>
      <c r="R301" s="26">
        <f t="shared" ca="1" si="265"/>
        <v>306944</v>
      </c>
      <c r="S301" s="26">
        <f t="shared" ca="1" si="266"/>
        <v>3342377</v>
      </c>
      <c r="T301" s="26">
        <f ca="1">IFERROR(__xludf.DUMMYFUNCTION("ROUND(GOOGLEFINANCE(""Currency:EURKZT"")*L301+S301)"),3828371)</f>
        <v>3828371</v>
      </c>
      <c r="U301" s="26">
        <f ca="1">IFERROR(__xludf.DUMMYFUNCTION("D301*GOOGLEFINANCE(""RUBKZT"")*1000/F301"),4649834.1387872)</f>
        <v>4649834.1387871997</v>
      </c>
      <c r="V301" s="27">
        <f t="shared" ca="1" si="267"/>
        <v>0.21457250062420799</v>
      </c>
    </row>
    <row r="302" spans="1:22" ht="12.75" customHeight="1" x14ac:dyDescent="0.2">
      <c r="A302" s="6" t="s">
        <v>448</v>
      </c>
      <c r="B302" s="6" t="s">
        <v>15</v>
      </c>
      <c r="C302" s="7">
        <v>213101</v>
      </c>
      <c r="D302" s="8">
        <v>125414.39999999999</v>
      </c>
      <c r="E302" s="9" t="s">
        <v>16</v>
      </c>
      <c r="F302" s="36">
        <v>208</v>
      </c>
      <c r="G302" s="25"/>
      <c r="H302" s="14">
        <f t="shared" si="261"/>
        <v>0.55000000000000004</v>
      </c>
      <c r="I302" s="25">
        <f ca="1">IFERROR(__xludf.DUMMYFUNCTION("ROUND(D302*GOOGLEFINANCE(""RUBKZT"")*H302)"),538271)</f>
        <v>538271</v>
      </c>
      <c r="J302" s="26">
        <f ca="1">IFERROR(__xludf.DUMMYFUNCTION("ROUND(I302*GOOGLEFINANCE(""KZTEUR""))"),1127)</f>
        <v>1127</v>
      </c>
      <c r="K302" s="26">
        <f t="shared" ca="1" si="262"/>
        <v>5418</v>
      </c>
      <c r="L302" s="26">
        <f t="shared" ca="1" si="263"/>
        <v>1029.42</v>
      </c>
      <c r="M302" s="26">
        <f t="shared" ref="M302:N302" si="309">M$3</f>
        <v>500</v>
      </c>
      <c r="N302" s="26">
        <f t="shared" si="309"/>
        <v>500</v>
      </c>
      <c r="O302" s="26">
        <f ca="1">IFERROR(__xludf.DUMMYFUNCTION("ROUND(GOOGLEFINANCE(""Currency:EURKZT"")*K302)"),2587472)</f>
        <v>2587472</v>
      </c>
      <c r="P302" s="26">
        <f ca="1">IFERROR(__xludf.DUMMYFUNCTION("ROUND(GOOGLEFINANCE(""Currency:EURKZT"")*M302)"),238785)</f>
        <v>238785</v>
      </c>
      <c r="Q302" s="26">
        <f ca="1">IFERROR(__xludf.DUMMYFUNCTION("ROUND(GOOGLEFINANCE(""Currency:EURKZT"")*N302)"),238785)</f>
        <v>238785</v>
      </c>
      <c r="R302" s="26">
        <f t="shared" ca="1" si="265"/>
        <v>310497</v>
      </c>
      <c r="S302" s="26">
        <f t="shared" ca="1" si="266"/>
        <v>3375539</v>
      </c>
      <c r="T302" s="26">
        <f ca="1">IFERROR(__xludf.DUMMYFUNCTION("ROUND(GOOGLEFINANCE(""Currency:EURKZT"")*L302+S302)"),3867159)</f>
        <v>3867159</v>
      </c>
      <c r="U302" s="26">
        <f ca="1">IFERROR(__xludf.DUMMYFUNCTION("D302*GOOGLEFINANCE(""RUBKZT"")*1000/F302"),4705164.11716283)</f>
        <v>4705164.1171628302</v>
      </c>
      <c r="V302" s="27">
        <f t="shared" ca="1" si="267"/>
        <v>0.21669786971852728</v>
      </c>
    </row>
    <row r="303" spans="1:22" ht="12.75" customHeight="1" x14ac:dyDescent="0.2">
      <c r="A303" s="6" t="s">
        <v>449</v>
      </c>
      <c r="B303" s="6" t="s">
        <v>15</v>
      </c>
      <c r="C303" s="7">
        <v>213457</v>
      </c>
      <c r="D303" s="8">
        <v>128792.4</v>
      </c>
      <c r="E303" s="9" t="s">
        <v>16</v>
      </c>
      <c r="F303" s="36">
        <v>208</v>
      </c>
      <c r="G303" s="25"/>
      <c r="H303" s="14">
        <f t="shared" si="261"/>
        <v>0.55000000000000004</v>
      </c>
      <c r="I303" s="25">
        <f ca="1">IFERROR(__xludf.DUMMYFUNCTION("ROUND(D303*GOOGLEFINANCE(""RUBKZT"")*H303)"),552769)</f>
        <v>552769</v>
      </c>
      <c r="J303" s="26">
        <f ca="1">IFERROR(__xludf.DUMMYFUNCTION("ROUND(I303*GOOGLEFINANCE(""KZTEUR""))"),1158)</f>
        <v>1158</v>
      </c>
      <c r="K303" s="26">
        <f t="shared" ca="1" si="262"/>
        <v>5567</v>
      </c>
      <c r="L303" s="26">
        <f t="shared" ca="1" si="263"/>
        <v>1057.73</v>
      </c>
      <c r="M303" s="26">
        <f t="shared" ref="M303:N303" si="310">M$3</f>
        <v>500</v>
      </c>
      <c r="N303" s="26">
        <f t="shared" si="310"/>
        <v>500</v>
      </c>
      <c r="O303" s="26">
        <f ca="1">IFERROR(__xludf.DUMMYFUNCTION("ROUND(GOOGLEFINANCE(""Currency:EURKZT"")*K303)"),2658630)</f>
        <v>2658630</v>
      </c>
      <c r="P303" s="26">
        <f ca="1">IFERROR(__xludf.DUMMYFUNCTION("ROUND(GOOGLEFINANCE(""Currency:EURKZT"")*M303)"),238785)</f>
        <v>238785</v>
      </c>
      <c r="Q303" s="26">
        <f ca="1">IFERROR(__xludf.DUMMYFUNCTION("ROUND(GOOGLEFINANCE(""Currency:EURKZT"")*N303)"),238785)</f>
        <v>238785</v>
      </c>
      <c r="R303" s="26">
        <f t="shared" ca="1" si="265"/>
        <v>319036</v>
      </c>
      <c r="S303" s="26">
        <f t="shared" ca="1" si="266"/>
        <v>3455236</v>
      </c>
      <c r="T303" s="26">
        <f ca="1">IFERROR(__xludf.DUMMYFUNCTION("ROUND(GOOGLEFINANCE(""Currency:EURKZT"")*L303+S303)"),3960376)</f>
        <v>3960376</v>
      </c>
      <c r="U303" s="26">
        <f ca="1">IFERROR(__xludf.DUMMYFUNCTION("D303*GOOGLEFINANCE(""RUBKZT"")*1000/F303"),4831896.32963425)</f>
        <v>4831896.3296342501</v>
      </c>
      <c r="V303" s="27">
        <f t="shared" ca="1" si="267"/>
        <v>0.22005999673623164</v>
      </c>
    </row>
    <row r="304" spans="1:22" ht="12.75" customHeight="1" x14ac:dyDescent="0.2">
      <c r="A304" s="6" t="s">
        <v>450</v>
      </c>
      <c r="B304" s="6" t="s">
        <v>15</v>
      </c>
      <c r="C304" s="7">
        <v>213632</v>
      </c>
      <c r="D304" s="8">
        <v>81411.599999999991</v>
      </c>
      <c r="E304" s="9" t="s">
        <v>16</v>
      </c>
      <c r="F304" s="36">
        <v>208</v>
      </c>
      <c r="G304" s="25"/>
      <c r="H304" s="14">
        <f t="shared" si="261"/>
        <v>0.55000000000000004</v>
      </c>
      <c r="I304" s="25">
        <f ca="1">IFERROR(__xludf.DUMMYFUNCTION("ROUND(D304*GOOGLEFINANCE(""RUBKZT"")*H304)"),349414)</f>
        <v>349414</v>
      </c>
      <c r="J304" s="26">
        <f ca="1">IFERROR(__xludf.DUMMYFUNCTION("ROUND(I304*GOOGLEFINANCE(""KZTEUR""))"),732)</f>
        <v>732</v>
      </c>
      <c r="K304" s="26">
        <f t="shared" ca="1" si="262"/>
        <v>3519</v>
      </c>
      <c r="L304" s="26">
        <f t="shared" ca="1" si="263"/>
        <v>668.61</v>
      </c>
      <c r="M304" s="26">
        <f t="shared" ref="M304:N304" si="311">M$3</f>
        <v>500</v>
      </c>
      <c r="N304" s="26">
        <f t="shared" si="311"/>
        <v>500</v>
      </c>
      <c r="O304" s="26">
        <f ca="1">IFERROR(__xludf.DUMMYFUNCTION("ROUND(GOOGLEFINANCE(""Currency:EURKZT"")*K304)"),1680567)</f>
        <v>1680567</v>
      </c>
      <c r="P304" s="26">
        <f ca="1">IFERROR(__xludf.DUMMYFUNCTION("ROUND(GOOGLEFINANCE(""Currency:EURKZT"")*M304)"),238785)</f>
        <v>238785</v>
      </c>
      <c r="Q304" s="26">
        <f ca="1">IFERROR(__xludf.DUMMYFUNCTION("ROUND(GOOGLEFINANCE(""Currency:EURKZT"")*N304)"),238785)</f>
        <v>238785</v>
      </c>
      <c r="R304" s="26">
        <f t="shared" ca="1" si="265"/>
        <v>201668</v>
      </c>
      <c r="S304" s="26">
        <f t="shared" ca="1" si="266"/>
        <v>2359805</v>
      </c>
      <c r="T304" s="26">
        <f ca="1">IFERROR(__xludf.DUMMYFUNCTION("ROUND(GOOGLEFINANCE(""Currency:EURKZT"")*L304+S304)"),2679113)</f>
        <v>2679113</v>
      </c>
      <c r="U304" s="26">
        <f ca="1">IFERROR(__xludf.DUMMYFUNCTION("D304*GOOGLEFINANCE(""RUBKZT"")*1000/F304"),3054313.85104751)</f>
        <v>3054313.8510475098</v>
      </c>
      <c r="V304" s="27">
        <f t="shared" ca="1" si="267"/>
        <v>0.14004666882192346</v>
      </c>
    </row>
    <row r="305" spans="1:22" ht="12.75" customHeight="1" x14ac:dyDescent="0.2">
      <c r="A305" s="6" t="s">
        <v>452</v>
      </c>
      <c r="B305" s="6" t="s">
        <v>15</v>
      </c>
      <c r="C305" s="7">
        <v>213642</v>
      </c>
      <c r="D305" s="8">
        <v>92262</v>
      </c>
      <c r="E305" s="9" t="s">
        <v>16</v>
      </c>
      <c r="F305" s="36">
        <v>208</v>
      </c>
      <c r="G305" s="25"/>
      <c r="H305" s="14">
        <f t="shared" si="261"/>
        <v>0.55000000000000004</v>
      </c>
      <c r="I305" s="25">
        <f ca="1">IFERROR(__xludf.DUMMYFUNCTION("ROUND(D305*GOOGLEFINANCE(""RUBKZT"")*H305)"),395983)</f>
        <v>395983</v>
      </c>
      <c r="J305" s="26">
        <f ca="1">IFERROR(__xludf.DUMMYFUNCTION("ROUND(I305*GOOGLEFINANCE(""KZTEUR""))"),829)</f>
        <v>829</v>
      </c>
      <c r="K305" s="26">
        <f t="shared" ca="1" si="262"/>
        <v>3986</v>
      </c>
      <c r="L305" s="26">
        <f t="shared" ca="1" si="263"/>
        <v>757.34</v>
      </c>
      <c r="M305" s="26">
        <f t="shared" ref="M305:N305" si="312">M$3</f>
        <v>500</v>
      </c>
      <c r="N305" s="26">
        <f t="shared" si="312"/>
        <v>500</v>
      </c>
      <c r="O305" s="26">
        <f ca="1">IFERROR(__xludf.DUMMYFUNCTION("ROUND(GOOGLEFINANCE(""Currency:EURKZT"")*K305)"),1903592)</f>
        <v>1903592</v>
      </c>
      <c r="P305" s="26">
        <f ca="1">IFERROR(__xludf.DUMMYFUNCTION("ROUND(GOOGLEFINANCE(""Currency:EURKZT"")*M305)"),238785)</f>
        <v>238785</v>
      </c>
      <c r="Q305" s="26">
        <f ca="1">IFERROR(__xludf.DUMMYFUNCTION("ROUND(GOOGLEFINANCE(""Currency:EURKZT"")*N305)"),238785)</f>
        <v>238785</v>
      </c>
      <c r="R305" s="26">
        <f t="shared" ca="1" si="265"/>
        <v>228431</v>
      </c>
      <c r="S305" s="26">
        <f t="shared" ca="1" si="266"/>
        <v>2609593</v>
      </c>
      <c r="T305" s="26">
        <f ca="1">IFERROR(__xludf.DUMMYFUNCTION("ROUND(GOOGLEFINANCE(""Currency:EURKZT"")*L305+S305)"),2971276)</f>
        <v>2971276</v>
      </c>
      <c r="U305" s="26">
        <f ca="1">IFERROR(__xludf.DUMMYFUNCTION("D305*GOOGLEFINANCE(""RUBKZT"")*1000/F305"),3461387.62197703)</f>
        <v>3461387.6219770298</v>
      </c>
      <c r="V305" s="27">
        <f t="shared" ca="1" si="267"/>
        <v>0.16494988078422532</v>
      </c>
    </row>
    <row r="306" spans="1:22" ht="12.75" customHeight="1" x14ac:dyDescent="0.2">
      <c r="A306" s="6" t="s">
        <v>455</v>
      </c>
      <c r="B306" s="6" t="s">
        <v>15</v>
      </c>
      <c r="C306" s="7">
        <v>213656</v>
      </c>
      <c r="D306" s="8">
        <v>88890</v>
      </c>
      <c r="E306" s="9" t="s">
        <v>16</v>
      </c>
      <c r="F306" s="36">
        <v>208</v>
      </c>
      <c r="G306" s="25"/>
      <c r="H306" s="14">
        <f t="shared" si="261"/>
        <v>0.55000000000000004</v>
      </c>
      <c r="I306" s="25">
        <f ca="1">IFERROR(__xludf.DUMMYFUNCTION("ROUND(D306*GOOGLEFINANCE(""RUBKZT"")*H306)"),381510)</f>
        <v>381510</v>
      </c>
      <c r="J306" s="26">
        <f ca="1">IFERROR(__xludf.DUMMYFUNCTION("ROUND(I306*GOOGLEFINANCE(""KZTEUR""))"),799)</f>
        <v>799</v>
      </c>
      <c r="K306" s="26">
        <f t="shared" ca="1" si="262"/>
        <v>3841</v>
      </c>
      <c r="L306" s="26">
        <f t="shared" ca="1" si="263"/>
        <v>729.79</v>
      </c>
      <c r="M306" s="26">
        <f t="shared" ref="M306:N306" si="313">M$3</f>
        <v>500</v>
      </c>
      <c r="N306" s="26">
        <f t="shared" si="313"/>
        <v>500</v>
      </c>
      <c r="O306" s="26">
        <f ca="1">IFERROR(__xludf.DUMMYFUNCTION("ROUND(GOOGLEFINANCE(""Currency:EURKZT"")*K306)"),1834345)</f>
        <v>1834345</v>
      </c>
      <c r="P306" s="26">
        <f ca="1">IFERROR(__xludf.DUMMYFUNCTION("ROUND(GOOGLEFINANCE(""Currency:EURKZT"")*M306)"),238785)</f>
        <v>238785</v>
      </c>
      <c r="Q306" s="26">
        <f ca="1">IFERROR(__xludf.DUMMYFUNCTION("ROUND(GOOGLEFINANCE(""Currency:EURKZT"")*N306)"),238785)</f>
        <v>238785</v>
      </c>
      <c r="R306" s="26">
        <f t="shared" ca="1" si="265"/>
        <v>220121</v>
      </c>
      <c r="S306" s="26">
        <f t="shared" ca="1" si="266"/>
        <v>2532036</v>
      </c>
      <c r="T306" s="26">
        <f ca="1">IFERROR(__xludf.DUMMYFUNCTION("ROUND(GOOGLEFINANCE(""Currency:EURKZT"")*L306+S306)"),2880562)</f>
        <v>2880562</v>
      </c>
      <c r="U306" s="26">
        <f ca="1">IFERROR(__xludf.DUMMYFUNCTION("D306*GOOGLEFINANCE(""RUBKZT"")*1000/F306"),3334880.51112634)</f>
        <v>3334880.5111263399</v>
      </c>
      <c r="V306" s="27">
        <f t="shared" ca="1" si="267"/>
        <v>0.1577187059769378</v>
      </c>
    </row>
    <row r="307" spans="1:22" ht="12.75" customHeight="1" x14ac:dyDescent="0.2">
      <c r="A307" s="6" t="s">
        <v>473</v>
      </c>
      <c r="B307" s="6" t="s">
        <v>15</v>
      </c>
      <c r="C307" s="7">
        <v>213693</v>
      </c>
      <c r="D307" s="8">
        <v>71788.800000000003</v>
      </c>
      <c r="E307" s="9" t="s">
        <v>16</v>
      </c>
      <c r="F307" s="36">
        <v>208</v>
      </c>
      <c r="G307" s="25"/>
      <c r="H307" s="14">
        <f t="shared" si="261"/>
        <v>0.55000000000000004</v>
      </c>
      <c r="I307" s="25">
        <f ca="1">IFERROR(__xludf.DUMMYFUNCTION("ROUND(D307*GOOGLEFINANCE(""RUBKZT"")*H307)"),308113)</f>
        <v>308113</v>
      </c>
      <c r="J307" s="26">
        <f ca="1">IFERROR(__xludf.DUMMYFUNCTION("ROUND(I307*GOOGLEFINANCE(""KZTEUR""))"),645)</f>
        <v>645</v>
      </c>
      <c r="K307" s="26">
        <f t="shared" ca="1" si="262"/>
        <v>3101</v>
      </c>
      <c r="L307" s="26">
        <f t="shared" ca="1" si="263"/>
        <v>589.19000000000005</v>
      </c>
      <c r="M307" s="26">
        <f t="shared" ref="M307:N307" si="314">M$3</f>
        <v>500</v>
      </c>
      <c r="N307" s="26">
        <f t="shared" si="314"/>
        <v>500</v>
      </c>
      <c r="O307" s="26">
        <f ca="1">IFERROR(__xludf.DUMMYFUNCTION("ROUND(GOOGLEFINANCE(""Currency:EURKZT"")*K307)"),1480943)</f>
        <v>1480943</v>
      </c>
      <c r="P307" s="26">
        <f ca="1">IFERROR(__xludf.DUMMYFUNCTION("ROUND(GOOGLEFINANCE(""Currency:EURKZT"")*M307)"),238785)</f>
        <v>238785</v>
      </c>
      <c r="Q307" s="26">
        <f ca="1">IFERROR(__xludf.DUMMYFUNCTION("ROUND(GOOGLEFINANCE(""Currency:EURKZT"")*N307)"),238785)</f>
        <v>238785</v>
      </c>
      <c r="R307" s="26">
        <f t="shared" ca="1" si="265"/>
        <v>177713</v>
      </c>
      <c r="S307" s="26">
        <f t="shared" ca="1" si="266"/>
        <v>2136226</v>
      </c>
      <c r="T307" s="26">
        <f ca="1">IFERROR(__xludf.DUMMYFUNCTION("ROUND(GOOGLEFINANCE(""Currency:EURKZT"")*L307+S307)"),2417605)</f>
        <v>2417605</v>
      </c>
      <c r="U307" s="26">
        <f ca="1">IFERROR(__xludf.DUMMYFUNCTION("D307*GOOGLEFINANCE(""RUBKZT"")*1000/F307"),2693295.8717195)</f>
        <v>2693295.8717195</v>
      </c>
      <c r="V307" s="27">
        <f t="shared" ca="1" si="267"/>
        <v>0.11403470447798547</v>
      </c>
    </row>
    <row r="308" spans="1:22" ht="12.75" customHeight="1" x14ac:dyDescent="0.2">
      <c r="A308" s="6" t="s">
        <v>481</v>
      </c>
      <c r="B308" s="6" t="s">
        <v>15</v>
      </c>
      <c r="C308" s="7">
        <v>213721</v>
      </c>
      <c r="D308" s="8">
        <v>131258.4</v>
      </c>
      <c r="E308" s="9" t="s">
        <v>16</v>
      </c>
      <c r="F308" s="36">
        <v>208</v>
      </c>
      <c r="G308" s="25"/>
      <c r="H308" s="14">
        <f t="shared" si="261"/>
        <v>0.55000000000000004</v>
      </c>
      <c r="I308" s="25">
        <f ca="1">IFERROR(__xludf.DUMMYFUNCTION("ROUND(D308*GOOGLEFINANCE(""RUBKZT"")*H308)"),563353)</f>
        <v>563353</v>
      </c>
      <c r="J308" s="26">
        <f ca="1">IFERROR(__xludf.DUMMYFUNCTION("ROUND(I308*GOOGLEFINANCE(""KZTEUR""))"),1180)</f>
        <v>1180</v>
      </c>
      <c r="K308" s="26">
        <f t="shared" ca="1" si="262"/>
        <v>5673</v>
      </c>
      <c r="L308" s="26">
        <f t="shared" ca="1" si="263"/>
        <v>1077.8700000000001</v>
      </c>
      <c r="M308" s="26">
        <f t="shared" ref="M308:N308" si="315">M$3</f>
        <v>500</v>
      </c>
      <c r="N308" s="26">
        <f t="shared" si="315"/>
        <v>500</v>
      </c>
      <c r="O308" s="26">
        <f ca="1">IFERROR(__xludf.DUMMYFUNCTION("ROUND(GOOGLEFINANCE(""Currency:EURKZT"")*K308)"),2709252)</f>
        <v>2709252</v>
      </c>
      <c r="P308" s="26">
        <f ca="1">IFERROR(__xludf.DUMMYFUNCTION("ROUND(GOOGLEFINANCE(""Currency:EURKZT"")*M308)"),238785)</f>
        <v>238785</v>
      </c>
      <c r="Q308" s="26">
        <f ca="1">IFERROR(__xludf.DUMMYFUNCTION("ROUND(GOOGLEFINANCE(""Currency:EURKZT"")*N308)"),238785)</f>
        <v>238785</v>
      </c>
      <c r="R308" s="26">
        <f t="shared" ca="1" si="265"/>
        <v>325110</v>
      </c>
      <c r="S308" s="26">
        <f t="shared" ca="1" si="266"/>
        <v>3511932</v>
      </c>
      <c r="T308" s="26">
        <f ca="1">IFERROR(__xludf.DUMMYFUNCTION("ROUND(GOOGLEFINANCE(""Currency:EURKZT"")*L308+S308)"),4026690)</f>
        <v>4026690</v>
      </c>
      <c r="U308" s="26">
        <f ca="1">IFERROR(__xludf.DUMMYFUNCTION("D308*GOOGLEFINANCE(""RUBKZT"")*1000/F308"),4924413.0957546)</f>
        <v>4924413.0957546001</v>
      </c>
      <c r="V308" s="27">
        <f t="shared" ca="1" si="267"/>
        <v>0.22294318553317988</v>
      </c>
    </row>
    <row r="309" spans="1:22" ht="12.75" customHeight="1" x14ac:dyDescent="0.2">
      <c r="A309" s="6" t="s">
        <v>494</v>
      </c>
      <c r="B309" s="6" t="s">
        <v>15</v>
      </c>
      <c r="C309" s="7">
        <v>213776</v>
      </c>
      <c r="D309" s="8">
        <v>114498</v>
      </c>
      <c r="E309" s="9" t="s">
        <v>16</v>
      </c>
      <c r="F309" s="36">
        <v>208</v>
      </c>
      <c r="G309" s="25"/>
      <c r="H309" s="14">
        <f t="shared" si="261"/>
        <v>0.55000000000000004</v>
      </c>
      <c r="I309" s="25">
        <f ca="1">IFERROR(__xludf.DUMMYFUNCTION("ROUND(D309*GOOGLEFINANCE(""RUBKZT"")*H309)"),491418)</f>
        <v>491418</v>
      </c>
      <c r="J309" s="26">
        <f ca="1">IFERROR(__xludf.DUMMYFUNCTION("ROUND(I309*GOOGLEFINANCE(""KZTEUR""))"),1029)</f>
        <v>1029</v>
      </c>
      <c r="K309" s="26">
        <f t="shared" ca="1" si="262"/>
        <v>4947</v>
      </c>
      <c r="L309" s="26">
        <f t="shared" ca="1" si="263"/>
        <v>939.93000000000006</v>
      </c>
      <c r="M309" s="26">
        <f t="shared" ref="M309:N309" si="316">M$3</f>
        <v>500</v>
      </c>
      <c r="N309" s="26">
        <f t="shared" si="316"/>
        <v>500</v>
      </c>
      <c r="O309" s="26">
        <f ca="1">IFERROR(__xludf.DUMMYFUNCTION("ROUND(GOOGLEFINANCE(""Currency:EURKZT"")*K309)"),2362537)</f>
        <v>2362537</v>
      </c>
      <c r="P309" s="26">
        <f ca="1">IFERROR(__xludf.DUMMYFUNCTION("ROUND(GOOGLEFINANCE(""Currency:EURKZT"")*M309)"),238785)</f>
        <v>238785</v>
      </c>
      <c r="Q309" s="26">
        <f ca="1">IFERROR(__xludf.DUMMYFUNCTION("ROUND(GOOGLEFINANCE(""Currency:EURKZT"")*N309)"),238785)</f>
        <v>238785</v>
      </c>
      <c r="R309" s="26">
        <f t="shared" ca="1" si="265"/>
        <v>283504</v>
      </c>
      <c r="S309" s="26">
        <f t="shared" ca="1" si="266"/>
        <v>3123611</v>
      </c>
      <c r="T309" s="26">
        <f ca="1">IFERROR(__xludf.DUMMYFUNCTION("ROUND(GOOGLEFINANCE(""Currency:EURKZT"")*L309+S309)"),3572493)</f>
        <v>3572493</v>
      </c>
      <c r="U309" s="26">
        <f ca="1">IFERROR(__xludf.DUMMYFUNCTION("D309*GOOGLEFINANCE(""RUBKZT"")*1000/F309"),4295614.22840526)</f>
        <v>4295614.2284052595</v>
      </c>
      <c r="V309" s="27">
        <f t="shared" ca="1" si="267"/>
        <v>0.20241361659918145</v>
      </c>
    </row>
    <row r="310" spans="1:22" ht="12.75" customHeight="1" x14ac:dyDescent="0.2">
      <c r="A310" s="6" t="s">
        <v>499</v>
      </c>
      <c r="B310" s="6" t="s">
        <v>15</v>
      </c>
      <c r="C310" s="7">
        <v>213809</v>
      </c>
      <c r="D310" s="8">
        <v>131348.4</v>
      </c>
      <c r="E310" s="9" t="s">
        <v>16</v>
      </c>
      <c r="F310" s="36">
        <v>208</v>
      </c>
      <c r="G310" s="25"/>
      <c r="H310" s="14">
        <f t="shared" si="261"/>
        <v>0.55000000000000004</v>
      </c>
      <c r="I310" s="25">
        <f ca="1">IFERROR(__xludf.DUMMYFUNCTION("ROUND(D310*GOOGLEFINANCE(""RUBKZT"")*H310)"),563739)</f>
        <v>563739</v>
      </c>
      <c r="J310" s="26">
        <f ca="1">IFERROR(__xludf.DUMMYFUNCTION("ROUND(I310*GOOGLEFINANCE(""KZTEUR""))"),1181)</f>
        <v>1181</v>
      </c>
      <c r="K310" s="26">
        <f t="shared" ca="1" si="262"/>
        <v>5678</v>
      </c>
      <c r="L310" s="26">
        <f t="shared" ca="1" si="263"/>
        <v>1078.82</v>
      </c>
      <c r="M310" s="26">
        <f t="shared" ref="M310:N310" si="317">M$3</f>
        <v>500</v>
      </c>
      <c r="N310" s="26">
        <f t="shared" si="317"/>
        <v>500</v>
      </c>
      <c r="O310" s="26">
        <f ca="1">IFERROR(__xludf.DUMMYFUNCTION("ROUND(GOOGLEFINANCE(""Currency:EURKZT"")*K310)"),2711640)</f>
        <v>2711640</v>
      </c>
      <c r="P310" s="26">
        <f ca="1">IFERROR(__xludf.DUMMYFUNCTION("ROUND(GOOGLEFINANCE(""Currency:EURKZT"")*M310)"),238785)</f>
        <v>238785</v>
      </c>
      <c r="Q310" s="26">
        <f ca="1">IFERROR(__xludf.DUMMYFUNCTION("ROUND(GOOGLEFINANCE(""Currency:EURKZT"")*N310)"),238785)</f>
        <v>238785</v>
      </c>
      <c r="R310" s="26">
        <f t="shared" ca="1" si="265"/>
        <v>325397</v>
      </c>
      <c r="S310" s="26">
        <f t="shared" ca="1" si="266"/>
        <v>3514607</v>
      </c>
      <c r="T310" s="26">
        <f ca="1">IFERROR(__xludf.DUMMYFUNCTION("ROUND(GOOGLEFINANCE(""Currency:EURKZT"")*L310+S310)"),4029819)</f>
        <v>4029819</v>
      </c>
      <c r="U310" s="26">
        <f ca="1">IFERROR(__xludf.DUMMYFUNCTION("D310*GOOGLEFINANCE(""RUBKZT"")*1000/F310"),4927789.62006556)</f>
        <v>4927789.6200655596</v>
      </c>
      <c r="V310" s="27">
        <f t="shared" ca="1" si="267"/>
        <v>0.22283150187776662</v>
      </c>
    </row>
    <row r="311" spans="1:22" ht="12.75" customHeight="1" x14ac:dyDescent="0.2">
      <c r="A311" s="6" t="s">
        <v>519</v>
      </c>
      <c r="B311" s="6" t="s">
        <v>15</v>
      </c>
      <c r="C311" s="7">
        <v>213857</v>
      </c>
      <c r="D311" s="8">
        <v>124369.2</v>
      </c>
      <c r="E311" s="9" t="s">
        <v>16</v>
      </c>
      <c r="F311" s="36">
        <v>208</v>
      </c>
      <c r="G311" s="25"/>
      <c r="H311" s="14">
        <f t="shared" si="261"/>
        <v>0.55000000000000004</v>
      </c>
      <c r="I311" s="25">
        <f ca="1">IFERROR(__xludf.DUMMYFUNCTION("ROUND(D311*GOOGLEFINANCE(""RUBKZT"")*H311)"),533785)</f>
        <v>533785</v>
      </c>
      <c r="J311" s="26">
        <f ca="1">IFERROR(__xludf.DUMMYFUNCTION("ROUND(I311*GOOGLEFINANCE(""KZTEUR""))"),1118)</f>
        <v>1118</v>
      </c>
      <c r="K311" s="26">
        <f t="shared" ca="1" si="262"/>
        <v>5375</v>
      </c>
      <c r="L311" s="26">
        <f t="shared" ca="1" si="263"/>
        <v>1021.25</v>
      </c>
      <c r="M311" s="26">
        <f t="shared" ref="M311:N311" si="318">M$3</f>
        <v>500</v>
      </c>
      <c r="N311" s="26">
        <f t="shared" si="318"/>
        <v>500</v>
      </c>
      <c r="O311" s="26">
        <f ca="1">IFERROR(__xludf.DUMMYFUNCTION("ROUND(GOOGLEFINANCE(""Currency:EURKZT"")*K311)"),2566937)</f>
        <v>2566937</v>
      </c>
      <c r="P311" s="26">
        <f ca="1">IFERROR(__xludf.DUMMYFUNCTION("ROUND(GOOGLEFINANCE(""Currency:EURKZT"")*M311)"),238785)</f>
        <v>238785</v>
      </c>
      <c r="Q311" s="26">
        <f ca="1">IFERROR(__xludf.DUMMYFUNCTION("ROUND(GOOGLEFINANCE(""Currency:EURKZT"")*N311)"),238785)</f>
        <v>238785</v>
      </c>
      <c r="R311" s="26">
        <f t="shared" ca="1" si="265"/>
        <v>308032</v>
      </c>
      <c r="S311" s="26">
        <f t="shared" ca="1" si="266"/>
        <v>3352539</v>
      </c>
      <c r="T311" s="26">
        <f ca="1">IFERROR(__xludf.DUMMYFUNCTION("ROUND(GOOGLEFINANCE(""Currency:EURKZT"")*L311+S311)"),3840257)</f>
        <v>3840257</v>
      </c>
      <c r="U311" s="26">
        <f ca="1">IFERROR(__xludf.DUMMYFUNCTION("D311*GOOGLEFINANCE(""RUBKZT"")*1000/F311"),4665951.41483153)</f>
        <v>4665951.4148315303</v>
      </c>
      <c r="V311" s="27">
        <f t="shared" ca="1" si="267"/>
        <v>0.21501019719032613</v>
      </c>
    </row>
    <row r="312" spans="1:22" ht="12.75" customHeight="1" x14ac:dyDescent="0.2">
      <c r="A312" s="6" t="s">
        <v>584</v>
      </c>
      <c r="B312" s="6" t="s">
        <v>15</v>
      </c>
      <c r="C312" s="7">
        <v>214018</v>
      </c>
      <c r="D312" s="8">
        <v>101115.59999999999</v>
      </c>
      <c r="E312" s="9" t="s">
        <v>16</v>
      </c>
      <c r="F312" s="36">
        <v>208</v>
      </c>
      <c r="G312" s="25"/>
      <c r="H312" s="14">
        <f t="shared" si="261"/>
        <v>0.55000000000000004</v>
      </c>
      <c r="I312" s="25">
        <f ca="1">IFERROR(__xludf.DUMMYFUNCTION("ROUND(D312*GOOGLEFINANCE(""RUBKZT"")*H312)"),433982)</f>
        <v>433982</v>
      </c>
      <c r="J312" s="26">
        <f ca="1">IFERROR(__xludf.DUMMYFUNCTION("ROUND(I312*GOOGLEFINANCE(""KZTEUR""))"),909)</f>
        <v>909</v>
      </c>
      <c r="K312" s="26">
        <f t="shared" ca="1" si="262"/>
        <v>4370</v>
      </c>
      <c r="L312" s="26">
        <f t="shared" ca="1" si="263"/>
        <v>830.3</v>
      </c>
      <c r="M312" s="26">
        <f t="shared" ref="M312:N312" si="319">M$3</f>
        <v>500</v>
      </c>
      <c r="N312" s="26">
        <f t="shared" si="319"/>
        <v>500</v>
      </c>
      <c r="O312" s="26">
        <f ca="1">IFERROR(__xludf.DUMMYFUNCTION("ROUND(GOOGLEFINANCE(""Currency:EURKZT"")*K312)"),2086979)</f>
        <v>2086979</v>
      </c>
      <c r="P312" s="26">
        <f ca="1">IFERROR(__xludf.DUMMYFUNCTION("ROUND(GOOGLEFINANCE(""Currency:EURKZT"")*M312)"),238785)</f>
        <v>238785</v>
      </c>
      <c r="Q312" s="26">
        <f ca="1">IFERROR(__xludf.DUMMYFUNCTION("ROUND(GOOGLEFINANCE(""Currency:EURKZT"")*N312)"),238785)</f>
        <v>238785</v>
      </c>
      <c r="R312" s="26">
        <f t="shared" ca="1" si="265"/>
        <v>250437</v>
      </c>
      <c r="S312" s="26">
        <f t="shared" ca="1" si="266"/>
        <v>2814986</v>
      </c>
      <c r="T312" s="26">
        <f ca="1">IFERROR(__xludf.DUMMYFUNCTION("ROUND(GOOGLEFINANCE(""Currency:EURKZT"")*L312+S312)"),3211512)</f>
        <v>3211512</v>
      </c>
      <c r="U312" s="26">
        <f ca="1">IFERROR(__xludf.DUMMYFUNCTION("D312*GOOGLEFINANCE(""RUBKZT"")*1000/F312"),3793547.57352736)</f>
        <v>3793547.5735273599</v>
      </c>
      <c r="V312" s="27">
        <f t="shared" ca="1" si="267"/>
        <v>0.18123412695557728</v>
      </c>
    </row>
    <row r="313" spans="1:22" ht="12.75" customHeight="1" x14ac:dyDescent="0.2">
      <c r="A313" s="6" t="s">
        <v>593</v>
      </c>
      <c r="B313" s="6" t="s">
        <v>15</v>
      </c>
      <c r="C313" s="7">
        <v>214075</v>
      </c>
      <c r="D313" s="8">
        <v>337952.39999999997</v>
      </c>
      <c r="E313" s="9" t="s">
        <v>16</v>
      </c>
      <c r="F313" s="36">
        <v>208</v>
      </c>
      <c r="G313" s="25"/>
      <c r="H313" s="14">
        <f t="shared" si="261"/>
        <v>0.55000000000000004</v>
      </c>
      <c r="I313" s="25">
        <f ca="1">IFERROR(__xludf.DUMMYFUNCTION("ROUND(D313*GOOGLEFINANCE(""RUBKZT"")*H313)"),1450471)</f>
        <v>1450471</v>
      </c>
      <c r="J313" s="26">
        <f ca="1">IFERROR(__xludf.DUMMYFUNCTION("ROUND(I313*GOOGLEFINANCE(""KZTEUR""))"),3038)</f>
        <v>3038</v>
      </c>
      <c r="K313" s="26">
        <f t="shared" ca="1" si="262"/>
        <v>14606</v>
      </c>
      <c r="L313" s="26">
        <f t="shared" ca="1" si="263"/>
        <v>2775.14</v>
      </c>
      <c r="M313" s="26">
        <f t="shared" ref="M313:N313" si="320">M$3</f>
        <v>500</v>
      </c>
      <c r="N313" s="26">
        <f t="shared" si="320"/>
        <v>500</v>
      </c>
      <c r="O313" s="26">
        <f ca="1">IFERROR(__xludf.DUMMYFUNCTION("ROUND(GOOGLEFINANCE(""Currency:EURKZT"")*K313)"),6975382)</f>
        <v>6975382</v>
      </c>
      <c r="P313" s="26">
        <f ca="1">IFERROR(__xludf.DUMMYFUNCTION("ROUND(GOOGLEFINANCE(""Currency:EURKZT"")*M313)"),238785)</f>
        <v>238785</v>
      </c>
      <c r="Q313" s="26">
        <f ca="1">IFERROR(__xludf.DUMMYFUNCTION("ROUND(GOOGLEFINANCE(""Currency:EURKZT"")*N313)"),238785)</f>
        <v>238785</v>
      </c>
      <c r="R313" s="26">
        <f t="shared" ca="1" si="265"/>
        <v>837046</v>
      </c>
      <c r="S313" s="26">
        <f t="shared" ca="1" si="266"/>
        <v>8289998</v>
      </c>
      <c r="T313" s="26">
        <f ca="1">IFERROR(__xludf.DUMMYFUNCTION("ROUND(GOOGLEFINANCE(""Currency:EURKZT"")*L313+S313)"),9615321)</f>
        <v>9615321</v>
      </c>
      <c r="U313" s="26">
        <f ca="1">IFERROR(__xludf.DUMMYFUNCTION("D313*GOOGLEFINANCE(""RUBKZT"")*1000/F313"),12678938.8283088)</f>
        <v>12678938.8283088</v>
      </c>
      <c r="V313" s="27">
        <f t="shared" ca="1" si="267"/>
        <v>0.31861836212319905</v>
      </c>
    </row>
    <row r="314" spans="1:22" ht="12.75" customHeight="1" x14ac:dyDescent="0.2">
      <c r="A314" s="6" t="s">
        <v>594</v>
      </c>
      <c r="B314" s="6" t="s">
        <v>15</v>
      </c>
      <c r="C314" s="7">
        <v>214077</v>
      </c>
      <c r="D314" s="8">
        <v>140008.79999999999</v>
      </c>
      <c r="E314" s="9" t="s">
        <v>16</v>
      </c>
      <c r="F314" s="36">
        <v>208</v>
      </c>
      <c r="G314" s="25"/>
      <c r="H314" s="14">
        <f t="shared" si="261"/>
        <v>0.55000000000000004</v>
      </c>
      <c r="I314" s="25">
        <f ca="1">IFERROR(__xludf.DUMMYFUNCTION("ROUND(D314*GOOGLEFINANCE(""RUBKZT"")*H314)"),600909)</f>
        <v>600909</v>
      </c>
      <c r="J314" s="26">
        <f ca="1">IFERROR(__xludf.DUMMYFUNCTION("ROUND(I314*GOOGLEFINANCE(""KZTEUR""))"),1258)</f>
        <v>1258</v>
      </c>
      <c r="K314" s="26">
        <f t="shared" ca="1" si="262"/>
        <v>6048</v>
      </c>
      <c r="L314" s="26">
        <f t="shared" ca="1" si="263"/>
        <v>1149.1200000000001</v>
      </c>
      <c r="M314" s="26">
        <f t="shared" ref="M314:N314" si="321">M$3</f>
        <v>500</v>
      </c>
      <c r="N314" s="26">
        <f t="shared" si="321"/>
        <v>500</v>
      </c>
      <c r="O314" s="26">
        <f ca="1">IFERROR(__xludf.DUMMYFUNCTION("ROUND(GOOGLEFINANCE(""Currency:EURKZT"")*K314)"),2888341)</f>
        <v>2888341</v>
      </c>
      <c r="P314" s="26">
        <f ca="1">IFERROR(__xludf.DUMMYFUNCTION("ROUND(GOOGLEFINANCE(""Currency:EURKZT"")*M314)"),238785)</f>
        <v>238785</v>
      </c>
      <c r="Q314" s="26">
        <f ca="1">IFERROR(__xludf.DUMMYFUNCTION("ROUND(GOOGLEFINANCE(""Currency:EURKZT"")*N314)"),238785)</f>
        <v>238785</v>
      </c>
      <c r="R314" s="26">
        <f t="shared" ca="1" si="265"/>
        <v>346601</v>
      </c>
      <c r="S314" s="26">
        <f t="shared" ca="1" si="266"/>
        <v>3712512</v>
      </c>
      <c r="T314" s="26">
        <f ca="1">IFERROR(__xludf.DUMMYFUNCTION("ROUND(GOOGLEFINANCE(""Currency:EURKZT"")*L314+S314)"),4261297)</f>
        <v>4261297</v>
      </c>
      <c r="U314" s="26">
        <f ca="1">IFERROR(__xludf.DUMMYFUNCTION("D314*GOOGLEFINANCE(""RUBKZT"")*1000/F314"),5252701.29942835)</f>
        <v>5252701.2994283503</v>
      </c>
      <c r="V314" s="27">
        <f t="shared" ca="1" si="267"/>
        <v>0.23265318034118493</v>
      </c>
    </row>
    <row r="315" spans="1:22" ht="12.75" customHeight="1" x14ac:dyDescent="0.2">
      <c r="A315" s="6" t="s">
        <v>595</v>
      </c>
      <c r="B315" s="6" t="s">
        <v>15</v>
      </c>
      <c r="C315" s="7">
        <v>214079</v>
      </c>
      <c r="D315" s="8">
        <v>115741.2</v>
      </c>
      <c r="E315" s="9" t="s">
        <v>16</v>
      </c>
      <c r="F315" s="36">
        <v>208</v>
      </c>
      <c r="G315" s="25"/>
      <c r="H315" s="14">
        <f t="shared" si="261"/>
        <v>0.55000000000000004</v>
      </c>
      <c r="I315" s="25">
        <f ca="1">IFERROR(__xludf.DUMMYFUNCTION("ROUND(D315*GOOGLEFINANCE(""RUBKZT"")*H315)"),496754)</f>
        <v>496754</v>
      </c>
      <c r="J315" s="26">
        <f ca="1">IFERROR(__xludf.DUMMYFUNCTION("ROUND(I315*GOOGLEFINANCE(""KZTEUR""))"),1040)</f>
        <v>1040</v>
      </c>
      <c r="K315" s="26">
        <f t="shared" ca="1" si="262"/>
        <v>5000</v>
      </c>
      <c r="L315" s="26">
        <f t="shared" ca="1" si="263"/>
        <v>950</v>
      </c>
      <c r="M315" s="26">
        <f t="shared" ref="M315:N315" si="322">M$3</f>
        <v>500</v>
      </c>
      <c r="N315" s="26">
        <f t="shared" si="322"/>
        <v>500</v>
      </c>
      <c r="O315" s="26">
        <f ca="1">IFERROR(__xludf.DUMMYFUNCTION("ROUND(GOOGLEFINANCE(""Currency:EURKZT"")*K315)"),2387848)</f>
        <v>2387848</v>
      </c>
      <c r="P315" s="26">
        <f ca="1">IFERROR(__xludf.DUMMYFUNCTION("ROUND(GOOGLEFINANCE(""Currency:EURKZT"")*M315)"),238785)</f>
        <v>238785</v>
      </c>
      <c r="Q315" s="26">
        <f ca="1">IFERROR(__xludf.DUMMYFUNCTION("ROUND(GOOGLEFINANCE(""Currency:EURKZT"")*N315)"),238785)</f>
        <v>238785</v>
      </c>
      <c r="R315" s="26">
        <f t="shared" ca="1" si="265"/>
        <v>286542</v>
      </c>
      <c r="S315" s="26">
        <f t="shared" ca="1" si="266"/>
        <v>3151960</v>
      </c>
      <c r="T315" s="26">
        <f ca="1">IFERROR(__xludf.DUMMYFUNCTION("ROUND(GOOGLEFINANCE(""Currency:EURKZT"")*L315+S315)"),3605651)</f>
        <v>3605651</v>
      </c>
      <c r="U315" s="26">
        <f ca="1">IFERROR(__xludf.DUMMYFUNCTION("D315*GOOGLEFINANCE(""RUBKZT"")*1000/F315"),4342255.28422068)</f>
        <v>4342255.2842206797</v>
      </c>
      <c r="V315" s="27">
        <f t="shared" ca="1" si="267"/>
        <v>0.20429162007656307</v>
      </c>
    </row>
    <row r="316" spans="1:22" ht="12.75" customHeight="1" x14ac:dyDescent="0.2">
      <c r="A316" s="6" t="s">
        <v>597</v>
      </c>
      <c r="B316" s="6" t="s">
        <v>15</v>
      </c>
      <c r="C316" s="7">
        <v>214085</v>
      </c>
      <c r="D316" s="8">
        <v>130344</v>
      </c>
      <c r="E316" s="9" t="s">
        <v>16</v>
      </c>
      <c r="F316" s="36">
        <v>208</v>
      </c>
      <c r="G316" s="25"/>
      <c r="H316" s="14">
        <f t="shared" si="261"/>
        <v>0.55000000000000004</v>
      </c>
      <c r="I316" s="25">
        <f ca="1">IFERROR(__xludf.DUMMYFUNCTION("ROUND(D316*GOOGLEFINANCE(""RUBKZT"")*H316)"),559428)</f>
        <v>559428</v>
      </c>
      <c r="J316" s="26">
        <f ca="1">IFERROR(__xludf.DUMMYFUNCTION("ROUND(I316*GOOGLEFINANCE(""KZTEUR""))"),1172)</f>
        <v>1172</v>
      </c>
      <c r="K316" s="26">
        <f t="shared" ca="1" si="262"/>
        <v>5635</v>
      </c>
      <c r="L316" s="26">
        <f t="shared" ca="1" si="263"/>
        <v>1070.6500000000001</v>
      </c>
      <c r="M316" s="26">
        <f t="shared" ref="M316:N316" si="323">M$3</f>
        <v>500</v>
      </c>
      <c r="N316" s="26">
        <f t="shared" si="323"/>
        <v>500</v>
      </c>
      <c r="O316" s="26">
        <f ca="1">IFERROR(__xludf.DUMMYFUNCTION("ROUND(GOOGLEFINANCE(""Currency:EURKZT"")*K316)"),2691105)</f>
        <v>2691105</v>
      </c>
      <c r="P316" s="26">
        <f ca="1">IFERROR(__xludf.DUMMYFUNCTION("ROUND(GOOGLEFINANCE(""Currency:EURKZT"")*M316)"),238785)</f>
        <v>238785</v>
      </c>
      <c r="Q316" s="26">
        <f ca="1">IFERROR(__xludf.DUMMYFUNCTION("ROUND(GOOGLEFINANCE(""Currency:EURKZT"")*N316)"),238785)</f>
        <v>238785</v>
      </c>
      <c r="R316" s="26">
        <f t="shared" ca="1" si="265"/>
        <v>322933</v>
      </c>
      <c r="S316" s="26">
        <f t="shared" ca="1" si="266"/>
        <v>3491608</v>
      </c>
      <c r="T316" s="26">
        <f ca="1">IFERROR(__xludf.DUMMYFUNCTION("ROUND(GOOGLEFINANCE(""Currency:EURKZT"")*L316+S316)"),4002918)</f>
        <v>4002918</v>
      </c>
      <c r="U316" s="26">
        <f ca="1">IFERROR(__xludf.DUMMYFUNCTION("D316*GOOGLEFINANCE(""RUBKZT"")*1000/F316"),4890107.60875523)</f>
        <v>4890107.60875523</v>
      </c>
      <c r="V316" s="27">
        <f t="shared" ca="1" si="267"/>
        <v>0.22163571893184672</v>
      </c>
    </row>
    <row r="317" spans="1:22" ht="12.75" customHeight="1" x14ac:dyDescent="0.2">
      <c r="A317" s="6" t="s">
        <v>598</v>
      </c>
      <c r="B317" s="6" t="s">
        <v>15</v>
      </c>
      <c r="C317" s="7">
        <v>214090</v>
      </c>
      <c r="D317" s="8">
        <v>88245.599999999991</v>
      </c>
      <c r="E317" s="9" t="s">
        <v>16</v>
      </c>
      <c r="F317" s="36">
        <v>208</v>
      </c>
      <c r="G317" s="25"/>
      <c r="H317" s="14">
        <f t="shared" si="261"/>
        <v>0.55000000000000004</v>
      </c>
      <c r="I317" s="25">
        <f ca="1">IFERROR(__xludf.DUMMYFUNCTION("ROUND(D317*GOOGLEFINANCE(""RUBKZT"")*H317)"),378745)</f>
        <v>378745</v>
      </c>
      <c r="J317" s="26">
        <f ca="1">IFERROR(__xludf.DUMMYFUNCTION("ROUND(I317*GOOGLEFINANCE(""KZTEUR""))"),793)</f>
        <v>793</v>
      </c>
      <c r="K317" s="26">
        <f t="shared" ca="1" si="262"/>
        <v>3813</v>
      </c>
      <c r="L317" s="26">
        <f t="shared" ca="1" si="263"/>
        <v>724.47</v>
      </c>
      <c r="M317" s="26">
        <f t="shared" ref="M317:N317" si="324">M$3</f>
        <v>500</v>
      </c>
      <c r="N317" s="26">
        <f t="shared" si="324"/>
        <v>500</v>
      </c>
      <c r="O317" s="26">
        <f ca="1">IFERROR(__xludf.DUMMYFUNCTION("ROUND(GOOGLEFINANCE(""Currency:EURKZT"")*K317)"),1820973)</f>
        <v>1820973</v>
      </c>
      <c r="P317" s="26">
        <f ca="1">IFERROR(__xludf.DUMMYFUNCTION("ROUND(GOOGLEFINANCE(""Currency:EURKZT"")*M317)"),238785)</f>
        <v>238785</v>
      </c>
      <c r="Q317" s="26">
        <f ca="1">IFERROR(__xludf.DUMMYFUNCTION("ROUND(GOOGLEFINANCE(""Currency:EURKZT"")*N317)"),238785)</f>
        <v>238785</v>
      </c>
      <c r="R317" s="26">
        <f t="shared" ca="1" si="265"/>
        <v>218517</v>
      </c>
      <c r="S317" s="26">
        <f t="shared" ca="1" si="266"/>
        <v>2517060</v>
      </c>
      <c r="T317" s="26">
        <f ca="1">IFERROR(__xludf.DUMMYFUNCTION("ROUND(GOOGLEFINANCE(""Currency:EURKZT"")*L317+S317)"),2863045)</f>
        <v>2863045</v>
      </c>
      <c r="U317" s="26">
        <f ca="1">IFERROR(__xludf.DUMMYFUNCTION("D317*GOOGLEFINANCE(""RUBKZT"")*1000/F317"),3310704.59705986)</f>
        <v>3310704.5970598599</v>
      </c>
      <c r="V317" s="27">
        <f t="shared" ca="1" si="267"/>
        <v>0.15635786271604529</v>
      </c>
    </row>
    <row r="318" spans="1:22" ht="12.75" customHeight="1" x14ac:dyDescent="0.2">
      <c r="A318" s="6" t="s">
        <v>599</v>
      </c>
      <c r="B318" s="6" t="s">
        <v>15</v>
      </c>
      <c r="C318" s="7">
        <v>214095</v>
      </c>
      <c r="D318" s="8">
        <v>95236.800000000003</v>
      </c>
      <c r="E318" s="9" t="s">
        <v>16</v>
      </c>
      <c r="F318" s="36">
        <v>208</v>
      </c>
      <c r="G318" s="25"/>
      <c r="H318" s="14">
        <f t="shared" si="261"/>
        <v>0.55000000000000004</v>
      </c>
      <c r="I318" s="25">
        <f ca="1">IFERROR(__xludf.DUMMYFUNCTION("ROUND(D318*GOOGLEFINANCE(""RUBKZT"")*H318)"),408750)</f>
        <v>408750</v>
      </c>
      <c r="J318" s="26">
        <f ca="1">IFERROR(__xludf.DUMMYFUNCTION("ROUND(I318*GOOGLEFINANCE(""KZTEUR""))"),856)</f>
        <v>856</v>
      </c>
      <c r="K318" s="26">
        <f t="shared" ca="1" si="262"/>
        <v>4115</v>
      </c>
      <c r="L318" s="26">
        <f t="shared" ca="1" si="263"/>
        <v>781.85</v>
      </c>
      <c r="M318" s="26">
        <f t="shared" ref="M318:N318" si="325">M$3</f>
        <v>500</v>
      </c>
      <c r="N318" s="26">
        <f t="shared" si="325"/>
        <v>500</v>
      </c>
      <c r="O318" s="26">
        <f ca="1">IFERROR(__xludf.DUMMYFUNCTION("ROUND(GOOGLEFINANCE(""Currency:EURKZT"")*K318)"),1965199)</f>
        <v>1965199</v>
      </c>
      <c r="P318" s="26">
        <f ca="1">IFERROR(__xludf.DUMMYFUNCTION("ROUND(GOOGLEFINANCE(""Currency:EURKZT"")*M318)"),238785)</f>
        <v>238785</v>
      </c>
      <c r="Q318" s="26">
        <f ca="1">IFERROR(__xludf.DUMMYFUNCTION("ROUND(GOOGLEFINANCE(""Currency:EURKZT"")*N318)"),238785)</f>
        <v>238785</v>
      </c>
      <c r="R318" s="26">
        <f t="shared" ca="1" si="265"/>
        <v>235824</v>
      </c>
      <c r="S318" s="26">
        <f t="shared" ca="1" si="266"/>
        <v>2678593</v>
      </c>
      <c r="T318" s="26">
        <f ca="1">IFERROR(__xludf.DUMMYFUNCTION("ROUND(GOOGLEFINANCE(""Currency:EURKZT"")*L318+S318)"),3051981)</f>
        <v>3051981</v>
      </c>
      <c r="U318" s="26">
        <f ca="1">IFERROR(__xludf.DUMMYFUNCTION("D318*GOOGLEFINANCE(""RUBKZT"")*1000/F318"),3572993.00553535)</f>
        <v>3572993.0055353502</v>
      </c>
      <c r="V318" s="27">
        <f t="shared" ca="1" si="267"/>
        <v>0.1707127290554398</v>
      </c>
    </row>
    <row r="319" spans="1:22" ht="12.75" customHeight="1" x14ac:dyDescent="0.2">
      <c r="A319" s="6" t="s">
        <v>600</v>
      </c>
      <c r="B319" s="6" t="s">
        <v>15</v>
      </c>
      <c r="C319" s="7">
        <v>214097</v>
      </c>
      <c r="D319" s="8">
        <v>92871.599999999991</v>
      </c>
      <c r="E319" s="9" t="s">
        <v>16</v>
      </c>
      <c r="F319" s="36">
        <v>208</v>
      </c>
      <c r="G319" s="25"/>
      <c r="H319" s="14">
        <f t="shared" si="261"/>
        <v>0.55000000000000004</v>
      </c>
      <c r="I319" s="25">
        <f ca="1">IFERROR(__xludf.DUMMYFUNCTION("ROUND(D319*GOOGLEFINANCE(""RUBKZT"")*H319)"),398599)</f>
        <v>398599</v>
      </c>
      <c r="J319" s="26">
        <f ca="1">IFERROR(__xludf.DUMMYFUNCTION("ROUND(I319*GOOGLEFINANCE(""KZTEUR""))"),835)</f>
        <v>835</v>
      </c>
      <c r="K319" s="26">
        <f t="shared" ca="1" si="262"/>
        <v>4014</v>
      </c>
      <c r="L319" s="26">
        <f t="shared" ca="1" si="263"/>
        <v>762.66</v>
      </c>
      <c r="M319" s="26">
        <f t="shared" ref="M319:N319" si="326">M$3</f>
        <v>500</v>
      </c>
      <c r="N319" s="26">
        <f t="shared" si="326"/>
        <v>500</v>
      </c>
      <c r="O319" s="26">
        <f ca="1">IFERROR(__xludf.DUMMYFUNCTION("ROUND(GOOGLEFINANCE(""Currency:EURKZT"")*K319)"),1916964)</f>
        <v>1916964</v>
      </c>
      <c r="P319" s="26">
        <f ca="1">IFERROR(__xludf.DUMMYFUNCTION("ROUND(GOOGLEFINANCE(""Currency:EURKZT"")*M319)"),238785)</f>
        <v>238785</v>
      </c>
      <c r="Q319" s="26">
        <f ca="1">IFERROR(__xludf.DUMMYFUNCTION("ROUND(GOOGLEFINANCE(""Currency:EURKZT"")*N319)"),238785)</f>
        <v>238785</v>
      </c>
      <c r="R319" s="26">
        <f t="shared" ca="1" si="265"/>
        <v>230036</v>
      </c>
      <c r="S319" s="26">
        <f t="shared" ca="1" si="266"/>
        <v>2624570</v>
      </c>
      <c r="T319" s="26">
        <f ca="1">IFERROR(__xludf.DUMMYFUNCTION("ROUND(GOOGLEFINANCE(""Currency:EURKZT"")*L319+S319)"),2988793)</f>
        <v>2988793</v>
      </c>
      <c r="U319" s="26">
        <f ca="1">IFERROR(__xludf.DUMMYFUNCTION("D319*GOOGLEFINANCE(""RUBKZT"")*1000/F319"),3484257.94664328)</f>
        <v>3484257.9466432799</v>
      </c>
      <c r="V319" s="27">
        <f t="shared" ca="1" si="267"/>
        <v>0.16577425959016898</v>
      </c>
    </row>
    <row r="320" spans="1:22" ht="12.75" customHeight="1" x14ac:dyDescent="0.2">
      <c r="A320" s="6" t="s">
        <v>596</v>
      </c>
      <c r="B320" s="6" t="s">
        <v>15</v>
      </c>
      <c r="C320" s="7">
        <v>214101</v>
      </c>
      <c r="D320" s="8">
        <v>110193.59999999999</v>
      </c>
      <c r="E320" s="9" t="s">
        <v>16</v>
      </c>
      <c r="F320" s="36">
        <v>208</v>
      </c>
      <c r="G320" s="25"/>
      <c r="H320" s="14">
        <f t="shared" si="261"/>
        <v>0.55000000000000004</v>
      </c>
      <c r="I320" s="25">
        <f ca="1">IFERROR(__xludf.DUMMYFUNCTION("ROUND(D320*GOOGLEFINANCE(""RUBKZT"")*H320)"),472944)</f>
        <v>472944</v>
      </c>
      <c r="J320" s="26">
        <f ca="1">IFERROR(__xludf.DUMMYFUNCTION("ROUND(I320*GOOGLEFINANCE(""KZTEUR""))"),990)</f>
        <v>990</v>
      </c>
      <c r="K320" s="26">
        <f t="shared" ca="1" si="262"/>
        <v>4760</v>
      </c>
      <c r="L320" s="26">
        <f t="shared" ca="1" si="263"/>
        <v>904.4</v>
      </c>
      <c r="M320" s="26">
        <f t="shared" ref="M320:N320" si="327">M$3</f>
        <v>500</v>
      </c>
      <c r="N320" s="26">
        <f t="shared" si="327"/>
        <v>500</v>
      </c>
      <c r="O320" s="26">
        <f ca="1">IFERROR(__xludf.DUMMYFUNCTION("ROUND(GOOGLEFINANCE(""Currency:EURKZT"")*K320)"),2273231)</f>
        <v>2273231</v>
      </c>
      <c r="P320" s="26">
        <f ca="1">IFERROR(__xludf.DUMMYFUNCTION("ROUND(GOOGLEFINANCE(""Currency:EURKZT"")*M320)"),238785)</f>
        <v>238785</v>
      </c>
      <c r="Q320" s="26">
        <f ca="1">IFERROR(__xludf.DUMMYFUNCTION("ROUND(GOOGLEFINANCE(""Currency:EURKZT"")*N320)"),238785)</f>
        <v>238785</v>
      </c>
      <c r="R320" s="26">
        <f t="shared" ca="1" si="265"/>
        <v>272788</v>
      </c>
      <c r="S320" s="26">
        <f t="shared" ca="1" si="266"/>
        <v>3023589</v>
      </c>
      <c r="T320" s="26">
        <f ca="1">IFERROR(__xludf.DUMMYFUNCTION("ROUND(GOOGLEFINANCE(""Currency:EURKZT"")*L320+S320)"),3455503)</f>
        <v>3455503</v>
      </c>
      <c r="U320" s="26">
        <f ca="1">IFERROR(__xludf.DUMMYFUNCTION("D320*GOOGLEFINANCE(""RUBKZT"")*1000/F320"),4134126.32569301)</f>
        <v>4134126.3256930099</v>
      </c>
      <c r="V320" s="27">
        <f t="shared" ca="1" si="267"/>
        <v>0.1963891583057546</v>
      </c>
    </row>
    <row r="321" spans="1:22" ht="12.75" customHeight="1" x14ac:dyDescent="0.2">
      <c r="A321" s="6" t="s">
        <v>607</v>
      </c>
      <c r="B321" s="6" t="s">
        <v>15</v>
      </c>
      <c r="C321" s="7">
        <v>214134</v>
      </c>
      <c r="D321" s="8">
        <v>174466.8</v>
      </c>
      <c r="E321" s="9" t="s">
        <v>16</v>
      </c>
      <c r="F321" s="36">
        <v>208</v>
      </c>
      <c r="G321" s="25"/>
      <c r="H321" s="14">
        <f t="shared" si="261"/>
        <v>0.55000000000000004</v>
      </c>
      <c r="I321" s="25">
        <f ca="1">IFERROR(__xludf.DUMMYFUNCTION("ROUND(D321*GOOGLEFINANCE(""RUBKZT"")*H321)"),748801)</f>
        <v>748801</v>
      </c>
      <c r="J321" s="26">
        <f ca="1">IFERROR(__xludf.DUMMYFUNCTION("ROUND(I321*GOOGLEFINANCE(""KZTEUR""))"),1568)</f>
        <v>1568</v>
      </c>
      <c r="K321" s="26">
        <f t="shared" ca="1" si="262"/>
        <v>7538</v>
      </c>
      <c r="L321" s="26">
        <f t="shared" ca="1" si="263"/>
        <v>1432.22</v>
      </c>
      <c r="M321" s="26">
        <f t="shared" ref="M321:N321" si="328">M$3</f>
        <v>500</v>
      </c>
      <c r="N321" s="26">
        <f t="shared" si="328"/>
        <v>500</v>
      </c>
      <c r="O321" s="26">
        <f ca="1">IFERROR(__xludf.DUMMYFUNCTION("ROUND(GOOGLEFINANCE(""Currency:EURKZT"")*K321)"),3599920)</f>
        <v>3599920</v>
      </c>
      <c r="P321" s="26">
        <f ca="1">IFERROR(__xludf.DUMMYFUNCTION("ROUND(GOOGLEFINANCE(""Currency:EURKZT"")*M321)"),238785)</f>
        <v>238785</v>
      </c>
      <c r="Q321" s="26">
        <f ca="1">IFERROR(__xludf.DUMMYFUNCTION("ROUND(GOOGLEFINANCE(""Currency:EURKZT"")*N321)"),238785)</f>
        <v>238785</v>
      </c>
      <c r="R321" s="26">
        <f t="shared" ca="1" si="265"/>
        <v>431990</v>
      </c>
      <c r="S321" s="26">
        <f t="shared" ca="1" si="266"/>
        <v>4509480</v>
      </c>
      <c r="T321" s="26">
        <f ca="1">IFERROR(__xludf.DUMMYFUNCTION("ROUND(GOOGLEFINANCE(""Currency:EURKZT"")*L321+S321)"),5193465)</f>
        <v>5193465</v>
      </c>
      <c r="U321" s="26">
        <f ca="1">IFERROR(__xludf.DUMMYFUNCTION("D321*GOOGLEFINANCE(""RUBKZT"")*1000/F321"),6545459.90728516)</f>
        <v>6545459.9072851604</v>
      </c>
      <c r="V321" s="27">
        <f t="shared" ca="1" si="267"/>
        <v>0.26032618055289874</v>
      </c>
    </row>
    <row r="322" spans="1:22" ht="12.75" customHeight="1" x14ac:dyDescent="0.2">
      <c r="A322" s="6" t="s">
        <v>608</v>
      </c>
      <c r="B322" s="6" t="s">
        <v>15</v>
      </c>
      <c r="C322" s="7">
        <v>214139</v>
      </c>
      <c r="D322" s="8">
        <v>120126</v>
      </c>
      <c r="E322" s="9" t="s">
        <v>16</v>
      </c>
      <c r="F322" s="36">
        <v>208</v>
      </c>
      <c r="G322" s="25"/>
      <c r="H322" s="14">
        <f t="shared" si="261"/>
        <v>0.55000000000000004</v>
      </c>
      <c r="I322" s="25">
        <f ca="1">IFERROR(__xludf.DUMMYFUNCTION("ROUND(D322*GOOGLEFINANCE(""RUBKZT"")*H322)"),515573)</f>
        <v>515573</v>
      </c>
      <c r="J322" s="26">
        <f ca="1">IFERROR(__xludf.DUMMYFUNCTION("ROUND(I322*GOOGLEFINANCE(""KZTEUR""))"),1080)</f>
        <v>1080</v>
      </c>
      <c r="K322" s="26">
        <f t="shared" ca="1" si="262"/>
        <v>5192</v>
      </c>
      <c r="L322" s="26">
        <f t="shared" ca="1" si="263"/>
        <v>986.48</v>
      </c>
      <c r="M322" s="26">
        <f t="shared" ref="M322:N322" si="329">M$3</f>
        <v>500</v>
      </c>
      <c r="N322" s="26">
        <f t="shared" si="329"/>
        <v>500</v>
      </c>
      <c r="O322" s="26">
        <f ca="1">IFERROR(__xludf.DUMMYFUNCTION("ROUND(GOOGLEFINANCE(""Currency:EURKZT"")*K322)"),2479541)</f>
        <v>2479541</v>
      </c>
      <c r="P322" s="26">
        <f ca="1">IFERROR(__xludf.DUMMYFUNCTION("ROUND(GOOGLEFINANCE(""Currency:EURKZT"")*M322)"),238785)</f>
        <v>238785</v>
      </c>
      <c r="Q322" s="26">
        <f ca="1">IFERROR(__xludf.DUMMYFUNCTION("ROUND(GOOGLEFINANCE(""Currency:EURKZT"")*N322)"),238785)</f>
        <v>238785</v>
      </c>
      <c r="R322" s="26">
        <f t="shared" ca="1" si="265"/>
        <v>297545</v>
      </c>
      <c r="S322" s="26">
        <f t="shared" ca="1" si="266"/>
        <v>3254656</v>
      </c>
      <c r="T322" s="26">
        <f ca="1">IFERROR(__xludf.DUMMYFUNCTION("ROUND(GOOGLEFINANCE(""Currency:EURKZT"")*L322+S322)"),3725769)</f>
        <v>3725769</v>
      </c>
      <c r="U322" s="26">
        <f ca="1">IFERROR(__xludf.DUMMYFUNCTION("D322*GOOGLEFINANCE(""RUBKZT"")*1000/F322"),4506759.54865073)</f>
        <v>4506759.5486507304</v>
      </c>
      <c r="V322" s="27">
        <f t="shared" ca="1" si="267"/>
        <v>0.20961861796872819</v>
      </c>
    </row>
    <row r="323" spans="1:22" ht="12.75" customHeight="1" x14ac:dyDescent="0.2">
      <c r="A323" s="6" t="s">
        <v>610</v>
      </c>
      <c r="B323" s="6" t="s">
        <v>15</v>
      </c>
      <c r="C323" s="7">
        <v>214148</v>
      </c>
      <c r="D323" s="8">
        <v>240094.8</v>
      </c>
      <c r="E323" s="9" t="s">
        <v>16</v>
      </c>
      <c r="F323" s="36">
        <v>208</v>
      </c>
      <c r="G323" s="25"/>
      <c r="H323" s="14">
        <f t="shared" si="261"/>
        <v>0.55000000000000004</v>
      </c>
      <c r="I323" s="25">
        <f ca="1">IFERROR(__xludf.DUMMYFUNCTION("ROUND(D323*GOOGLEFINANCE(""RUBKZT"")*H323)"),1030472)</f>
        <v>1030472</v>
      </c>
      <c r="J323" s="26">
        <f ca="1">IFERROR(__xludf.DUMMYFUNCTION("ROUND(I323*GOOGLEFINANCE(""KZTEUR""))"),2158)</f>
        <v>2158</v>
      </c>
      <c r="K323" s="26">
        <f t="shared" ca="1" si="262"/>
        <v>10375</v>
      </c>
      <c r="L323" s="26">
        <f t="shared" ca="1" si="263"/>
        <v>1971.25</v>
      </c>
      <c r="M323" s="26">
        <f t="shared" ref="M323:N323" si="330">M$3</f>
        <v>500</v>
      </c>
      <c r="N323" s="26">
        <f t="shared" si="330"/>
        <v>500</v>
      </c>
      <c r="O323" s="26">
        <f ca="1">IFERROR(__xludf.DUMMYFUNCTION("ROUND(GOOGLEFINANCE(""Currency:EURKZT"")*K323)"),4954785)</f>
        <v>4954785</v>
      </c>
      <c r="P323" s="26">
        <f ca="1">IFERROR(__xludf.DUMMYFUNCTION("ROUND(GOOGLEFINANCE(""Currency:EURKZT"")*M323)"),238785)</f>
        <v>238785</v>
      </c>
      <c r="Q323" s="26">
        <f ca="1">IFERROR(__xludf.DUMMYFUNCTION("ROUND(GOOGLEFINANCE(""Currency:EURKZT"")*N323)"),238785)</f>
        <v>238785</v>
      </c>
      <c r="R323" s="26">
        <f t="shared" ca="1" si="265"/>
        <v>594574</v>
      </c>
      <c r="S323" s="26">
        <f t="shared" ca="1" si="266"/>
        <v>6026929</v>
      </c>
      <c r="T323" s="26">
        <f ca="1">IFERROR(__xludf.DUMMYFUNCTION("ROUND(GOOGLEFINANCE(""Currency:EURKZT"")*L323+S323)"),6968338)</f>
        <v>6968338</v>
      </c>
      <c r="U323" s="26">
        <f ca="1">IFERROR(__xludf.DUMMYFUNCTION("D323*GOOGLEFINANCE(""RUBKZT"")*1000/F323"),9007621.43483831)</f>
        <v>9007621.4348383099</v>
      </c>
      <c r="V323" s="27">
        <f t="shared" ca="1" si="267"/>
        <v>0.29264990229209747</v>
      </c>
    </row>
    <row r="324" spans="1:22" ht="12.75" customHeight="1" x14ac:dyDescent="0.2">
      <c r="A324" s="6" t="s">
        <v>613</v>
      </c>
      <c r="B324" s="6" t="s">
        <v>15</v>
      </c>
      <c r="C324" s="7">
        <v>214155</v>
      </c>
      <c r="D324" s="8">
        <v>111225.59999999999</v>
      </c>
      <c r="E324" s="9" t="s">
        <v>16</v>
      </c>
      <c r="F324" s="36">
        <v>208</v>
      </c>
      <c r="G324" s="25"/>
      <c r="H324" s="14">
        <f t="shared" si="261"/>
        <v>0.55000000000000004</v>
      </c>
      <c r="I324" s="25">
        <f ca="1">IFERROR(__xludf.DUMMYFUNCTION("ROUND(D324*GOOGLEFINANCE(""RUBKZT"")*H324)"),477373)</f>
        <v>477373</v>
      </c>
      <c r="J324" s="26">
        <f ca="1">IFERROR(__xludf.DUMMYFUNCTION("ROUND(I324*GOOGLEFINANCE(""KZTEUR""))"),1000)</f>
        <v>1000</v>
      </c>
      <c r="K324" s="26">
        <f t="shared" ca="1" si="262"/>
        <v>4808</v>
      </c>
      <c r="L324" s="26">
        <f t="shared" ca="1" si="263"/>
        <v>913.52</v>
      </c>
      <c r="M324" s="26">
        <f t="shared" ref="M324:N324" si="331">M$3</f>
        <v>500</v>
      </c>
      <c r="N324" s="26">
        <f t="shared" si="331"/>
        <v>500</v>
      </c>
      <c r="O324" s="26">
        <f ca="1">IFERROR(__xludf.DUMMYFUNCTION("ROUND(GOOGLEFINANCE(""Currency:EURKZT"")*K324)"),2296155)</f>
        <v>2296155</v>
      </c>
      <c r="P324" s="26">
        <f ca="1">IFERROR(__xludf.DUMMYFUNCTION("ROUND(GOOGLEFINANCE(""Currency:EURKZT"")*M324)"),238785)</f>
        <v>238785</v>
      </c>
      <c r="Q324" s="26">
        <f ca="1">IFERROR(__xludf.DUMMYFUNCTION("ROUND(GOOGLEFINANCE(""Currency:EURKZT"")*N324)"),238785)</f>
        <v>238785</v>
      </c>
      <c r="R324" s="26">
        <f t="shared" ca="1" si="265"/>
        <v>275539</v>
      </c>
      <c r="S324" s="26">
        <f t="shared" ca="1" si="266"/>
        <v>3049264</v>
      </c>
      <c r="T324" s="26">
        <f ca="1">IFERROR(__xludf.DUMMYFUNCTION("ROUND(GOOGLEFINANCE(""Currency:EURKZT"")*L324+S324)"),3485533)</f>
        <v>3485533</v>
      </c>
      <c r="U324" s="26">
        <f ca="1">IFERROR(__xludf.DUMMYFUNCTION("D324*GOOGLEFINANCE(""RUBKZT"")*1000/F324"),4172843.8044587)</f>
        <v>4172843.8044587001</v>
      </c>
      <c r="V324" s="27">
        <f t="shared" ca="1" si="267"/>
        <v>0.1971895846226962</v>
      </c>
    </row>
    <row r="325" spans="1:22" ht="12.75" customHeight="1" x14ac:dyDescent="0.2">
      <c r="A325" s="6" t="s">
        <v>614</v>
      </c>
      <c r="B325" s="6" t="s">
        <v>15</v>
      </c>
      <c r="C325" s="7">
        <v>214170</v>
      </c>
      <c r="D325" s="8">
        <v>120801.59999999999</v>
      </c>
      <c r="E325" s="9" t="s">
        <v>16</v>
      </c>
      <c r="F325" s="36">
        <v>208</v>
      </c>
      <c r="G325" s="25"/>
      <c r="H325" s="14">
        <f t="shared" si="261"/>
        <v>0.55000000000000004</v>
      </c>
      <c r="I325" s="25">
        <f ca="1">IFERROR(__xludf.DUMMYFUNCTION("ROUND(D325*GOOGLEFINANCE(""RUBKZT"")*H325)"),518473)</f>
        <v>518473</v>
      </c>
      <c r="J325" s="26">
        <f ca="1">IFERROR(__xludf.DUMMYFUNCTION("ROUND(I325*GOOGLEFINANCE(""KZTEUR""))"),1086)</f>
        <v>1086</v>
      </c>
      <c r="K325" s="26">
        <f t="shared" ca="1" si="262"/>
        <v>5221</v>
      </c>
      <c r="L325" s="26">
        <f t="shared" ca="1" si="263"/>
        <v>991.99</v>
      </c>
      <c r="M325" s="26">
        <f t="shared" ref="M325:N325" si="332">M$3</f>
        <v>500</v>
      </c>
      <c r="N325" s="26">
        <f t="shared" si="332"/>
        <v>500</v>
      </c>
      <c r="O325" s="26">
        <f ca="1">IFERROR(__xludf.DUMMYFUNCTION("ROUND(GOOGLEFINANCE(""Currency:EURKZT"")*K325)"),2493391)</f>
        <v>2493391</v>
      </c>
      <c r="P325" s="26">
        <f ca="1">IFERROR(__xludf.DUMMYFUNCTION("ROUND(GOOGLEFINANCE(""Currency:EURKZT"")*M325)"),238785)</f>
        <v>238785</v>
      </c>
      <c r="Q325" s="26">
        <f ca="1">IFERROR(__xludf.DUMMYFUNCTION("ROUND(GOOGLEFINANCE(""Currency:EURKZT"")*N325)"),238785)</f>
        <v>238785</v>
      </c>
      <c r="R325" s="26">
        <f t="shared" ca="1" si="265"/>
        <v>299207</v>
      </c>
      <c r="S325" s="26">
        <f t="shared" ca="1" si="266"/>
        <v>3270168</v>
      </c>
      <c r="T325" s="26">
        <f ca="1">IFERROR(__xludf.DUMMYFUNCTION("ROUND(GOOGLEFINANCE(""Currency:EURKZT"")*L325+S325)"),3743912)</f>
        <v>3743912</v>
      </c>
      <c r="U325" s="26">
        <f ca="1">IFERROR(__xludf.DUMMYFUNCTION("D325*GOOGLEFINANCE(""RUBKZT"")*1000/F325"),4532105.99114501)</f>
        <v>4532105.9911450101</v>
      </c>
      <c r="V325" s="27">
        <f t="shared" ca="1" si="267"/>
        <v>0.21052684762489346</v>
      </c>
    </row>
    <row r="326" spans="1:22" ht="12.75" customHeight="1" x14ac:dyDescent="0.2">
      <c r="A326" s="6" t="s">
        <v>617</v>
      </c>
      <c r="B326" s="6" t="s">
        <v>15</v>
      </c>
      <c r="C326" s="7">
        <v>214195</v>
      </c>
      <c r="D326" s="8">
        <v>229104</v>
      </c>
      <c r="E326" s="9" t="s">
        <v>16</v>
      </c>
      <c r="F326" s="36">
        <v>208</v>
      </c>
      <c r="G326" s="25"/>
      <c r="H326" s="14">
        <f t="shared" si="261"/>
        <v>0.55000000000000004</v>
      </c>
      <c r="I326" s="25">
        <f ca="1">IFERROR(__xludf.DUMMYFUNCTION("ROUND(D326*GOOGLEFINANCE(""RUBKZT"")*H326)"),983300)</f>
        <v>983300</v>
      </c>
      <c r="J326" s="26">
        <f ca="1">IFERROR(__xludf.DUMMYFUNCTION("ROUND(I326*GOOGLEFINANCE(""KZTEUR""))"),2059)</f>
        <v>2059</v>
      </c>
      <c r="K326" s="26">
        <f t="shared" ca="1" si="262"/>
        <v>9899</v>
      </c>
      <c r="L326" s="26">
        <f t="shared" ca="1" si="263"/>
        <v>1880.81</v>
      </c>
      <c r="M326" s="26">
        <f t="shared" ref="M326:N326" si="333">M$3</f>
        <v>500</v>
      </c>
      <c r="N326" s="26">
        <f t="shared" si="333"/>
        <v>500</v>
      </c>
      <c r="O326" s="26">
        <f ca="1">IFERROR(__xludf.DUMMYFUNCTION("ROUND(GOOGLEFINANCE(""Currency:EURKZT"")*K326)"),4727462)</f>
        <v>4727462</v>
      </c>
      <c r="P326" s="26">
        <f ca="1">IFERROR(__xludf.DUMMYFUNCTION("ROUND(GOOGLEFINANCE(""Currency:EURKZT"")*M326)"),238785)</f>
        <v>238785</v>
      </c>
      <c r="Q326" s="26">
        <f ca="1">IFERROR(__xludf.DUMMYFUNCTION("ROUND(GOOGLEFINANCE(""Currency:EURKZT"")*N326)"),238785)</f>
        <v>238785</v>
      </c>
      <c r="R326" s="26">
        <f t="shared" ca="1" si="265"/>
        <v>567295</v>
      </c>
      <c r="S326" s="26">
        <f t="shared" ca="1" si="266"/>
        <v>5772327</v>
      </c>
      <c r="T326" s="26">
        <f ca="1">IFERROR(__xludf.DUMMYFUNCTION("ROUND(GOOGLEFINANCE(""Currency:EURKZT"")*L326+S326)"),6670545)</f>
        <v>6670545</v>
      </c>
      <c r="U326" s="26">
        <f ca="1">IFERROR(__xludf.DUMMYFUNCTION("D326*GOOGLEFINANCE(""RUBKZT"")*1000/F326"),8595280.28598369)</f>
        <v>8595280.2859836891</v>
      </c>
      <c r="V326" s="27">
        <f t="shared" ca="1" si="267"/>
        <v>0.28854243333695961</v>
      </c>
    </row>
    <row r="327" spans="1:22" ht="12.75" customHeight="1" x14ac:dyDescent="0.2">
      <c r="A327" s="6" t="s">
        <v>619</v>
      </c>
      <c r="B327" s="6" t="s">
        <v>15</v>
      </c>
      <c r="C327" s="7">
        <v>214228</v>
      </c>
      <c r="D327" s="8">
        <v>166363.19999999998</v>
      </c>
      <c r="E327" s="9" t="s">
        <v>16</v>
      </c>
      <c r="F327" s="36">
        <v>208</v>
      </c>
      <c r="G327" s="25"/>
      <c r="H327" s="14">
        <f t="shared" si="261"/>
        <v>0.55000000000000004</v>
      </c>
      <c r="I327" s="25">
        <f ca="1">IFERROR(__xludf.DUMMYFUNCTION("ROUND(D327*GOOGLEFINANCE(""RUBKZT"")*H327)"),714020)</f>
        <v>714020</v>
      </c>
      <c r="J327" s="26">
        <f ca="1">IFERROR(__xludf.DUMMYFUNCTION("ROUND(I327*GOOGLEFINANCE(""KZTEUR""))"),1495)</f>
        <v>1495</v>
      </c>
      <c r="K327" s="26">
        <f t="shared" ca="1" si="262"/>
        <v>7188</v>
      </c>
      <c r="L327" s="26">
        <f t="shared" ca="1" si="263"/>
        <v>1365.72</v>
      </c>
      <c r="M327" s="26">
        <f t="shared" ref="M327:N327" si="334">M$3</f>
        <v>500</v>
      </c>
      <c r="N327" s="26">
        <f t="shared" si="334"/>
        <v>500</v>
      </c>
      <c r="O327" s="26">
        <f ca="1">IFERROR(__xludf.DUMMYFUNCTION("ROUND(GOOGLEFINANCE(""Currency:EURKZT"")*K327)"),3432770)</f>
        <v>3432770</v>
      </c>
      <c r="P327" s="26">
        <f ca="1">IFERROR(__xludf.DUMMYFUNCTION("ROUND(GOOGLEFINANCE(""Currency:EURKZT"")*M327)"),238785)</f>
        <v>238785</v>
      </c>
      <c r="Q327" s="26">
        <f ca="1">IFERROR(__xludf.DUMMYFUNCTION("ROUND(GOOGLEFINANCE(""Currency:EURKZT"")*N327)"),238785)</f>
        <v>238785</v>
      </c>
      <c r="R327" s="26">
        <f t="shared" ca="1" si="265"/>
        <v>411932</v>
      </c>
      <c r="S327" s="26">
        <f t="shared" ca="1" si="266"/>
        <v>4322272</v>
      </c>
      <c r="T327" s="26">
        <f ca="1">IFERROR(__xludf.DUMMYFUNCTION("ROUND(GOOGLEFINANCE(""Currency:EURKZT"")*L327+S327)"),4974498)</f>
        <v>4974498</v>
      </c>
      <c r="U327" s="26">
        <f ca="1">IFERROR(__xludf.DUMMYFUNCTION("D327*GOOGLEFINANCE(""RUBKZT"")*1000/F327"),6241437.65832618)</f>
        <v>6241437.6583261797</v>
      </c>
      <c r="V327" s="27">
        <f t="shared" ca="1" si="267"/>
        <v>0.25468693691829403</v>
      </c>
    </row>
    <row r="328" spans="1:22" ht="12.75" customHeight="1" x14ac:dyDescent="0.2">
      <c r="A328" s="6" t="s">
        <v>629</v>
      </c>
      <c r="B328" s="6" t="s">
        <v>15</v>
      </c>
      <c r="C328" s="7">
        <v>215817</v>
      </c>
      <c r="D328" s="8">
        <v>79810.8</v>
      </c>
      <c r="E328" s="9" t="s">
        <v>16</v>
      </c>
      <c r="F328" s="36">
        <v>208</v>
      </c>
      <c r="G328" s="25"/>
      <c r="H328" s="14">
        <f t="shared" si="261"/>
        <v>0.55000000000000004</v>
      </c>
      <c r="I328" s="25">
        <f ca="1">IFERROR(__xludf.DUMMYFUNCTION("ROUND(D328*GOOGLEFINANCE(""RUBKZT"")*H328)"),342543)</f>
        <v>342543</v>
      </c>
      <c r="J328" s="26">
        <f ca="1">IFERROR(__xludf.DUMMYFUNCTION("ROUND(I328*GOOGLEFINANCE(""KZTEUR""))"),717)</f>
        <v>717</v>
      </c>
      <c r="K328" s="26">
        <f t="shared" ca="1" si="262"/>
        <v>3447</v>
      </c>
      <c r="L328" s="26">
        <f t="shared" ca="1" si="263"/>
        <v>654.93000000000006</v>
      </c>
      <c r="M328" s="26">
        <f t="shared" ref="M328:N328" si="335">M$3</f>
        <v>500</v>
      </c>
      <c r="N328" s="26">
        <f t="shared" si="335"/>
        <v>500</v>
      </c>
      <c r="O328" s="26">
        <f ca="1">IFERROR(__xludf.DUMMYFUNCTION("ROUND(GOOGLEFINANCE(""Currency:EURKZT"")*K328)"),1646182)</f>
        <v>1646182</v>
      </c>
      <c r="P328" s="26">
        <f ca="1">IFERROR(__xludf.DUMMYFUNCTION("ROUND(GOOGLEFINANCE(""Currency:EURKZT"")*M328)"),238785)</f>
        <v>238785</v>
      </c>
      <c r="Q328" s="26">
        <f ca="1">IFERROR(__xludf.DUMMYFUNCTION("ROUND(GOOGLEFINANCE(""Currency:EURKZT"")*N328)"),238785)</f>
        <v>238785</v>
      </c>
      <c r="R328" s="26">
        <f t="shared" ca="1" si="265"/>
        <v>197542</v>
      </c>
      <c r="S328" s="26">
        <f t="shared" ca="1" si="266"/>
        <v>2321294</v>
      </c>
      <c r="T328" s="26">
        <f ca="1">IFERROR(__xludf.DUMMYFUNCTION("ROUND(GOOGLEFINANCE(""Currency:EURKZT"")*L328+S328)"),2634069)</f>
        <v>2634069</v>
      </c>
      <c r="U328" s="26">
        <f ca="1">IFERROR(__xludf.DUMMYFUNCTION("D328*GOOGLEFINANCE(""RUBKZT"")*1000/F328"),2994256.73863654)</f>
        <v>2994256.7386365398</v>
      </c>
      <c r="V328" s="27">
        <f t="shared" ca="1" si="267"/>
        <v>0.13674195271139056</v>
      </c>
    </row>
    <row r="329" spans="1:22" ht="12.75" customHeight="1" x14ac:dyDescent="0.2">
      <c r="A329" s="6" t="s">
        <v>632</v>
      </c>
      <c r="B329" s="6" t="s">
        <v>15</v>
      </c>
      <c r="C329" s="7">
        <v>215822</v>
      </c>
      <c r="D329" s="8">
        <v>82866</v>
      </c>
      <c r="E329" s="9" t="s">
        <v>16</v>
      </c>
      <c r="F329" s="36">
        <v>208</v>
      </c>
      <c r="G329" s="25"/>
      <c r="H329" s="14">
        <f t="shared" si="261"/>
        <v>0.55000000000000004</v>
      </c>
      <c r="I329" s="25">
        <f ca="1">IFERROR(__xludf.DUMMYFUNCTION("ROUND(D329*GOOGLEFINANCE(""RUBKZT"")*H329)"),355656)</f>
        <v>355656</v>
      </c>
      <c r="J329" s="26">
        <f ca="1">IFERROR(__xludf.DUMMYFUNCTION("ROUND(I329*GOOGLEFINANCE(""KZTEUR""))"),745)</f>
        <v>745</v>
      </c>
      <c r="K329" s="26">
        <f t="shared" ca="1" si="262"/>
        <v>3582</v>
      </c>
      <c r="L329" s="26">
        <f t="shared" ca="1" si="263"/>
        <v>680.58</v>
      </c>
      <c r="M329" s="26">
        <f t="shared" ref="M329:N329" si="336">M$3</f>
        <v>500</v>
      </c>
      <c r="N329" s="26">
        <f t="shared" si="336"/>
        <v>500</v>
      </c>
      <c r="O329" s="26">
        <f ca="1">IFERROR(__xludf.DUMMYFUNCTION("ROUND(GOOGLEFINANCE(""Currency:EURKZT"")*K329)"),1710654)</f>
        <v>1710654</v>
      </c>
      <c r="P329" s="26">
        <f ca="1">IFERROR(__xludf.DUMMYFUNCTION("ROUND(GOOGLEFINANCE(""Currency:EURKZT"")*M329)"),238785)</f>
        <v>238785</v>
      </c>
      <c r="Q329" s="26">
        <f ca="1">IFERROR(__xludf.DUMMYFUNCTION("ROUND(GOOGLEFINANCE(""Currency:EURKZT"")*N329)"),238785)</f>
        <v>238785</v>
      </c>
      <c r="R329" s="26">
        <f t="shared" ca="1" si="265"/>
        <v>205278</v>
      </c>
      <c r="S329" s="26">
        <f t="shared" ca="1" si="266"/>
        <v>2393502</v>
      </c>
      <c r="T329" s="26">
        <f ca="1">IFERROR(__xludf.DUMMYFUNCTION("ROUND(GOOGLEFINANCE(""Currency:EURKZT"")*L329+S329)"),2718526)</f>
        <v>2718526</v>
      </c>
      <c r="U329" s="26">
        <f ca="1">IFERROR(__xludf.DUMMYFUNCTION("D329*GOOGLEFINANCE(""RUBKZT"")*1000/F329"),3108878.48391265)</f>
        <v>3108878.48391265</v>
      </c>
      <c r="V329" s="27">
        <f t="shared" ca="1" si="267"/>
        <v>0.14358975559279183</v>
      </c>
    </row>
    <row r="330" spans="1:22" ht="12.75" customHeight="1" x14ac:dyDescent="0.2">
      <c r="A330" s="6" t="s">
        <v>631</v>
      </c>
      <c r="B330" s="6" t="s">
        <v>15</v>
      </c>
      <c r="C330" s="7">
        <v>215829</v>
      </c>
      <c r="D330" s="8">
        <v>95876.4</v>
      </c>
      <c r="E330" s="9" t="s">
        <v>16</v>
      </c>
      <c r="F330" s="36">
        <v>208</v>
      </c>
      <c r="G330" s="25"/>
      <c r="H330" s="14">
        <f t="shared" si="261"/>
        <v>0.55000000000000004</v>
      </c>
      <c r="I330" s="25">
        <f ca="1">IFERROR(__xludf.DUMMYFUNCTION("ROUND(D330*GOOGLEFINANCE(""RUBKZT"")*H330)"),411496)</f>
        <v>411496</v>
      </c>
      <c r="J330" s="26">
        <f ca="1">IFERROR(__xludf.DUMMYFUNCTION("ROUND(I330*GOOGLEFINANCE(""KZTEUR""))"),862)</f>
        <v>862</v>
      </c>
      <c r="K330" s="26">
        <f t="shared" ca="1" si="262"/>
        <v>4144</v>
      </c>
      <c r="L330" s="26">
        <f t="shared" ca="1" si="263"/>
        <v>787.36</v>
      </c>
      <c r="M330" s="26">
        <f t="shared" ref="M330:N330" si="337">M$3</f>
        <v>500</v>
      </c>
      <c r="N330" s="26">
        <f t="shared" si="337"/>
        <v>500</v>
      </c>
      <c r="O330" s="26">
        <f ca="1">IFERROR(__xludf.DUMMYFUNCTION("ROUND(GOOGLEFINANCE(""Currency:EURKZT"")*K330)"),1979048)</f>
        <v>1979048</v>
      </c>
      <c r="P330" s="26">
        <f ca="1">IFERROR(__xludf.DUMMYFUNCTION("ROUND(GOOGLEFINANCE(""Currency:EURKZT"")*M330)"),238785)</f>
        <v>238785</v>
      </c>
      <c r="Q330" s="26">
        <f ca="1">IFERROR(__xludf.DUMMYFUNCTION("ROUND(GOOGLEFINANCE(""Currency:EURKZT"")*N330)"),238785)</f>
        <v>238785</v>
      </c>
      <c r="R330" s="26">
        <f t="shared" ca="1" si="265"/>
        <v>237486</v>
      </c>
      <c r="S330" s="26">
        <f t="shared" ca="1" si="266"/>
        <v>2694104</v>
      </c>
      <c r="T330" s="26">
        <f ca="1">IFERROR(__xludf.DUMMYFUNCTION("ROUND(GOOGLEFINANCE(""Currency:EURKZT"")*L330+S330)"),3070123)</f>
        <v>3070123</v>
      </c>
      <c r="U330" s="26">
        <f ca="1">IFERROR(__xludf.DUMMYFUNCTION("D330*GOOGLEFINANCE(""RUBKZT"")*1000/F330"),3596988.83830525)</f>
        <v>3596988.8383052498</v>
      </c>
      <c r="V330" s="27">
        <f t="shared" ca="1" si="267"/>
        <v>0.17161066130094782</v>
      </c>
    </row>
    <row r="331" spans="1:22" ht="12.75" customHeight="1" x14ac:dyDescent="0.2">
      <c r="A331" s="6" t="s">
        <v>630</v>
      </c>
      <c r="B331" s="6" t="s">
        <v>15</v>
      </c>
      <c r="C331" s="7">
        <v>215833</v>
      </c>
      <c r="D331" s="8">
        <v>86253.599999999991</v>
      </c>
      <c r="E331" s="9" t="s">
        <v>7</v>
      </c>
      <c r="F331" s="36">
        <v>208</v>
      </c>
      <c r="G331" s="25"/>
      <c r="H331" s="14">
        <f t="shared" si="261"/>
        <v>0.55000000000000004</v>
      </c>
      <c r="I331" s="25">
        <f ca="1">IFERROR(__xludf.DUMMYFUNCTION("ROUND(D331*GOOGLEFINANCE(""RUBKZT"")*H331)"),370195)</f>
        <v>370195</v>
      </c>
      <c r="J331" s="26">
        <f ca="1">IFERROR(__xludf.DUMMYFUNCTION("ROUND(I331*GOOGLEFINANCE(""KZTEUR""))"),775)</f>
        <v>775</v>
      </c>
      <c r="K331" s="26">
        <f t="shared" ca="1" si="262"/>
        <v>3726</v>
      </c>
      <c r="L331" s="26">
        <f t="shared" ca="1" si="263"/>
        <v>707.94</v>
      </c>
      <c r="M331" s="26">
        <f t="shared" ref="M331:N331" si="338">M$3</f>
        <v>500</v>
      </c>
      <c r="N331" s="26">
        <f t="shared" si="338"/>
        <v>500</v>
      </c>
      <c r="O331" s="26">
        <f ca="1">IFERROR(__xludf.DUMMYFUNCTION("ROUND(GOOGLEFINANCE(""Currency:EURKZT"")*K331)"),1779424)</f>
        <v>1779424</v>
      </c>
      <c r="P331" s="26">
        <f ca="1">IFERROR(__xludf.DUMMYFUNCTION("ROUND(GOOGLEFINANCE(""Currency:EURKZT"")*M331)"),238785)</f>
        <v>238785</v>
      </c>
      <c r="Q331" s="26">
        <f ca="1">IFERROR(__xludf.DUMMYFUNCTION("ROUND(GOOGLEFINANCE(""Currency:EURKZT"")*N331)"),238785)</f>
        <v>238785</v>
      </c>
      <c r="R331" s="26">
        <f t="shared" ca="1" si="265"/>
        <v>213531</v>
      </c>
      <c r="S331" s="26">
        <f t="shared" ca="1" si="266"/>
        <v>2470525</v>
      </c>
      <c r="T331" s="26">
        <f ca="1">IFERROR(__xludf.DUMMYFUNCTION("ROUND(GOOGLEFINANCE(""Currency:EURKZT"")*L331+S331)"),2808616)</f>
        <v>2808616</v>
      </c>
      <c r="U331" s="26">
        <f ca="1">IFERROR(__xludf.DUMMYFUNCTION("D331*GOOGLEFINANCE(""RUBKZT"")*1000/F331"),3235970.85897724)</f>
        <v>3235970.85897724</v>
      </c>
      <c r="V331" s="27">
        <f t="shared" ca="1" si="267"/>
        <v>0.15215852184037976</v>
      </c>
    </row>
    <row r="332" spans="1:22" ht="12.75" customHeight="1" x14ac:dyDescent="0.2">
      <c r="A332" s="6" t="s">
        <v>635</v>
      </c>
      <c r="B332" s="6" t="s">
        <v>15</v>
      </c>
      <c r="C332" s="7">
        <v>215865</v>
      </c>
      <c r="D332" s="8">
        <v>119685.59999999999</v>
      </c>
      <c r="E332" s="9" t="s">
        <v>16</v>
      </c>
      <c r="F332" s="36">
        <v>208</v>
      </c>
      <c r="G332" s="25"/>
      <c r="H332" s="14">
        <f t="shared" si="261"/>
        <v>0.55000000000000004</v>
      </c>
      <c r="I332" s="25">
        <f ca="1">IFERROR(__xludf.DUMMYFUNCTION("ROUND(D332*GOOGLEFINANCE(""RUBKZT"")*H332)"),513683)</f>
        <v>513683</v>
      </c>
      <c r="J332" s="26">
        <f ca="1">IFERROR(__xludf.DUMMYFUNCTION("ROUND(I332*GOOGLEFINANCE(""KZTEUR""))"),1076)</f>
        <v>1076</v>
      </c>
      <c r="K332" s="26">
        <f t="shared" ca="1" si="262"/>
        <v>5173</v>
      </c>
      <c r="L332" s="26">
        <f t="shared" ca="1" si="263"/>
        <v>982.87</v>
      </c>
      <c r="M332" s="26">
        <f t="shared" ref="M332:N332" si="339">M$3</f>
        <v>500</v>
      </c>
      <c r="N332" s="26">
        <f t="shared" si="339"/>
        <v>500</v>
      </c>
      <c r="O332" s="26">
        <f ca="1">IFERROR(__xludf.DUMMYFUNCTION("ROUND(GOOGLEFINANCE(""Currency:EURKZT"")*K332)"),2470468)</f>
        <v>2470468</v>
      </c>
      <c r="P332" s="26">
        <f ca="1">IFERROR(__xludf.DUMMYFUNCTION("ROUND(GOOGLEFINANCE(""Currency:EURKZT"")*M332)"),238785)</f>
        <v>238785</v>
      </c>
      <c r="Q332" s="26">
        <f ca="1">IFERROR(__xludf.DUMMYFUNCTION("ROUND(GOOGLEFINANCE(""Currency:EURKZT"")*N332)"),238785)</f>
        <v>238785</v>
      </c>
      <c r="R332" s="26">
        <f t="shared" ca="1" si="265"/>
        <v>296456</v>
      </c>
      <c r="S332" s="26">
        <f t="shared" ca="1" si="266"/>
        <v>3244494</v>
      </c>
      <c r="T332" s="26">
        <f ca="1">IFERROR(__xludf.DUMMYFUNCTION("ROUND(GOOGLEFINANCE(""Currency:EURKZT"")*L332+S332)"),3713883)</f>
        <v>3713883</v>
      </c>
      <c r="U332" s="26">
        <f ca="1">IFERROR(__xludf.DUMMYFUNCTION("D332*GOOGLEFINANCE(""RUBKZT"")*1000/F332"),4490237.08968909)</f>
        <v>4490237.0896890899</v>
      </c>
      <c r="V332" s="27">
        <f t="shared" ca="1" si="267"/>
        <v>0.20904107363885452</v>
      </c>
    </row>
    <row r="333" spans="1:22" ht="12.75" customHeight="1" x14ac:dyDescent="0.2">
      <c r="A333" s="6" t="s">
        <v>639</v>
      </c>
      <c r="B333" s="6" t="s">
        <v>15</v>
      </c>
      <c r="C333" s="7">
        <v>217710</v>
      </c>
      <c r="D333" s="8">
        <v>343590</v>
      </c>
      <c r="E333" s="9" t="s">
        <v>16</v>
      </c>
      <c r="F333" s="36">
        <v>208</v>
      </c>
      <c r="G333" s="25"/>
      <c r="H333" s="14">
        <f t="shared" si="261"/>
        <v>0.55000000000000004</v>
      </c>
      <c r="I333" s="25">
        <f ca="1">IFERROR(__xludf.DUMMYFUNCTION("ROUND(D333*GOOGLEFINANCE(""RUBKZT"")*H333)"),1474667)</f>
        <v>1474667</v>
      </c>
      <c r="J333" s="26">
        <f ca="1">IFERROR(__xludf.DUMMYFUNCTION("ROUND(I333*GOOGLEFINANCE(""KZTEUR""))"),3088)</f>
        <v>3088</v>
      </c>
      <c r="K333" s="26">
        <f t="shared" ca="1" si="262"/>
        <v>14846</v>
      </c>
      <c r="L333" s="26">
        <f t="shared" ca="1" si="263"/>
        <v>2820.7400000000002</v>
      </c>
      <c r="M333" s="26">
        <f t="shared" ref="M333:N333" si="340">M$3</f>
        <v>500</v>
      </c>
      <c r="N333" s="26">
        <f t="shared" si="340"/>
        <v>500</v>
      </c>
      <c r="O333" s="26">
        <f ca="1">IFERROR(__xludf.DUMMYFUNCTION("ROUND(GOOGLEFINANCE(""Currency:EURKZT"")*K333)"),7089998)</f>
        <v>7089998</v>
      </c>
      <c r="P333" s="26">
        <f ca="1">IFERROR(__xludf.DUMMYFUNCTION("ROUND(GOOGLEFINANCE(""Currency:EURKZT"")*M333)"),238785)</f>
        <v>238785</v>
      </c>
      <c r="Q333" s="26">
        <f ca="1">IFERROR(__xludf.DUMMYFUNCTION("ROUND(GOOGLEFINANCE(""Currency:EURKZT"")*N333)"),238785)</f>
        <v>238785</v>
      </c>
      <c r="R333" s="26">
        <f t="shared" ca="1" si="265"/>
        <v>850800</v>
      </c>
      <c r="S333" s="26">
        <f t="shared" ca="1" si="266"/>
        <v>8418368</v>
      </c>
      <c r="T333" s="26">
        <f ca="1">IFERROR(__xludf.DUMMYFUNCTION("ROUND(GOOGLEFINANCE(""Currency:EURKZT"")*L333+S333)"),9765468)</f>
        <v>9765468</v>
      </c>
      <c r="U333" s="26">
        <f ca="1">IFERROR(__xludf.DUMMYFUNCTION("D333*GOOGLEFINANCE(""RUBKZT"")*1000/F333"),12890444.3111475)</f>
        <v>12890444.3111475</v>
      </c>
      <c r="V333" s="27">
        <f t="shared" ca="1" si="267"/>
        <v>0.3200027188812149</v>
      </c>
    </row>
    <row r="334" spans="1:22" ht="12.75" customHeight="1" x14ac:dyDescent="0.2">
      <c r="A334" s="6" t="s">
        <v>35</v>
      </c>
      <c r="B334" s="6" t="s">
        <v>15</v>
      </c>
      <c r="C334" s="7">
        <v>10031101</v>
      </c>
      <c r="D334" s="8">
        <v>70844.399999999994</v>
      </c>
      <c r="E334" s="9" t="s">
        <v>16</v>
      </c>
      <c r="F334" s="36">
        <v>208</v>
      </c>
      <c r="G334" s="25"/>
      <c r="H334" s="14">
        <f t="shared" si="261"/>
        <v>0.55000000000000004</v>
      </c>
      <c r="I334" s="25">
        <f ca="1">IFERROR(__xludf.DUMMYFUNCTION("ROUND(D334*GOOGLEFINANCE(""RUBKZT"")*H334)"),304060)</f>
        <v>304060</v>
      </c>
      <c r="J334" s="26">
        <f ca="1">IFERROR(__xludf.DUMMYFUNCTION("ROUND(I334*GOOGLEFINANCE(""KZTEUR""))"),637)</f>
        <v>637</v>
      </c>
      <c r="K334" s="26">
        <f t="shared" ca="1" si="262"/>
        <v>3063</v>
      </c>
      <c r="L334" s="26">
        <f t="shared" ca="1" si="263"/>
        <v>581.97</v>
      </c>
      <c r="M334" s="26">
        <f t="shared" ref="M334:N334" si="341">M$3</f>
        <v>500</v>
      </c>
      <c r="N334" s="26">
        <f t="shared" si="341"/>
        <v>500</v>
      </c>
      <c r="O334" s="26">
        <f ca="1">IFERROR(__xludf.DUMMYFUNCTION("ROUND(GOOGLEFINANCE(""Currency:EURKZT"")*K334)"),1462796)</f>
        <v>1462796</v>
      </c>
      <c r="P334" s="26">
        <f ca="1">IFERROR(__xludf.DUMMYFUNCTION("ROUND(GOOGLEFINANCE(""Currency:EURKZT"")*M334)"),238785)</f>
        <v>238785</v>
      </c>
      <c r="Q334" s="26">
        <f ca="1">IFERROR(__xludf.DUMMYFUNCTION("ROUND(GOOGLEFINANCE(""Currency:EURKZT"")*N334)"),238785)</f>
        <v>238785</v>
      </c>
      <c r="R334" s="26">
        <f t="shared" ca="1" si="265"/>
        <v>175536</v>
      </c>
      <c r="S334" s="26">
        <f t="shared" ca="1" si="266"/>
        <v>2115902</v>
      </c>
      <c r="T334" s="26">
        <f ca="1">IFERROR(__xludf.DUMMYFUNCTION("ROUND(GOOGLEFINANCE(""Currency:EURKZT"")*L334+S334)"),2393833)</f>
        <v>2393833</v>
      </c>
      <c r="U334" s="26">
        <f ca="1">IFERROR(__xludf.DUMMYFUNCTION("D334*GOOGLEFINANCE(""RUBKZT"")*1000/F334"),2657864.87661648)</f>
        <v>2657864.8766164798</v>
      </c>
      <c r="V334" s="27">
        <f t="shared" ca="1" si="267"/>
        <v>0.11029669848167346</v>
      </c>
    </row>
    <row r="335" spans="1:22" ht="12.75" customHeight="1" x14ac:dyDescent="0.2">
      <c r="A335" s="6" t="s">
        <v>36</v>
      </c>
      <c r="B335" s="6" t="s">
        <v>15</v>
      </c>
      <c r="C335" s="7">
        <v>10041101</v>
      </c>
      <c r="D335" s="8">
        <v>69922.8</v>
      </c>
      <c r="E335" s="9" t="s">
        <v>16</v>
      </c>
      <c r="F335" s="36">
        <v>208</v>
      </c>
      <c r="G335" s="25"/>
      <c r="H335" s="14">
        <f t="shared" si="261"/>
        <v>0.55000000000000004</v>
      </c>
      <c r="I335" s="25">
        <f ca="1">IFERROR(__xludf.DUMMYFUNCTION("ROUND(D335*GOOGLEFINANCE(""RUBKZT"")*H335)"),300104)</f>
        <v>300104</v>
      </c>
      <c r="J335" s="26">
        <f ca="1">IFERROR(__xludf.DUMMYFUNCTION("ROUND(I335*GOOGLEFINANCE(""KZTEUR""))"),629)</f>
        <v>629</v>
      </c>
      <c r="K335" s="26">
        <f t="shared" ca="1" si="262"/>
        <v>3024</v>
      </c>
      <c r="L335" s="26">
        <f t="shared" ca="1" si="263"/>
        <v>574.56000000000006</v>
      </c>
      <c r="M335" s="26">
        <f t="shared" ref="M335:N335" si="342">M$3</f>
        <v>500</v>
      </c>
      <c r="N335" s="26">
        <f t="shared" si="342"/>
        <v>500</v>
      </c>
      <c r="O335" s="26">
        <f ca="1">IFERROR(__xludf.DUMMYFUNCTION("ROUND(GOOGLEFINANCE(""Currency:EURKZT"")*K335)"),1444171)</f>
        <v>1444171</v>
      </c>
      <c r="P335" s="26">
        <f ca="1">IFERROR(__xludf.DUMMYFUNCTION("ROUND(GOOGLEFINANCE(""Currency:EURKZT"")*M335)"),238785)</f>
        <v>238785</v>
      </c>
      <c r="Q335" s="26">
        <f ca="1">IFERROR(__xludf.DUMMYFUNCTION("ROUND(GOOGLEFINANCE(""Currency:EURKZT"")*N335)"),238785)</f>
        <v>238785</v>
      </c>
      <c r="R335" s="26">
        <f t="shared" ca="1" si="265"/>
        <v>173301</v>
      </c>
      <c r="S335" s="26">
        <f t="shared" ca="1" si="266"/>
        <v>2095042</v>
      </c>
      <c r="T335" s="26">
        <f ca="1">IFERROR(__xludf.DUMMYFUNCTION("ROUND(GOOGLEFINANCE(""Currency:EURKZT"")*L335+S335)"),2369434)</f>
        <v>2369434</v>
      </c>
      <c r="U335" s="26">
        <f ca="1">IFERROR(__xludf.DUMMYFUNCTION("D335*GOOGLEFINANCE(""RUBKZT"")*1000/F335"),2623289.26767223)</f>
        <v>2623289.26767223</v>
      </c>
      <c r="V335" s="27">
        <f t="shared" ca="1" si="267"/>
        <v>0.10713751371518684</v>
      </c>
    </row>
    <row r="336" spans="1:22" ht="12.75" customHeight="1" x14ac:dyDescent="0.2">
      <c r="A336" s="6" t="s">
        <v>643</v>
      </c>
      <c r="B336" s="6" t="s">
        <v>15</v>
      </c>
      <c r="C336" s="7">
        <v>10081101</v>
      </c>
      <c r="D336" s="8">
        <v>78849.599999999991</v>
      </c>
      <c r="E336" s="9" t="s">
        <v>16</v>
      </c>
      <c r="F336" s="36">
        <v>208</v>
      </c>
      <c r="G336" s="25"/>
      <c r="H336" s="14">
        <f t="shared" si="261"/>
        <v>0.55000000000000004</v>
      </c>
      <c r="I336" s="25">
        <f ca="1">IFERROR(__xludf.DUMMYFUNCTION("ROUND(D336*GOOGLEFINANCE(""RUBKZT"")*H336)"),338418)</f>
        <v>338418</v>
      </c>
      <c r="J336" s="26">
        <f ca="1">IFERROR(__xludf.DUMMYFUNCTION("ROUND(I336*GOOGLEFINANCE(""KZTEUR""))"),709)</f>
        <v>709</v>
      </c>
      <c r="K336" s="26">
        <f t="shared" ca="1" si="262"/>
        <v>3409</v>
      </c>
      <c r="L336" s="26">
        <f t="shared" ca="1" si="263"/>
        <v>647.71</v>
      </c>
      <c r="M336" s="26">
        <f t="shared" ref="M336:N336" si="343">M$3</f>
        <v>500</v>
      </c>
      <c r="N336" s="26">
        <f t="shared" si="343"/>
        <v>500</v>
      </c>
      <c r="O336" s="26">
        <f ca="1">IFERROR(__xludf.DUMMYFUNCTION("ROUND(GOOGLEFINANCE(""Currency:EURKZT"")*K336)"),1628035)</f>
        <v>1628035</v>
      </c>
      <c r="P336" s="26">
        <f ca="1">IFERROR(__xludf.DUMMYFUNCTION("ROUND(GOOGLEFINANCE(""Currency:EURKZT"")*M336)"),238785)</f>
        <v>238785</v>
      </c>
      <c r="Q336" s="26">
        <f ca="1">IFERROR(__xludf.DUMMYFUNCTION("ROUND(GOOGLEFINANCE(""Currency:EURKZT"")*N336)"),238785)</f>
        <v>238785</v>
      </c>
      <c r="R336" s="26">
        <f t="shared" ca="1" si="265"/>
        <v>195364</v>
      </c>
      <c r="S336" s="26">
        <f t="shared" ca="1" si="266"/>
        <v>2300969</v>
      </c>
      <c r="T336" s="26">
        <f ca="1">IFERROR(__xludf.DUMMYFUNCTION("ROUND(GOOGLEFINANCE(""Currency:EURKZT"")*L336+S336)"),2610296)</f>
        <v>2610296</v>
      </c>
      <c r="U336" s="26">
        <f ca="1">IFERROR(__xludf.DUMMYFUNCTION("D336*GOOGLEFINANCE(""RUBKZT"")*1000/F336"),2958195.45899547)</f>
        <v>2958195.4589954698</v>
      </c>
      <c r="V336" s="27">
        <f t="shared" ca="1" si="267"/>
        <v>0.13327969663037059</v>
      </c>
    </row>
    <row r="337" spans="1:22" ht="12.75" customHeight="1" x14ac:dyDescent="0.2">
      <c r="A337" s="6" t="s">
        <v>646</v>
      </c>
      <c r="B337" s="6" t="s">
        <v>15</v>
      </c>
      <c r="C337" s="7">
        <v>10091101</v>
      </c>
      <c r="D337" s="8">
        <v>83312.399999999994</v>
      </c>
      <c r="E337" s="9" t="s">
        <v>16</v>
      </c>
      <c r="F337" s="36">
        <v>208</v>
      </c>
      <c r="G337" s="25"/>
      <c r="H337" s="14">
        <f t="shared" si="261"/>
        <v>0.55000000000000004</v>
      </c>
      <c r="I337" s="25">
        <f ca="1">IFERROR(__xludf.DUMMYFUNCTION("ROUND(D337*GOOGLEFINANCE(""RUBKZT"")*H337)"),357572)</f>
        <v>357572</v>
      </c>
      <c r="J337" s="26">
        <f ca="1">IFERROR(__xludf.DUMMYFUNCTION("ROUND(I337*GOOGLEFINANCE(""KZTEUR""))"),749)</f>
        <v>749</v>
      </c>
      <c r="K337" s="26">
        <f t="shared" ca="1" si="262"/>
        <v>3601</v>
      </c>
      <c r="L337" s="26">
        <f t="shared" ca="1" si="263"/>
        <v>684.19</v>
      </c>
      <c r="M337" s="26">
        <f t="shared" ref="M337:N337" si="344">M$3</f>
        <v>500</v>
      </c>
      <c r="N337" s="26">
        <f t="shared" si="344"/>
        <v>500</v>
      </c>
      <c r="O337" s="26">
        <f ca="1">IFERROR(__xludf.DUMMYFUNCTION("ROUND(GOOGLEFINANCE(""Currency:EURKZT"")*K337)"),1719728)</f>
        <v>1719728</v>
      </c>
      <c r="P337" s="26">
        <f ca="1">IFERROR(__xludf.DUMMYFUNCTION("ROUND(GOOGLEFINANCE(""Currency:EURKZT"")*M337)"),238785)</f>
        <v>238785</v>
      </c>
      <c r="Q337" s="26">
        <f ca="1">IFERROR(__xludf.DUMMYFUNCTION("ROUND(GOOGLEFINANCE(""Currency:EURKZT"")*N337)"),238785)</f>
        <v>238785</v>
      </c>
      <c r="R337" s="26">
        <f t="shared" ca="1" si="265"/>
        <v>206367</v>
      </c>
      <c r="S337" s="26">
        <f t="shared" ca="1" si="266"/>
        <v>2403665</v>
      </c>
      <c r="T337" s="26">
        <f ca="1">IFERROR(__xludf.DUMMYFUNCTION("ROUND(GOOGLEFINANCE(""Currency:EURKZT"")*L337+S337)"),2730413)</f>
        <v>2730413</v>
      </c>
      <c r="U337" s="26">
        <f ca="1">IFERROR(__xludf.DUMMYFUNCTION("D337*GOOGLEFINANCE(""RUBKZT"")*1000/F337"),3125626.04449502)</f>
        <v>3125626.0444950201</v>
      </c>
      <c r="V337" s="27">
        <f t="shared" ca="1" si="267"/>
        <v>0.14474478567711921</v>
      </c>
    </row>
    <row r="338" spans="1:22" ht="12.75" customHeight="1" x14ac:dyDescent="0.2">
      <c r="A338" s="6" t="s">
        <v>208</v>
      </c>
      <c r="B338" s="6" t="s">
        <v>15</v>
      </c>
      <c r="C338" s="7">
        <v>10101101</v>
      </c>
      <c r="D338" s="8">
        <v>83160</v>
      </c>
      <c r="E338" s="9" t="s">
        <v>16</v>
      </c>
      <c r="F338" s="36">
        <v>208</v>
      </c>
      <c r="G338" s="25"/>
      <c r="H338" s="14">
        <f t="shared" si="261"/>
        <v>0.55000000000000004</v>
      </c>
      <c r="I338" s="25">
        <f ca="1">IFERROR(__xludf.DUMMYFUNCTION("ROUND(D338*GOOGLEFINANCE(""RUBKZT"")*H338)"),356918)</f>
        <v>356918</v>
      </c>
      <c r="J338" s="26">
        <f ca="1">IFERROR(__xludf.DUMMYFUNCTION("ROUND(I338*GOOGLEFINANCE(""KZTEUR""))"),748)</f>
        <v>748</v>
      </c>
      <c r="K338" s="26">
        <f t="shared" ca="1" si="262"/>
        <v>3596</v>
      </c>
      <c r="L338" s="26">
        <f t="shared" ca="1" si="263"/>
        <v>683.24</v>
      </c>
      <c r="M338" s="26">
        <f t="shared" ref="M338:N338" si="345">M$3</f>
        <v>500</v>
      </c>
      <c r="N338" s="26">
        <f t="shared" si="345"/>
        <v>500</v>
      </c>
      <c r="O338" s="26">
        <f ca="1">IFERROR(__xludf.DUMMYFUNCTION("ROUND(GOOGLEFINANCE(""Currency:EURKZT"")*K338)"),1717340)</f>
        <v>1717340</v>
      </c>
      <c r="P338" s="26">
        <f ca="1">IFERROR(__xludf.DUMMYFUNCTION("ROUND(GOOGLEFINANCE(""Currency:EURKZT"")*M338)"),238785)</f>
        <v>238785</v>
      </c>
      <c r="Q338" s="26">
        <f ca="1">IFERROR(__xludf.DUMMYFUNCTION("ROUND(GOOGLEFINANCE(""Currency:EURKZT"")*N338)"),238785)</f>
        <v>238785</v>
      </c>
      <c r="R338" s="26">
        <f t="shared" ca="1" si="265"/>
        <v>206081</v>
      </c>
      <c r="S338" s="26">
        <f t="shared" ca="1" si="266"/>
        <v>2400991</v>
      </c>
      <c r="T338" s="26">
        <f ca="1">IFERROR(__xludf.DUMMYFUNCTION("ROUND(GOOGLEFINANCE(""Currency:EURKZT"")*L338+S338)"),2727286)</f>
        <v>2727286</v>
      </c>
      <c r="U338" s="26">
        <f ca="1">IFERROR(__xludf.DUMMYFUNCTION("D338*GOOGLEFINANCE(""RUBKZT"")*1000/F338"),3119908.46332846)</f>
        <v>3119908.4633284602</v>
      </c>
      <c r="V338" s="27">
        <f t="shared" ca="1" si="267"/>
        <v>0.14396086927753826</v>
      </c>
    </row>
    <row r="339" spans="1:22" ht="12.75" customHeight="1" x14ac:dyDescent="0.2">
      <c r="A339" s="6" t="s">
        <v>60</v>
      </c>
      <c r="B339" s="6" t="s">
        <v>15</v>
      </c>
      <c r="C339" s="7">
        <v>10111101</v>
      </c>
      <c r="D339" s="8">
        <v>68010</v>
      </c>
      <c r="E339" s="9" t="s">
        <v>16</v>
      </c>
      <c r="F339" s="36">
        <v>208</v>
      </c>
      <c r="G339" s="25"/>
      <c r="H339" s="14">
        <f t="shared" si="261"/>
        <v>0.55000000000000004</v>
      </c>
      <c r="I339" s="25">
        <f ca="1">IFERROR(__xludf.DUMMYFUNCTION("ROUND(D339*GOOGLEFINANCE(""RUBKZT"")*H339)"),291895)</f>
        <v>291895</v>
      </c>
      <c r="J339" s="26">
        <f ca="1">IFERROR(__xludf.DUMMYFUNCTION("ROUND(I339*GOOGLEFINANCE(""KZTEUR""))"),611)</f>
        <v>611</v>
      </c>
      <c r="K339" s="26">
        <f t="shared" ca="1" si="262"/>
        <v>2938</v>
      </c>
      <c r="L339" s="26">
        <f t="shared" ca="1" si="263"/>
        <v>558.22</v>
      </c>
      <c r="M339" s="26">
        <f t="shared" ref="M339:N339" si="346">M$3</f>
        <v>500</v>
      </c>
      <c r="N339" s="26">
        <f t="shared" si="346"/>
        <v>500</v>
      </c>
      <c r="O339" s="26">
        <f ca="1">IFERROR(__xludf.DUMMYFUNCTION("ROUND(GOOGLEFINANCE(""Currency:EURKZT"")*K339)"),1403100)</f>
        <v>1403100</v>
      </c>
      <c r="P339" s="26">
        <f ca="1">IFERROR(__xludf.DUMMYFUNCTION("ROUND(GOOGLEFINANCE(""Currency:EURKZT"")*M339)"),238785)</f>
        <v>238785</v>
      </c>
      <c r="Q339" s="26">
        <f ca="1">IFERROR(__xludf.DUMMYFUNCTION("ROUND(GOOGLEFINANCE(""Currency:EURKZT"")*N339)"),238785)</f>
        <v>238785</v>
      </c>
      <c r="R339" s="26">
        <f t="shared" ca="1" si="265"/>
        <v>168372</v>
      </c>
      <c r="S339" s="26">
        <f t="shared" ca="1" si="266"/>
        <v>2049042</v>
      </c>
      <c r="T339" s="26">
        <f ca="1">IFERROR(__xludf.DUMMYFUNCTION("ROUND(GOOGLEFINANCE(""Currency:EURKZT"")*L339+S339)"),2315631)</f>
        <v>2315631</v>
      </c>
      <c r="U339" s="26">
        <f ca="1">IFERROR(__xludf.DUMMYFUNCTION("D339*GOOGLEFINANCE(""RUBKZT"")*1000/F339"),2551526.87098326)</f>
        <v>2551526.8709832602</v>
      </c>
      <c r="V339" s="27">
        <f t="shared" ca="1" si="267"/>
        <v>0.10187109733081835</v>
      </c>
    </row>
    <row r="340" spans="1:22" ht="12.75" customHeight="1" x14ac:dyDescent="0.2">
      <c r="A340" s="6" t="s">
        <v>61</v>
      </c>
      <c r="B340" s="6" t="s">
        <v>15</v>
      </c>
      <c r="C340" s="7">
        <v>10121101</v>
      </c>
      <c r="D340" s="8">
        <v>71708.399999999994</v>
      </c>
      <c r="E340" s="9" t="s">
        <v>16</v>
      </c>
      <c r="F340" s="36">
        <v>208</v>
      </c>
      <c r="G340" s="25"/>
      <c r="H340" s="14">
        <f t="shared" si="261"/>
        <v>0.55000000000000004</v>
      </c>
      <c r="I340" s="25">
        <f ca="1">IFERROR(__xludf.DUMMYFUNCTION("ROUND(D340*GOOGLEFINANCE(""RUBKZT"")*H340)"),307768)</f>
        <v>307768</v>
      </c>
      <c r="J340" s="26">
        <f ca="1">IFERROR(__xludf.DUMMYFUNCTION("ROUND(I340*GOOGLEFINANCE(""KZTEUR""))"),645)</f>
        <v>645</v>
      </c>
      <c r="K340" s="26">
        <f t="shared" ca="1" si="262"/>
        <v>3101</v>
      </c>
      <c r="L340" s="26">
        <f t="shared" ca="1" si="263"/>
        <v>589.19000000000005</v>
      </c>
      <c r="M340" s="26">
        <f t="shared" ref="M340:N340" si="347">M$3</f>
        <v>500</v>
      </c>
      <c r="N340" s="26">
        <f t="shared" si="347"/>
        <v>500</v>
      </c>
      <c r="O340" s="26">
        <f ca="1">IFERROR(__xludf.DUMMYFUNCTION("ROUND(GOOGLEFINANCE(""Currency:EURKZT"")*K340)"),1480943)</f>
        <v>1480943</v>
      </c>
      <c r="P340" s="26">
        <f ca="1">IFERROR(__xludf.DUMMYFUNCTION("ROUND(GOOGLEFINANCE(""Currency:EURKZT"")*M340)"),238785)</f>
        <v>238785</v>
      </c>
      <c r="Q340" s="26">
        <f ca="1">IFERROR(__xludf.DUMMYFUNCTION("ROUND(GOOGLEFINANCE(""Currency:EURKZT"")*N340)"),238785)</f>
        <v>238785</v>
      </c>
      <c r="R340" s="26">
        <f t="shared" ca="1" si="265"/>
        <v>177713</v>
      </c>
      <c r="S340" s="26">
        <f t="shared" ca="1" si="266"/>
        <v>2136226</v>
      </c>
      <c r="T340" s="26">
        <f ca="1">IFERROR(__xludf.DUMMYFUNCTION("ROUND(GOOGLEFINANCE(""Currency:EURKZT"")*L340+S340)"),2417605)</f>
        <v>2417605</v>
      </c>
      <c r="U340" s="26">
        <f ca="1">IFERROR(__xludf.DUMMYFUNCTION("D340*GOOGLEFINANCE(""RUBKZT"")*1000/F340"),2690279.51000171)</f>
        <v>2690279.5100017102</v>
      </c>
      <c r="V340" s="27">
        <f t="shared" ca="1" si="267"/>
        <v>0.11278703923995448</v>
      </c>
    </row>
    <row r="341" spans="1:22" ht="12.75" customHeight="1" x14ac:dyDescent="0.2">
      <c r="A341" s="6" t="s">
        <v>649</v>
      </c>
      <c r="B341" s="6" t="s">
        <v>15</v>
      </c>
      <c r="C341" s="7">
        <v>10261101</v>
      </c>
      <c r="D341" s="8">
        <v>82866</v>
      </c>
      <c r="E341" s="9" t="s">
        <v>16</v>
      </c>
      <c r="F341" s="36">
        <v>208</v>
      </c>
      <c r="G341" s="25"/>
      <c r="H341" s="14">
        <f t="shared" si="261"/>
        <v>0.55000000000000004</v>
      </c>
      <c r="I341" s="25">
        <f ca="1">IFERROR(__xludf.DUMMYFUNCTION("ROUND(D341*GOOGLEFINANCE(""RUBKZT"")*H341)"),355656)</f>
        <v>355656</v>
      </c>
      <c r="J341" s="26">
        <f ca="1">IFERROR(__xludf.DUMMYFUNCTION("ROUND(I341*GOOGLEFINANCE(""KZTEUR""))"),745)</f>
        <v>745</v>
      </c>
      <c r="K341" s="26">
        <f t="shared" ca="1" si="262"/>
        <v>3582</v>
      </c>
      <c r="L341" s="26">
        <f t="shared" ca="1" si="263"/>
        <v>680.58</v>
      </c>
      <c r="M341" s="26">
        <f t="shared" ref="M341:N341" si="348">M$3</f>
        <v>500</v>
      </c>
      <c r="N341" s="26">
        <f t="shared" si="348"/>
        <v>500</v>
      </c>
      <c r="O341" s="26">
        <f ca="1">IFERROR(__xludf.DUMMYFUNCTION("ROUND(GOOGLEFINANCE(""Currency:EURKZT"")*K341)"),1710654)</f>
        <v>1710654</v>
      </c>
      <c r="P341" s="26">
        <f ca="1">IFERROR(__xludf.DUMMYFUNCTION("ROUND(GOOGLEFINANCE(""Currency:EURKZT"")*M341)"),238785)</f>
        <v>238785</v>
      </c>
      <c r="Q341" s="26">
        <f ca="1">IFERROR(__xludf.DUMMYFUNCTION("ROUND(GOOGLEFINANCE(""Currency:EURKZT"")*N341)"),238785)</f>
        <v>238785</v>
      </c>
      <c r="R341" s="26">
        <f t="shared" ca="1" si="265"/>
        <v>205278</v>
      </c>
      <c r="S341" s="26">
        <f t="shared" ca="1" si="266"/>
        <v>2393502</v>
      </c>
      <c r="T341" s="26">
        <f ca="1">IFERROR(__xludf.DUMMYFUNCTION("ROUND(GOOGLEFINANCE(""Currency:EURKZT"")*L341+S341)"),2718526)</f>
        <v>2718526</v>
      </c>
      <c r="U341" s="26">
        <f ca="1">IFERROR(__xludf.DUMMYFUNCTION("D341*GOOGLEFINANCE(""RUBKZT"")*1000/F341"),3108878.48391265)</f>
        <v>3108878.48391265</v>
      </c>
      <c r="V341" s="27">
        <f t="shared" ca="1" si="267"/>
        <v>0.14358975559279183</v>
      </c>
    </row>
    <row r="342" spans="1:22" ht="12.75" customHeight="1" x14ac:dyDescent="0.2">
      <c r="A342" s="6" t="s">
        <v>137</v>
      </c>
      <c r="B342" s="6" t="s">
        <v>15</v>
      </c>
      <c r="C342" s="7">
        <v>10271101</v>
      </c>
      <c r="D342" s="8">
        <v>75930</v>
      </c>
      <c r="E342" s="9" t="s">
        <v>16</v>
      </c>
      <c r="F342" s="36">
        <v>208</v>
      </c>
      <c r="G342" s="25"/>
      <c r="H342" s="14">
        <f t="shared" si="261"/>
        <v>0.55000000000000004</v>
      </c>
      <c r="I342" s="25">
        <f ca="1">IFERROR(__xludf.DUMMYFUNCTION("ROUND(D342*GOOGLEFINANCE(""RUBKZT"")*H342)"),325887)</f>
        <v>325887</v>
      </c>
      <c r="J342" s="26">
        <f ca="1">IFERROR(__xludf.DUMMYFUNCTION("ROUND(I342*GOOGLEFINANCE(""KZTEUR""))"),683)</f>
        <v>683</v>
      </c>
      <c r="K342" s="26">
        <f t="shared" ca="1" si="262"/>
        <v>3284</v>
      </c>
      <c r="L342" s="26">
        <f t="shared" ca="1" si="263"/>
        <v>623.96</v>
      </c>
      <c r="M342" s="26">
        <f t="shared" ref="M342:N342" si="349">M$3</f>
        <v>500</v>
      </c>
      <c r="N342" s="26">
        <f t="shared" si="349"/>
        <v>500</v>
      </c>
      <c r="O342" s="26">
        <f ca="1">IFERROR(__xludf.DUMMYFUNCTION("ROUND(GOOGLEFINANCE(""Currency:EURKZT"")*K342)"),1568339)</f>
        <v>1568339</v>
      </c>
      <c r="P342" s="26">
        <f ca="1">IFERROR(__xludf.DUMMYFUNCTION("ROUND(GOOGLEFINANCE(""Currency:EURKZT"")*M342)"),238785)</f>
        <v>238785</v>
      </c>
      <c r="Q342" s="26">
        <f ca="1">IFERROR(__xludf.DUMMYFUNCTION("ROUND(GOOGLEFINANCE(""Currency:EURKZT"")*N342)"),238785)</f>
        <v>238785</v>
      </c>
      <c r="R342" s="26">
        <f t="shared" ca="1" si="265"/>
        <v>188201</v>
      </c>
      <c r="S342" s="26">
        <f t="shared" ca="1" si="266"/>
        <v>2234110</v>
      </c>
      <c r="T342" s="26">
        <f ca="1">IFERROR(__xludf.DUMMYFUNCTION("ROUND(GOOGLEFINANCE(""Currency:EURKZT"")*L342+S342)"),2532094)</f>
        <v>2532094</v>
      </c>
      <c r="U342" s="26">
        <f ca="1">IFERROR(__xludf.DUMMYFUNCTION("D342*GOOGLEFINANCE(""RUBKZT"")*1000/F342"),2848661.01034788)</f>
        <v>2848661.01034788</v>
      </c>
      <c r="V342" s="27">
        <f t="shared" ca="1" si="267"/>
        <v>0.12502182397173248</v>
      </c>
    </row>
    <row r="343" spans="1:22" ht="12.75" customHeight="1" x14ac:dyDescent="0.2">
      <c r="A343" s="6" t="s">
        <v>137</v>
      </c>
      <c r="B343" s="6" t="s">
        <v>15</v>
      </c>
      <c r="C343" s="7">
        <v>113452</v>
      </c>
      <c r="D343" s="8">
        <v>75930</v>
      </c>
      <c r="E343" s="9" t="s">
        <v>16</v>
      </c>
      <c r="F343" s="36">
        <v>208</v>
      </c>
      <c r="G343" s="25"/>
      <c r="H343" s="14">
        <f t="shared" si="261"/>
        <v>0.55000000000000004</v>
      </c>
      <c r="I343" s="25">
        <f ca="1">IFERROR(__xludf.DUMMYFUNCTION("ROUND(D343*GOOGLEFINANCE(""RUBKZT"")*H343)"),325887)</f>
        <v>325887</v>
      </c>
      <c r="J343" s="26">
        <f ca="1">IFERROR(__xludf.DUMMYFUNCTION("ROUND(I343*GOOGLEFINANCE(""KZTEUR""))"),683)</f>
        <v>683</v>
      </c>
      <c r="K343" s="26">
        <f t="shared" ca="1" si="262"/>
        <v>3284</v>
      </c>
      <c r="L343" s="26">
        <f t="shared" ca="1" si="263"/>
        <v>623.96</v>
      </c>
      <c r="M343" s="26">
        <f t="shared" ref="M343:N343" si="350">M$3</f>
        <v>500</v>
      </c>
      <c r="N343" s="26">
        <f t="shared" si="350"/>
        <v>500</v>
      </c>
      <c r="O343" s="26">
        <f ca="1">IFERROR(__xludf.DUMMYFUNCTION("ROUND(GOOGLEFINANCE(""Currency:EURKZT"")*K343)"),1568339)</f>
        <v>1568339</v>
      </c>
      <c r="P343" s="26">
        <f ca="1">IFERROR(__xludf.DUMMYFUNCTION("ROUND(GOOGLEFINANCE(""Currency:EURKZT"")*M343)"),238785)</f>
        <v>238785</v>
      </c>
      <c r="Q343" s="26">
        <f ca="1">IFERROR(__xludf.DUMMYFUNCTION("ROUND(GOOGLEFINANCE(""Currency:EURKZT"")*N343)"),238785)</f>
        <v>238785</v>
      </c>
      <c r="R343" s="26">
        <f t="shared" ca="1" si="265"/>
        <v>188201</v>
      </c>
      <c r="S343" s="26">
        <f t="shared" ca="1" si="266"/>
        <v>2234110</v>
      </c>
      <c r="T343" s="26">
        <f ca="1">IFERROR(__xludf.DUMMYFUNCTION("ROUND(GOOGLEFINANCE(""Currency:EURKZT"")*L343+S343)"),2532094)</f>
        <v>2532094</v>
      </c>
      <c r="U343" s="26">
        <f ca="1">IFERROR(__xludf.DUMMYFUNCTION("D343*GOOGLEFINANCE(""RUBKZT"")*1000/F343"),2848661.01034788)</f>
        <v>2848661.01034788</v>
      </c>
      <c r="V343" s="27">
        <f t="shared" ca="1" si="267"/>
        <v>0.12502182397173248</v>
      </c>
    </row>
    <row r="344" spans="1:22" ht="12.75" customHeight="1" x14ac:dyDescent="0.2">
      <c r="A344" s="6" t="s">
        <v>72</v>
      </c>
      <c r="B344" s="6" t="s">
        <v>15</v>
      </c>
      <c r="C344" s="7">
        <v>10461101</v>
      </c>
      <c r="D344" s="8">
        <v>66674.399999999994</v>
      </c>
      <c r="E344" s="9" t="s">
        <v>16</v>
      </c>
      <c r="F344" s="36">
        <v>208</v>
      </c>
      <c r="G344" s="25"/>
      <c r="H344" s="14">
        <f t="shared" si="261"/>
        <v>0.55000000000000004</v>
      </c>
      <c r="I344" s="25">
        <f ca="1">IFERROR(__xludf.DUMMYFUNCTION("ROUND(D344*GOOGLEFINANCE(""RUBKZT"")*H344)"),286162)</f>
        <v>286162</v>
      </c>
      <c r="J344" s="26">
        <f ca="1">IFERROR(__xludf.DUMMYFUNCTION("ROUND(I344*GOOGLEFINANCE(""KZTEUR""))"),599)</f>
        <v>599</v>
      </c>
      <c r="K344" s="26">
        <f t="shared" ca="1" si="262"/>
        <v>2880</v>
      </c>
      <c r="L344" s="26">
        <f t="shared" ca="1" si="263"/>
        <v>547.20000000000005</v>
      </c>
      <c r="M344" s="26">
        <f t="shared" ref="M344:N344" si="351">M$3</f>
        <v>500</v>
      </c>
      <c r="N344" s="26">
        <f t="shared" si="351"/>
        <v>500</v>
      </c>
      <c r="O344" s="26">
        <f ca="1">IFERROR(__xludf.DUMMYFUNCTION("ROUND(GOOGLEFINANCE(""Currency:EURKZT"")*K344)"),1375400)</f>
        <v>1375400</v>
      </c>
      <c r="P344" s="26">
        <f ca="1">IFERROR(__xludf.DUMMYFUNCTION("ROUND(GOOGLEFINANCE(""Currency:EURKZT"")*M344)"),238785)</f>
        <v>238785</v>
      </c>
      <c r="Q344" s="26">
        <f ca="1">IFERROR(__xludf.DUMMYFUNCTION("ROUND(GOOGLEFINANCE(""Currency:EURKZT"")*N344)"),238785)</f>
        <v>238785</v>
      </c>
      <c r="R344" s="26">
        <f t="shared" ca="1" si="265"/>
        <v>165048</v>
      </c>
      <c r="S344" s="26">
        <f t="shared" ca="1" si="266"/>
        <v>2018018</v>
      </c>
      <c r="T344" s="26">
        <f ca="1">IFERROR(__xludf.DUMMYFUNCTION("ROUND(GOOGLEFINANCE(""Currency:EURKZT"")*L344+S344)"),2279344)</f>
        <v>2279344</v>
      </c>
      <c r="U344" s="26">
        <f ca="1">IFERROR(__xludf.DUMMYFUNCTION("D344*GOOGLEFINANCE(""RUBKZT"")*1000/F344"),2501419.2502086)</f>
        <v>2501419.2502086</v>
      </c>
      <c r="V344" s="27">
        <f t="shared" ca="1" si="267"/>
        <v>9.7429457865333163E-2</v>
      </c>
    </row>
    <row r="345" spans="1:22" ht="12.75" customHeight="1" x14ac:dyDescent="0.2">
      <c r="A345" s="6" t="s">
        <v>652</v>
      </c>
      <c r="B345" s="6" t="s">
        <v>15</v>
      </c>
      <c r="C345" s="7">
        <v>10521101</v>
      </c>
      <c r="D345" s="8">
        <v>63972</v>
      </c>
      <c r="E345" s="9" t="s">
        <v>16</v>
      </c>
      <c r="F345" s="36">
        <v>208</v>
      </c>
      <c r="G345" s="25"/>
      <c r="H345" s="14">
        <f t="shared" si="261"/>
        <v>0.55000000000000004</v>
      </c>
      <c r="I345" s="25">
        <f ca="1">IFERROR(__xludf.DUMMYFUNCTION("ROUND(D345*GOOGLEFINANCE(""RUBKZT"")*H345)"),274564)</f>
        <v>274564</v>
      </c>
      <c r="J345" s="26">
        <f ca="1">IFERROR(__xludf.DUMMYFUNCTION("ROUND(I345*GOOGLEFINANCE(""KZTEUR""))"),575)</f>
        <v>575</v>
      </c>
      <c r="K345" s="26">
        <f t="shared" ca="1" si="262"/>
        <v>2764</v>
      </c>
      <c r="L345" s="26">
        <f t="shared" ca="1" si="263"/>
        <v>525.16</v>
      </c>
      <c r="M345" s="26">
        <f t="shared" ref="M345:N345" si="352">M$3</f>
        <v>500</v>
      </c>
      <c r="N345" s="26">
        <f t="shared" si="352"/>
        <v>500</v>
      </c>
      <c r="O345" s="26">
        <f ca="1">IFERROR(__xludf.DUMMYFUNCTION("ROUND(GOOGLEFINANCE(""Currency:EURKZT"")*K345)"),1320002)</f>
        <v>1320002</v>
      </c>
      <c r="P345" s="26">
        <f ca="1">IFERROR(__xludf.DUMMYFUNCTION("ROUND(GOOGLEFINANCE(""Currency:EURKZT"")*M345)"),238785)</f>
        <v>238785</v>
      </c>
      <c r="Q345" s="26">
        <f ca="1">IFERROR(__xludf.DUMMYFUNCTION("ROUND(GOOGLEFINANCE(""Currency:EURKZT"")*N345)"),238785)</f>
        <v>238785</v>
      </c>
      <c r="R345" s="26">
        <f t="shared" ca="1" si="265"/>
        <v>158400</v>
      </c>
      <c r="S345" s="26">
        <f t="shared" ca="1" si="266"/>
        <v>1955972</v>
      </c>
      <c r="T345" s="26">
        <f ca="1">IFERROR(__xludf.DUMMYFUNCTION("ROUND(GOOGLEFINANCE(""Currency:EURKZT"")*L345+S345)"),2206772)</f>
        <v>2206772</v>
      </c>
      <c r="U345" s="26">
        <f ca="1">IFERROR(__xludf.DUMMYFUNCTION("D345*GOOGLEFINANCE(""RUBKZT"")*1000/F345"),2400033.48023146)</f>
        <v>2400033.4802314602</v>
      </c>
      <c r="V345" s="27">
        <f t="shared" ca="1" si="267"/>
        <v>8.7576550831467953E-2</v>
      </c>
    </row>
    <row r="346" spans="1:22" ht="12.75" customHeight="1" x14ac:dyDescent="0.2">
      <c r="A346" s="6" t="s">
        <v>62</v>
      </c>
      <c r="B346" s="6" t="s">
        <v>15</v>
      </c>
      <c r="C346" s="7">
        <v>10551101</v>
      </c>
      <c r="D346" s="8">
        <v>78346.8</v>
      </c>
      <c r="E346" s="9" t="s">
        <v>16</v>
      </c>
      <c r="F346" s="36">
        <v>208</v>
      </c>
      <c r="G346" s="25"/>
      <c r="H346" s="14">
        <f t="shared" si="261"/>
        <v>0.55000000000000004</v>
      </c>
      <c r="I346" s="25">
        <f ca="1">IFERROR(__xludf.DUMMYFUNCTION("ROUND(D346*GOOGLEFINANCE(""RUBKZT"")*H346)"),336260)</f>
        <v>336260</v>
      </c>
      <c r="J346" s="26">
        <f ca="1">IFERROR(__xludf.DUMMYFUNCTION("ROUND(I346*GOOGLEFINANCE(""KZTEUR""))"),704)</f>
        <v>704</v>
      </c>
      <c r="K346" s="26">
        <f t="shared" ca="1" si="262"/>
        <v>3385</v>
      </c>
      <c r="L346" s="26">
        <f t="shared" ca="1" si="263"/>
        <v>643.15</v>
      </c>
      <c r="M346" s="26">
        <f t="shared" ref="M346:N346" si="353">M$3</f>
        <v>500</v>
      </c>
      <c r="N346" s="26">
        <f t="shared" si="353"/>
        <v>500</v>
      </c>
      <c r="O346" s="26">
        <f ca="1">IFERROR(__xludf.DUMMYFUNCTION("ROUND(GOOGLEFINANCE(""Currency:EURKZT"")*K346)"),1616573)</f>
        <v>1616573</v>
      </c>
      <c r="P346" s="26">
        <f ca="1">IFERROR(__xludf.DUMMYFUNCTION("ROUND(GOOGLEFINANCE(""Currency:EURKZT"")*M346)"),238785)</f>
        <v>238785</v>
      </c>
      <c r="Q346" s="26">
        <f ca="1">IFERROR(__xludf.DUMMYFUNCTION("ROUND(GOOGLEFINANCE(""Currency:EURKZT"")*N346)"),238785)</f>
        <v>238785</v>
      </c>
      <c r="R346" s="26">
        <f t="shared" ca="1" si="265"/>
        <v>193989</v>
      </c>
      <c r="S346" s="26">
        <f t="shared" ca="1" si="266"/>
        <v>2288132</v>
      </c>
      <c r="T346" s="26">
        <f ca="1">IFERROR(__xludf.DUMMYFUNCTION("ROUND(GOOGLEFINANCE(""Currency:EURKZT"")*L346+S346)"),2595281)</f>
        <v>2595281</v>
      </c>
      <c r="U346" s="26">
        <f ca="1">IFERROR(__xludf.DUMMYFUNCTION("D346*GOOGLEFINANCE(""RUBKZT"")*1000/F346"),2939331.94317823)</f>
        <v>2939331.94317823</v>
      </c>
      <c r="V346" s="27">
        <f t="shared" ca="1" si="267"/>
        <v>0.13256789657005541</v>
      </c>
    </row>
    <row r="347" spans="1:22" ht="12.75" customHeight="1" x14ac:dyDescent="0.2">
      <c r="A347" s="6" t="s">
        <v>654</v>
      </c>
      <c r="B347" s="6" t="s">
        <v>15</v>
      </c>
      <c r="C347" s="7">
        <v>10781101</v>
      </c>
      <c r="D347" s="8">
        <v>70784.399999999994</v>
      </c>
      <c r="E347" s="9" t="s">
        <v>16</v>
      </c>
      <c r="F347" s="36">
        <v>208</v>
      </c>
      <c r="G347" s="25"/>
      <c r="H347" s="14">
        <f t="shared" si="261"/>
        <v>0.55000000000000004</v>
      </c>
      <c r="I347" s="25">
        <f ca="1">IFERROR(__xludf.DUMMYFUNCTION("ROUND(D347*GOOGLEFINANCE(""RUBKZT"")*H347)"),303802)</f>
        <v>303802</v>
      </c>
      <c r="J347" s="26">
        <f ca="1">IFERROR(__xludf.DUMMYFUNCTION("ROUND(I347*GOOGLEFINANCE(""KZTEUR""))"),636)</f>
        <v>636</v>
      </c>
      <c r="K347" s="26">
        <f t="shared" ca="1" si="262"/>
        <v>3058</v>
      </c>
      <c r="L347" s="26">
        <f t="shared" ca="1" si="263"/>
        <v>581.02</v>
      </c>
      <c r="M347" s="26">
        <f t="shared" ref="M347:N347" si="354">M$3</f>
        <v>500</v>
      </c>
      <c r="N347" s="26">
        <f t="shared" si="354"/>
        <v>500</v>
      </c>
      <c r="O347" s="26">
        <f ca="1">IFERROR(__xludf.DUMMYFUNCTION("ROUND(GOOGLEFINANCE(""Currency:EURKZT"")*K347)"),1460408)</f>
        <v>1460408</v>
      </c>
      <c r="P347" s="26">
        <f ca="1">IFERROR(__xludf.DUMMYFUNCTION("ROUND(GOOGLEFINANCE(""Currency:EURKZT"")*M347)"),238785)</f>
        <v>238785</v>
      </c>
      <c r="Q347" s="26">
        <f ca="1">IFERROR(__xludf.DUMMYFUNCTION("ROUND(GOOGLEFINANCE(""Currency:EURKZT"")*N347)"),238785)</f>
        <v>238785</v>
      </c>
      <c r="R347" s="26">
        <f t="shared" ca="1" si="265"/>
        <v>175249</v>
      </c>
      <c r="S347" s="26">
        <f t="shared" ca="1" si="266"/>
        <v>2113227</v>
      </c>
      <c r="T347" s="26">
        <f ca="1">IFERROR(__xludf.DUMMYFUNCTION("ROUND(GOOGLEFINANCE(""Currency:EURKZT"")*L347+S347)"),2390704)</f>
        <v>2390704</v>
      </c>
      <c r="U347" s="26">
        <f ca="1">IFERROR(__xludf.DUMMYFUNCTION("D347*GOOGLEFINANCE(""RUBKZT"")*1000/F347"),2655613.86040917)</f>
        <v>2655613.8604091699</v>
      </c>
      <c r="V347" s="27">
        <f t="shared" ca="1" si="267"/>
        <v>0.11080830600909604</v>
      </c>
    </row>
    <row r="348" spans="1:22" ht="12.75" customHeight="1" x14ac:dyDescent="0.2">
      <c r="A348" s="6" t="s">
        <v>36</v>
      </c>
      <c r="B348" s="6" t="s">
        <v>15</v>
      </c>
      <c r="C348" s="7" t="s">
        <v>655</v>
      </c>
      <c r="D348" s="8">
        <v>66592.800000000003</v>
      </c>
      <c r="E348" s="9" t="s">
        <v>16</v>
      </c>
      <c r="F348" s="36">
        <v>208</v>
      </c>
      <c r="G348" s="25"/>
      <c r="H348" s="14">
        <f t="shared" si="261"/>
        <v>0.55000000000000004</v>
      </c>
      <c r="I348" s="25">
        <f ca="1">IFERROR(__xludf.DUMMYFUNCTION("ROUND(D348*GOOGLEFINANCE(""RUBKZT"")*H348)"),285812)</f>
        <v>285812</v>
      </c>
      <c r="J348" s="26">
        <f ca="1">IFERROR(__xludf.DUMMYFUNCTION("ROUND(I348*GOOGLEFINANCE(""KZTEUR""))"),599)</f>
        <v>599</v>
      </c>
      <c r="K348" s="26">
        <f t="shared" ca="1" si="262"/>
        <v>2880</v>
      </c>
      <c r="L348" s="26">
        <f t="shared" ca="1" si="263"/>
        <v>547.20000000000005</v>
      </c>
      <c r="M348" s="26">
        <f t="shared" ref="M348:N348" si="355">M$3</f>
        <v>500</v>
      </c>
      <c r="N348" s="26">
        <f t="shared" si="355"/>
        <v>500</v>
      </c>
      <c r="O348" s="26">
        <f ca="1">IFERROR(__xludf.DUMMYFUNCTION("ROUND(GOOGLEFINANCE(""Currency:EURKZT"")*K348)"),1375400)</f>
        <v>1375400</v>
      </c>
      <c r="P348" s="26">
        <f ca="1">IFERROR(__xludf.DUMMYFUNCTION("ROUND(GOOGLEFINANCE(""Currency:EURKZT"")*M348)"),238785)</f>
        <v>238785</v>
      </c>
      <c r="Q348" s="26">
        <f ca="1">IFERROR(__xludf.DUMMYFUNCTION("ROUND(GOOGLEFINANCE(""Currency:EURKZT"")*N348)"),238785)</f>
        <v>238785</v>
      </c>
      <c r="R348" s="26">
        <f t="shared" ca="1" si="265"/>
        <v>165048</v>
      </c>
      <c r="S348" s="26">
        <f t="shared" ca="1" si="266"/>
        <v>2018018</v>
      </c>
      <c r="T348" s="26">
        <f ca="1">IFERROR(__xludf.DUMMYFUNCTION("ROUND(GOOGLEFINANCE(""Currency:EURKZT"")*L348+S348)"),2279344)</f>
        <v>2279344</v>
      </c>
      <c r="U348" s="26">
        <f ca="1">IFERROR(__xludf.DUMMYFUNCTION("D348*GOOGLEFINANCE(""RUBKZT"")*1000/F348"),2498357.86816666)</f>
        <v>2498357.86816666</v>
      </c>
      <c r="V348" s="27">
        <f t="shared" ca="1" si="267"/>
        <v>9.6086360008256738E-2</v>
      </c>
    </row>
    <row r="349" spans="1:22" ht="12.75" customHeight="1" x14ac:dyDescent="0.2">
      <c r="A349" s="6" t="s">
        <v>37</v>
      </c>
      <c r="B349" s="6" t="s">
        <v>15</v>
      </c>
      <c r="C349" s="7" t="s">
        <v>657</v>
      </c>
      <c r="D349" s="8">
        <v>60926.399999999994</v>
      </c>
      <c r="E349" s="9" t="s">
        <v>16</v>
      </c>
      <c r="F349" s="36">
        <v>208</v>
      </c>
      <c r="G349" s="25"/>
      <c r="H349" s="14">
        <f t="shared" si="261"/>
        <v>0.55000000000000004</v>
      </c>
      <c r="I349" s="25">
        <f ca="1">IFERROR(__xludf.DUMMYFUNCTION("ROUND(D349*GOOGLEFINANCE(""RUBKZT"")*H349)"),261492)</f>
        <v>261492</v>
      </c>
      <c r="J349" s="26">
        <f ca="1">IFERROR(__xludf.DUMMYFUNCTION("ROUND(I349*GOOGLEFINANCE(""KZTEUR""))"),548)</f>
        <v>548</v>
      </c>
      <c r="K349" s="26">
        <f t="shared" ca="1" si="262"/>
        <v>2635</v>
      </c>
      <c r="L349" s="26">
        <f t="shared" ca="1" si="263"/>
        <v>500.65000000000003</v>
      </c>
      <c r="M349" s="26">
        <f t="shared" ref="M349:N349" si="356">M$3</f>
        <v>500</v>
      </c>
      <c r="N349" s="26">
        <f t="shared" si="356"/>
        <v>500</v>
      </c>
      <c r="O349" s="26">
        <f ca="1">IFERROR(__xludf.DUMMYFUNCTION("ROUND(GOOGLEFINANCE(""Currency:EURKZT"")*K349)"),1258396)</f>
        <v>1258396</v>
      </c>
      <c r="P349" s="26">
        <f ca="1">IFERROR(__xludf.DUMMYFUNCTION("ROUND(GOOGLEFINANCE(""Currency:EURKZT"")*M349)"),238785)</f>
        <v>238785</v>
      </c>
      <c r="Q349" s="26">
        <f ca="1">IFERROR(__xludf.DUMMYFUNCTION("ROUND(GOOGLEFINANCE(""Currency:EURKZT"")*N349)"),238785)</f>
        <v>238785</v>
      </c>
      <c r="R349" s="26">
        <f t="shared" ca="1" si="265"/>
        <v>151008</v>
      </c>
      <c r="S349" s="26">
        <f t="shared" ca="1" si="266"/>
        <v>1886974</v>
      </c>
      <c r="T349" s="26">
        <f ca="1">IFERROR(__xludf.DUMMYFUNCTION("ROUND(GOOGLEFINANCE(""Currency:EURKZT"")*L349+S349)"),2126069)</f>
        <v>2126069</v>
      </c>
      <c r="U349" s="26">
        <f ca="1">IFERROR(__xludf.DUMMYFUNCTION("D349*GOOGLEFINANCE(""RUBKZT"")*1000/F349"),2285771.89754852)</f>
        <v>2285771.89754852</v>
      </c>
      <c r="V349" s="27">
        <f t="shared" ca="1" si="267"/>
        <v>7.5116516702195463E-2</v>
      </c>
    </row>
    <row r="350" spans="1:22" ht="12.75" customHeight="1" x14ac:dyDescent="0.2">
      <c r="A350" s="6" t="s">
        <v>38</v>
      </c>
      <c r="B350" s="6" t="s">
        <v>15</v>
      </c>
      <c r="C350" s="7" t="s">
        <v>659</v>
      </c>
      <c r="D350" s="8">
        <v>100598.39999999999</v>
      </c>
      <c r="E350" s="9" t="s">
        <v>16</v>
      </c>
      <c r="F350" s="36">
        <v>208</v>
      </c>
      <c r="G350" s="25"/>
      <c r="H350" s="14">
        <f t="shared" si="261"/>
        <v>0.55000000000000004</v>
      </c>
      <c r="I350" s="25">
        <f ca="1">IFERROR(__xludf.DUMMYFUNCTION("ROUND(D350*GOOGLEFINANCE(""RUBKZT"")*H350)"),431762)</f>
        <v>431762</v>
      </c>
      <c r="J350" s="26">
        <f ca="1">IFERROR(__xludf.DUMMYFUNCTION("ROUND(I350*GOOGLEFINANCE(""KZTEUR""))"),904)</f>
        <v>904</v>
      </c>
      <c r="K350" s="26">
        <f t="shared" ca="1" si="262"/>
        <v>4346</v>
      </c>
      <c r="L350" s="26">
        <f t="shared" ca="1" si="263"/>
        <v>825.74</v>
      </c>
      <c r="M350" s="26">
        <f t="shared" ref="M350:N350" si="357">M$3</f>
        <v>500</v>
      </c>
      <c r="N350" s="26">
        <f t="shared" si="357"/>
        <v>500</v>
      </c>
      <c r="O350" s="26">
        <f ca="1">IFERROR(__xludf.DUMMYFUNCTION("ROUND(GOOGLEFINANCE(""Currency:EURKZT"")*K350)"),2075518)</f>
        <v>2075518</v>
      </c>
      <c r="P350" s="26">
        <f ca="1">IFERROR(__xludf.DUMMYFUNCTION("ROUND(GOOGLEFINANCE(""Currency:EURKZT"")*M350)"),238785)</f>
        <v>238785</v>
      </c>
      <c r="Q350" s="26">
        <f ca="1">IFERROR(__xludf.DUMMYFUNCTION("ROUND(GOOGLEFINANCE(""Currency:EURKZT"")*N350)"),238785)</f>
        <v>238785</v>
      </c>
      <c r="R350" s="26">
        <f t="shared" ca="1" si="265"/>
        <v>249062</v>
      </c>
      <c r="S350" s="26">
        <f t="shared" ca="1" si="266"/>
        <v>2802150</v>
      </c>
      <c r="T350" s="26">
        <f ca="1">IFERROR(__xludf.DUMMYFUNCTION("ROUND(GOOGLEFINANCE(""Currency:EURKZT"")*L350+S350)"),3196498)</f>
        <v>3196498</v>
      </c>
      <c r="U350" s="26">
        <f ca="1">IFERROR(__xludf.DUMMYFUNCTION("D350*GOOGLEFINANCE(""RUBKZT"")*1000/F350"),3774143.81382036)</f>
        <v>3774143.8138203602</v>
      </c>
      <c r="V350" s="27">
        <f t="shared" ca="1" si="267"/>
        <v>0.18071208360535818</v>
      </c>
    </row>
    <row r="351" spans="1:22" ht="12.75" customHeight="1" x14ac:dyDescent="0.2">
      <c r="A351" s="6" t="s">
        <v>39</v>
      </c>
      <c r="B351" s="6" t="s">
        <v>15</v>
      </c>
      <c r="C351" s="7" t="s">
        <v>660</v>
      </c>
      <c r="D351" s="8">
        <v>102015.59999999999</v>
      </c>
      <c r="E351" s="9" t="s">
        <v>16</v>
      </c>
      <c r="F351" s="36">
        <v>208</v>
      </c>
      <c r="G351" s="25"/>
      <c r="H351" s="14">
        <f t="shared" si="261"/>
        <v>0.55000000000000004</v>
      </c>
      <c r="I351" s="25">
        <f ca="1">IFERROR(__xludf.DUMMYFUNCTION("ROUND(D351*GOOGLEFINANCE(""RUBKZT"")*H351)"),437845)</f>
        <v>437845</v>
      </c>
      <c r="J351" s="26">
        <f ca="1">IFERROR(__xludf.DUMMYFUNCTION("ROUND(I351*GOOGLEFINANCE(""KZTEUR""))"),917)</f>
        <v>917</v>
      </c>
      <c r="K351" s="26">
        <f t="shared" ca="1" si="262"/>
        <v>4409</v>
      </c>
      <c r="L351" s="26">
        <f t="shared" ca="1" si="263"/>
        <v>837.71</v>
      </c>
      <c r="M351" s="26">
        <f t="shared" ref="M351:N351" si="358">M$3</f>
        <v>500</v>
      </c>
      <c r="N351" s="26">
        <f t="shared" si="358"/>
        <v>500</v>
      </c>
      <c r="O351" s="26">
        <f ca="1">IFERROR(__xludf.DUMMYFUNCTION("ROUND(GOOGLEFINANCE(""Currency:EURKZT"")*K351)"),2105604)</f>
        <v>2105604</v>
      </c>
      <c r="P351" s="26">
        <f ca="1">IFERROR(__xludf.DUMMYFUNCTION("ROUND(GOOGLEFINANCE(""Currency:EURKZT"")*M351)"),238785)</f>
        <v>238785</v>
      </c>
      <c r="Q351" s="26">
        <f ca="1">IFERROR(__xludf.DUMMYFUNCTION("ROUND(GOOGLEFINANCE(""Currency:EURKZT"")*N351)"),238785)</f>
        <v>238785</v>
      </c>
      <c r="R351" s="26">
        <f t="shared" ca="1" si="265"/>
        <v>252672</v>
      </c>
      <c r="S351" s="26">
        <f t="shared" ca="1" si="266"/>
        <v>2835846</v>
      </c>
      <c r="T351" s="26">
        <f ca="1">IFERROR(__xludf.DUMMYFUNCTION("ROUND(GOOGLEFINANCE(""Currency:EURKZT"")*L351+S351)"),3235911)</f>
        <v>3235911</v>
      </c>
      <c r="U351" s="26">
        <f ca="1">IFERROR(__xludf.DUMMYFUNCTION("D351*GOOGLEFINANCE(""RUBKZT"")*1000/F351"),3827312.81663697)</f>
        <v>3827312.8166369698</v>
      </c>
      <c r="V351" s="27">
        <f t="shared" ca="1" si="267"/>
        <v>0.18276207739859651</v>
      </c>
    </row>
    <row r="352" spans="1:22" ht="12.75" customHeight="1" x14ac:dyDescent="0.2">
      <c r="A352" s="6" t="s">
        <v>40</v>
      </c>
      <c r="B352" s="6" t="s">
        <v>15</v>
      </c>
      <c r="C352" s="7" t="s">
        <v>661</v>
      </c>
      <c r="D352" s="8">
        <v>100740</v>
      </c>
      <c r="E352" s="9" t="s">
        <v>16</v>
      </c>
      <c r="F352" s="36">
        <v>208</v>
      </c>
      <c r="G352" s="25"/>
      <c r="H352" s="14">
        <f t="shared" si="261"/>
        <v>0.55000000000000004</v>
      </c>
      <c r="I352" s="25">
        <f ca="1">IFERROR(__xludf.DUMMYFUNCTION("ROUND(D352*GOOGLEFINANCE(""RUBKZT"")*H352)"),432370)</f>
        <v>432370</v>
      </c>
      <c r="J352" s="26">
        <f ca="1">IFERROR(__xludf.DUMMYFUNCTION("ROUND(I352*GOOGLEFINANCE(""KZTEUR""))"),906)</f>
        <v>906</v>
      </c>
      <c r="K352" s="26">
        <f t="shared" ca="1" si="262"/>
        <v>4356</v>
      </c>
      <c r="L352" s="26">
        <f t="shared" ca="1" si="263"/>
        <v>827.64</v>
      </c>
      <c r="M352" s="26">
        <f t="shared" ref="M352:N352" si="359">M$3</f>
        <v>500</v>
      </c>
      <c r="N352" s="26">
        <f t="shared" si="359"/>
        <v>500</v>
      </c>
      <c r="O352" s="26">
        <f ca="1">IFERROR(__xludf.DUMMYFUNCTION("ROUND(GOOGLEFINANCE(""Currency:EURKZT"")*K352)"),2080293)</f>
        <v>2080293</v>
      </c>
      <c r="P352" s="26">
        <f ca="1">IFERROR(__xludf.DUMMYFUNCTION("ROUND(GOOGLEFINANCE(""Currency:EURKZT"")*M352)"),238785)</f>
        <v>238785</v>
      </c>
      <c r="Q352" s="26">
        <f ca="1">IFERROR(__xludf.DUMMYFUNCTION("ROUND(GOOGLEFINANCE(""Currency:EURKZT"")*N352)"),238785)</f>
        <v>238785</v>
      </c>
      <c r="R352" s="26">
        <f t="shared" ca="1" si="265"/>
        <v>249635</v>
      </c>
      <c r="S352" s="26">
        <f t="shared" ca="1" si="266"/>
        <v>2807498</v>
      </c>
      <c r="T352" s="26">
        <f ca="1">IFERROR(__xludf.DUMMYFUNCTION("ROUND(GOOGLEFINANCE(""Currency:EURKZT"")*L352+S352)"),3202754)</f>
        <v>3202754</v>
      </c>
      <c r="U352" s="26">
        <f ca="1">IFERROR(__xludf.DUMMYFUNCTION("D352*GOOGLEFINANCE(""RUBKZT"")*1000/F352"),3779456.21206961)</f>
        <v>3779456.2120696101</v>
      </c>
      <c r="V352" s="27">
        <f t="shared" ca="1" si="267"/>
        <v>0.18006447328443276</v>
      </c>
    </row>
    <row r="353" spans="1:22" ht="12.75" customHeight="1" x14ac:dyDescent="0.2">
      <c r="A353" s="6" t="s">
        <v>41</v>
      </c>
      <c r="B353" s="6" t="s">
        <v>15</v>
      </c>
      <c r="C353" s="7" t="s">
        <v>663</v>
      </c>
      <c r="D353" s="8">
        <v>102015.59999999999</v>
      </c>
      <c r="E353" s="9" t="s">
        <v>16</v>
      </c>
      <c r="F353" s="36">
        <v>208</v>
      </c>
      <c r="G353" s="25"/>
      <c r="H353" s="14">
        <f t="shared" si="261"/>
        <v>0.55000000000000004</v>
      </c>
      <c r="I353" s="25">
        <f ca="1">IFERROR(__xludf.DUMMYFUNCTION("ROUND(D353*GOOGLEFINANCE(""RUBKZT"")*H353)"),437845)</f>
        <v>437845</v>
      </c>
      <c r="J353" s="26">
        <f ca="1">IFERROR(__xludf.DUMMYFUNCTION("ROUND(I353*GOOGLEFINANCE(""KZTEUR""))"),917)</f>
        <v>917</v>
      </c>
      <c r="K353" s="26">
        <f t="shared" ca="1" si="262"/>
        <v>4409</v>
      </c>
      <c r="L353" s="26">
        <f t="shared" ca="1" si="263"/>
        <v>837.71</v>
      </c>
      <c r="M353" s="26">
        <f t="shared" ref="M353:N353" si="360">M$3</f>
        <v>500</v>
      </c>
      <c r="N353" s="26">
        <f t="shared" si="360"/>
        <v>500</v>
      </c>
      <c r="O353" s="26">
        <f ca="1">IFERROR(__xludf.DUMMYFUNCTION("ROUND(GOOGLEFINANCE(""Currency:EURKZT"")*K353)"),2105604)</f>
        <v>2105604</v>
      </c>
      <c r="P353" s="26">
        <f ca="1">IFERROR(__xludf.DUMMYFUNCTION("ROUND(GOOGLEFINANCE(""Currency:EURKZT"")*M353)"),238785)</f>
        <v>238785</v>
      </c>
      <c r="Q353" s="26">
        <f ca="1">IFERROR(__xludf.DUMMYFUNCTION("ROUND(GOOGLEFINANCE(""Currency:EURKZT"")*N353)"),238785)</f>
        <v>238785</v>
      </c>
      <c r="R353" s="26">
        <f t="shared" ca="1" si="265"/>
        <v>252672</v>
      </c>
      <c r="S353" s="26">
        <f t="shared" ca="1" si="266"/>
        <v>2835846</v>
      </c>
      <c r="T353" s="26">
        <f ca="1">IFERROR(__xludf.DUMMYFUNCTION("ROUND(GOOGLEFINANCE(""Currency:EURKZT"")*L353+S353)"),3235911)</f>
        <v>3235911</v>
      </c>
      <c r="U353" s="26">
        <f ca="1">IFERROR(__xludf.DUMMYFUNCTION("D353*GOOGLEFINANCE(""RUBKZT"")*1000/F353"),3827312.81663697)</f>
        <v>3827312.8166369698</v>
      </c>
      <c r="V353" s="27">
        <f t="shared" ca="1" si="267"/>
        <v>0.18276207739859651</v>
      </c>
    </row>
    <row r="354" spans="1:22" ht="12.75" customHeight="1" x14ac:dyDescent="0.2">
      <c r="A354" s="6" t="s">
        <v>646</v>
      </c>
      <c r="B354" s="6" t="s">
        <v>15</v>
      </c>
      <c r="C354" s="7" t="s">
        <v>665</v>
      </c>
      <c r="D354" s="8">
        <v>79345.2</v>
      </c>
      <c r="E354" s="9" t="s">
        <v>16</v>
      </c>
      <c r="F354" s="36">
        <v>208</v>
      </c>
      <c r="G354" s="25"/>
      <c r="H354" s="14">
        <f t="shared" si="261"/>
        <v>0.55000000000000004</v>
      </c>
      <c r="I354" s="25">
        <f ca="1">IFERROR(__xludf.DUMMYFUNCTION("ROUND(D354*GOOGLEFINANCE(""RUBKZT"")*H354)"),340545)</f>
        <v>340545</v>
      </c>
      <c r="J354" s="26">
        <f ca="1">IFERROR(__xludf.DUMMYFUNCTION("ROUND(I354*GOOGLEFINANCE(""KZTEUR""))"),713)</f>
        <v>713</v>
      </c>
      <c r="K354" s="26">
        <f t="shared" ca="1" si="262"/>
        <v>3428</v>
      </c>
      <c r="L354" s="26">
        <f t="shared" ca="1" si="263"/>
        <v>651.32000000000005</v>
      </c>
      <c r="M354" s="26">
        <f t="shared" ref="M354:N354" si="361">M$3</f>
        <v>500</v>
      </c>
      <c r="N354" s="26">
        <f t="shared" si="361"/>
        <v>500</v>
      </c>
      <c r="O354" s="26">
        <f ca="1">IFERROR(__xludf.DUMMYFUNCTION("ROUND(GOOGLEFINANCE(""Currency:EURKZT"")*K354)"),1637109)</f>
        <v>1637109</v>
      </c>
      <c r="P354" s="26">
        <f ca="1">IFERROR(__xludf.DUMMYFUNCTION("ROUND(GOOGLEFINANCE(""Currency:EURKZT"")*M354)"),238785)</f>
        <v>238785</v>
      </c>
      <c r="Q354" s="26">
        <f ca="1">IFERROR(__xludf.DUMMYFUNCTION("ROUND(GOOGLEFINANCE(""Currency:EURKZT"")*N354)"),238785)</f>
        <v>238785</v>
      </c>
      <c r="R354" s="26">
        <f t="shared" ca="1" si="265"/>
        <v>196453</v>
      </c>
      <c r="S354" s="26">
        <f t="shared" ca="1" si="266"/>
        <v>2311132</v>
      </c>
      <c r="T354" s="26">
        <f ca="1">IFERROR(__xludf.DUMMYFUNCTION("ROUND(GOOGLEFINANCE(""Currency:EURKZT"")*L354+S354)"),2622183)</f>
        <v>2622183</v>
      </c>
      <c r="U354" s="26">
        <f ca="1">IFERROR(__xludf.DUMMYFUNCTION("D354*GOOGLEFINANCE(""RUBKZT"")*1000/F354"),2976788.85286783)</f>
        <v>2976788.8528678301</v>
      </c>
      <c r="V354" s="27">
        <f t="shared" ca="1" si="267"/>
        <v>0.13523306835099994</v>
      </c>
    </row>
    <row r="355" spans="1:22" ht="12.75" customHeight="1" x14ac:dyDescent="0.2">
      <c r="A355" s="6" t="s">
        <v>643</v>
      </c>
      <c r="B355" s="6" t="s">
        <v>15</v>
      </c>
      <c r="C355" s="7" t="s">
        <v>666</v>
      </c>
      <c r="D355" s="8">
        <v>75094.8</v>
      </c>
      <c r="E355" s="9" t="s">
        <v>16</v>
      </c>
      <c r="F355" s="36">
        <v>208</v>
      </c>
      <c r="G355" s="25"/>
      <c r="H355" s="14">
        <f t="shared" si="261"/>
        <v>0.55000000000000004</v>
      </c>
      <c r="I355" s="25">
        <f ca="1">IFERROR(__xludf.DUMMYFUNCTION("ROUND(D355*GOOGLEFINANCE(""RUBKZT"")*H355)"),322302)</f>
        <v>322302</v>
      </c>
      <c r="J355" s="26">
        <f ca="1">IFERROR(__xludf.DUMMYFUNCTION("ROUND(I355*GOOGLEFINANCE(""KZTEUR""))"),675)</f>
        <v>675</v>
      </c>
      <c r="K355" s="26">
        <f t="shared" ca="1" si="262"/>
        <v>3245</v>
      </c>
      <c r="L355" s="26">
        <f t="shared" ca="1" si="263"/>
        <v>616.54999999999995</v>
      </c>
      <c r="M355" s="26">
        <f t="shared" ref="M355:N355" si="362">M$3</f>
        <v>500</v>
      </c>
      <c r="N355" s="26">
        <f t="shared" si="362"/>
        <v>500</v>
      </c>
      <c r="O355" s="26">
        <f ca="1">IFERROR(__xludf.DUMMYFUNCTION("ROUND(GOOGLEFINANCE(""Currency:EURKZT"")*K355)"),1549713)</f>
        <v>1549713</v>
      </c>
      <c r="P355" s="26">
        <f ca="1">IFERROR(__xludf.DUMMYFUNCTION("ROUND(GOOGLEFINANCE(""Currency:EURKZT"")*M355)"),238785)</f>
        <v>238785</v>
      </c>
      <c r="Q355" s="26">
        <f ca="1">IFERROR(__xludf.DUMMYFUNCTION("ROUND(GOOGLEFINANCE(""Currency:EURKZT"")*N355)"),238785)</f>
        <v>238785</v>
      </c>
      <c r="R355" s="26">
        <f t="shared" ca="1" si="265"/>
        <v>185966</v>
      </c>
      <c r="S355" s="26">
        <f t="shared" ca="1" si="266"/>
        <v>2213249</v>
      </c>
      <c r="T355" s="26">
        <f ca="1">IFERROR(__xludf.DUMMYFUNCTION("ROUND(GOOGLEFINANCE(""Currency:EURKZT"")*L355+S355)"),2507695)</f>
        <v>2507695</v>
      </c>
      <c r="U355" s="26">
        <f ca="1">IFERROR(__xludf.DUMMYFUNCTION("D355*GOOGLEFINANCE(""RUBKZT"")*1000/F355"),2817326.86474216)</f>
        <v>2817326.8647421598</v>
      </c>
      <c r="V355" s="27">
        <f t="shared" ca="1" si="267"/>
        <v>0.12347269693569586</v>
      </c>
    </row>
    <row r="356" spans="1:22" ht="12.75" customHeight="1" x14ac:dyDescent="0.2">
      <c r="A356" s="6" t="s">
        <v>667</v>
      </c>
      <c r="B356" s="6" t="s">
        <v>15</v>
      </c>
      <c r="C356" s="7" t="s">
        <v>668</v>
      </c>
      <c r="D356" s="8">
        <v>95214</v>
      </c>
      <c r="E356" s="9" t="s">
        <v>16</v>
      </c>
      <c r="F356" s="36">
        <v>208</v>
      </c>
      <c r="G356" s="25"/>
      <c r="H356" s="14">
        <f t="shared" si="261"/>
        <v>0.55000000000000004</v>
      </c>
      <c r="I356" s="25">
        <f ca="1">IFERROR(__xludf.DUMMYFUNCTION("ROUND(D356*GOOGLEFINANCE(""RUBKZT"")*H356)"),408653)</f>
        <v>408653</v>
      </c>
      <c r="J356" s="26">
        <f ca="1">IFERROR(__xludf.DUMMYFUNCTION("ROUND(I356*GOOGLEFINANCE(""KZTEUR""))"),856)</f>
        <v>856</v>
      </c>
      <c r="K356" s="26">
        <f t="shared" ca="1" si="262"/>
        <v>4115</v>
      </c>
      <c r="L356" s="26">
        <f t="shared" ca="1" si="263"/>
        <v>781.85</v>
      </c>
      <c r="M356" s="26">
        <f t="shared" ref="M356:N356" si="363">M$3</f>
        <v>500</v>
      </c>
      <c r="N356" s="26">
        <f t="shared" si="363"/>
        <v>500</v>
      </c>
      <c r="O356" s="26">
        <f ca="1">IFERROR(__xludf.DUMMYFUNCTION("ROUND(GOOGLEFINANCE(""Currency:EURKZT"")*K356)"),1965199)</f>
        <v>1965199</v>
      </c>
      <c r="P356" s="26">
        <f ca="1">IFERROR(__xludf.DUMMYFUNCTION("ROUND(GOOGLEFINANCE(""Currency:EURKZT"")*M356)"),238785)</f>
        <v>238785</v>
      </c>
      <c r="Q356" s="26">
        <f ca="1">IFERROR(__xludf.DUMMYFUNCTION("ROUND(GOOGLEFINANCE(""Currency:EURKZT"")*N356)"),238785)</f>
        <v>238785</v>
      </c>
      <c r="R356" s="26">
        <f t="shared" ca="1" si="265"/>
        <v>235824</v>
      </c>
      <c r="S356" s="26">
        <f t="shared" ca="1" si="266"/>
        <v>2678593</v>
      </c>
      <c r="T356" s="26">
        <f ca="1">IFERROR(__xludf.DUMMYFUNCTION("ROUND(GOOGLEFINANCE(""Currency:EURKZT"")*L356+S356)"),3051981)</f>
        <v>3051981</v>
      </c>
      <c r="U356" s="26">
        <f ca="1">IFERROR(__xludf.DUMMYFUNCTION("D356*GOOGLEFINANCE(""RUBKZT"")*1000/F356"),3572137.61937657)</f>
        <v>3572137.61937657</v>
      </c>
      <c r="V356" s="27">
        <f t="shared" ca="1" si="267"/>
        <v>0.17043245661639767</v>
      </c>
    </row>
    <row r="357" spans="1:22" ht="12.75" customHeight="1" x14ac:dyDescent="0.2">
      <c r="A357" s="6" t="s">
        <v>210</v>
      </c>
      <c r="B357" s="6" t="s">
        <v>15</v>
      </c>
      <c r="C357" s="7" t="s">
        <v>669</v>
      </c>
      <c r="D357" s="8">
        <v>111579.59999999999</v>
      </c>
      <c r="E357" s="9" t="s">
        <v>16</v>
      </c>
      <c r="F357" s="36">
        <v>208</v>
      </c>
      <c r="G357" s="25"/>
      <c r="H357" s="14">
        <f t="shared" si="261"/>
        <v>0.55000000000000004</v>
      </c>
      <c r="I357" s="25">
        <f ca="1">IFERROR(__xludf.DUMMYFUNCTION("ROUND(D357*GOOGLEFINANCE(""RUBKZT"")*H357)"),478893)</f>
        <v>478893</v>
      </c>
      <c r="J357" s="26">
        <f ca="1">IFERROR(__xludf.DUMMYFUNCTION("ROUND(I357*GOOGLEFINANCE(""KZTEUR""))"),1003)</f>
        <v>1003</v>
      </c>
      <c r="K357" s="26">
        <f t="shared" ca="1" si="262"/>
        <v>4822</v>
      </c>
      <c r="L357" s="26">
        <f t="shared" ca="1" si="263"/>
        <v>916.18000000000006</v>
      </c>
      <c r="M357" s="26">
        <f t="shared" ref="M357:N357" si="364">M$3</f>
        <v>500</v>
      </c>
      <c r="N357" s="26">
        <f t="shared" si="364"/>
        <v>500</v>
      </c>
      <c r="O357" s="26">
        <f ca="1">IFERROR(__xludf.DUMMYFUNCTION("ROUND(GOOGLEFINANCE(""Currency:EURKZT"")*K357)"),2302841)</f>
        <v>2302841</v>
      </c>
      <c r="P357" s="26">
        <f ca="1">IFERROR(__xludf.DUMMYFUNCTION("ROUND(GOOGLEFINANCE(""Currency:EURKZT"")*M357)"),238785)</f>
        <v>238785</v>
      </c>
      <c r="Q357" s="26">
        <f ca="1">IFERROR(__xludf.DUMMYFUNCTION("ROUND(GOOGLEFINANCE(""Currency:EURKZT"")*N357)"),238785)</f>
        <v>238785</v>
      </c>
      <c r="R357" s="26">
        <f t="shared" ca="1" si="265"/>
        <v>276341</v>
      </c>
      <c r="S357" s="26">
        <f t="shared" ca="1" si="266"/>
        <v>3056752</v>
      </c>
      <c r="T357" s="26">
        <f ca="1">IFERROR(__xludf.DUMMYFUNCTION("ROUND(GOOGLEFINANCE(""Currency:EURKZT"")*L357+S357)"),3494292)</f>
        <v>3494292</v>
      </c>
      <c r="U357" s="26">
        <f ca="1">IFERROR(__xludf.DUMMYFUNCTION("D357*GOOGLEFINANCE(""RUBKZT"")*1000/F357"),4186124.80008182)</f>
        <v>4186124.8000818202</v>
      </c>
      <c r="V357" s="27">
        <f t="shared" ca="1" si="267"/>
        <v>0.19798940674729537</v>
      </c>
    </row>
    <row r="358" spans="1:22" ht="12.75" customHeight="1" x14ac:dyDescent="0.2">
      <c r="A358" s="6" t="s">
        <v>670</v>
      </c>
      <c r="B358" s="6" t="s">
        <v>15</v>
      </c>
      <c r="C358" s="7" t="s">
        <v>671</v>
      </c>
      <c r="D358" s="8">
        <v>51007.199999999997</v>
      </c>
      <c r="E358" s="9" t="s">
        <v>16</v>
      </c>
      <c r="F358" s="36">
        <v>208</v>
      </c>
      <c r="G358" s="25"/>
      <c r="H358" s="14">
        <f t="shared" si="261"/>
        <v>0.55000000000000004</v>
      </c>
      <c r="I358" s="25">
        <f ca="1">IFERROR(__xludf.DUMMYFUNCTION("ROUND(D358*GOOGLEFINANCE(""RUBKZT"")*H358)"),218920)</f>
        <v>218920</v>
      </c>
      <c r="J358" s="26">
        <f ca="1">IFERROR(__xludf.DUMMYFUNCTION("ROUND(I358*GOOGLEFINANCE(""KZTEUR""))"),458)</f>
        <v>458</v>
      </c>
      <c r="K358" s="26">
        <f t="shared" ca="1" si="262"/>
        <v>2202</v>
      </c>
      <c r="L358" s="26">
        <f t="shared" ca="1" si="263"/>
        <v>418.38</v>
      </c>
      <c r="M358" s="26">
        <f t="shared" ref="M358:N358" si="365">M$3</f>
        <v>500</v>
      </c>
      <c r="N358" s="26">
        <f t="shared" si="365"/>
        <v>500</v>
      </c>
      <c r="O358" s="26">
        <f ca="1">IFERROR(__xludf.DUMMYFUNCTION("ROUND(GOOGLEFINANCE(""Currency:EURKZT"")*K358)"),1051608)</f>
        <v>1051608</v>
      </c>
      <c r="P358" s="26">
        <f ca="1">IFERROR(__xludf.DUMMYFUNCTION("ROUND(GOOGLEFINANCE(""Currency:EURKZT"")*M358)"),238785)</f>
        <v>238785</v>
      </c>
      <c r="Q358" s="26">
        <f ca="1">IFERROR(__xludf.DUMMYFUNCTION("ROUND(GOOGLEFINANCE(""Currency:EURKZT"")*N358)"),238785)</f>
        <v>238785</v>
      </c>
      <c r="R358" s="26">
        <f t="shared" ca="1" si="265"/>
        <v>126193</v>
      </c>
      <c r="S358" s="26">
        <f t="shared" ca="1" si="266"/>
        <v>1655371</v>
      </c>
      <c r="T358" s="26">
        <f ca="1">IFERROR(__xludf.DUMMYFUNCTION("ROUND(GOOGLEFINANCE(""Currency:EURKZT"")*L358+S358)"),1855177)</f>
        <v>1855177</v>
      </c>
      <c r="U358" s="26">
        <f ca="1">IFERROR(__xludf.DUMMYFUNCTION("D358*GOOGLEFINANCE(""RUBKZT"")*1000/F358"),1913633.89815641)</f>
        <v>1913633.8981564101</v>
      </c>
      <c r="V358" s="27">
        <f t="shared" ca="1" si="267"/>
        <v>3.1510146016477177E-2</v>
      </c>
    </row>
    <row r="359" spans="1:22" ht="12.75" customHeight="1" x14ac:dyDescent="0.2">
      <c r="A359" s="6" t="s">
        <v>237</v>
      </c>
      <c r="B359" s="6" t="s">
        <v>15</v>
      </c>
      <c r="C359" s="7" t="s">
        <v>672</v>
      </c>
      <c r="D359" s="8">
        <v>104140.8</v>
      </c>
      <c r="E359" s="9" t="s">
        <v>16</v>
      </c>
      <c r="F359" s="36">
        <v>208</v>
      </c>
      <c r="G359" s="25"/>
      <c r="H359" s="14">
        <f t="shared" si="261"/>
        <v>0.55000000000000004</v>
      </c>
      <c r="I359" s="25">
        <f ca="1">IFERROR(__xludf.DUMMYFUNCTION("ROUND(D359*GOOGLEFINANCE(""RUBKZT"")*H359)"),446966)</f>
        <v>446966</v>
      </c>
      <c r="J359" s="26">
        <f ca="1">IFERROR(__xludf.DUMMYFUNCTION("ROUND(I359*GOOGLEFINANCE(""KZTEUR""))"),936)</f>
        <v>936</v>
      </c>
      <c r="K359" s="26">
        <f t="shared" ca="1" si="262"/>
        <v>4500</v>
      </c>
      <c r="L359" s="26">
        <f t="shared" ca="1" si="263"/>
        <v>855</v>
      </c>
      <c r="M359" s="26">
        <f t="shared" ref="M359:N359" si="366">M$3</f>
        <v>500</v>
      </c>
      <c r="N359" s="26">
        <f t="shared" si="366"/>
        <v>500</v>
      </c>
      <c r="O359" s="26">
        <f ca="1">IFERROR(__xludf.DUMMYFUNCTION("ROUND(GOOGLEFINANCE(""Currency:EURKZT"")*K359)"),2149063)</f>
        <v>2149063</v>
      </c>
      <c r="P359" s="26">
        <f ca="1">IFERROR(__xludf.DUMMYFUNCTION("ROUND(GOOGLEFINANCE(""Currency:EURKZT"")*M359)"),238785)</f>
        <v>238785</v>
      </c>
      <c r="Q359" s="26">
        <f ca="1">IFERROR(__xludf.DUMMYFUNCTION("ROUND(GOOGLEFINANCE(""Currency:EURKZT"")*N359)"),238785)</f>
        <v>238785</v>
      </c>
      <c r="R359" s="26">
        <f t="shared" ca="1" si="265"/>
        <v>257888</v>
      </c>
      <c r="S359" s="26">
        <f t="shared" ca="1" si="266"/>
        <v>2884521</v>
      </c>
      <c r="T359" s="26">
        <f ca="1">IFERROR(__xludf.DUMMYFUNCTION("ROUND(GOOGLEFINANCE(""Currency:EURKZT"")*L359+S359)"),3292843)</f>
        <v>3292843</v>
      </c>
      <c r="U359" s="26">
        <f ca="1">IFERROR(__xludf.DUMMYFUNCTION("D359*GOOGLEFINANCE(""RUBKZT"")*1000/F359"),3907043.81069981)</f>
        <v>3907043.8106998098</v>
      </c>
      <c r="V359" s="27">
        <f t="shared" ca="1" si="267"/>
        <v>0.18652599310073689</v>
      </c>
    </row>
    <row r="360" spans="1:22" ht="12.75" customHeight="1" x14ac:dyDescent="0.2">
      <c r="A360" s="6" t="s">
        <v>244</v>
      </c>
      <c r="B360" s="6" t="s">
        <v>15</v>
      </c>
      <c r="C360" s="7" t="s">
        <v>673</v>
      </c>
      <c r="D360" s="8">
        <v>70844.399999999994</v>
      </c>
      <c r="E360" s="9" t="s">
        <v>16</v>
      </c>
      <c r="F360" s="36">
        <v>208</v>
      </c>
      <c r="G360" s="25"/>
      <c r="H360" s="14">
        <f t="shared" si="261"/>
        <v>0.55000000000000004</v>
      </c>
      <c r="I360" s="25">
        <f ca="1">IFERROR(__xludf.DUMMYFUNCTION("ROUND(D360*GOOGLEFINANCE(""RUBKZT"")*H360)"),304060)</f>
        <v>304060</v>
      </c>
      <c r="J360" s="26">
        <f ca="1">IFERROR(__xludf.DUMMYFUNCTION("ROUND(I360*GOOGLEFINANCE(""KZTEUR""))"),637)</f>
        <v>637</v>
      </c>
      <c r="K360" s="26">
        <f t="shared" ca="1" si="262"/>
        <v>3063</v>
      </c>
      <c r="L360" s="26">
        <f t="shared" ca="1" si="263"/>
        <v>581.97</v>
      </c>
      <c r="M360" s="26">
        <f t="shared" ref="M360:N360" si="367">M$3</f>
        <v>500</v>
      </c>
      <c r="N360" s="26">
        <f t="shared" si="367"/>
        <v>500</v>
      </c>
      <c r="O360" s="26">
        <f ca="1">IFERROR(__xludf.DUMMYFUNCTION("ROUND(GOOGLEFINANCE(""Currency:EURKZT"")*K360)"),1462796)</f>
        <v>1462796</v>
      </c>
      <c r="P360" s="26">
        <f ca="1">IFERROR(__xludf.DUMMYFUNCTION("ROUND(GOOGLEFINANCE(""Currency:EURKZT"")*M360)"),238785)</f>
        <v>238785</v>
      </c>
      <c r="Q360" s="26">
        <f ca="1">IFERROR(__xludf.DUMMYFUNCTION("ROUND(GOOGLEFINANCE(""Currency:EURKZT"")*N360)"),238785)</f>
        <v>238785</v>
      </c>
      <c r="R360" s="26">
        <f t="shared" ca="1" si="265"/>
        <v>175536</v>
      </c>
      <c r="S360" s="26">
        <f t="shared" ca="1" si="266"/>
        <v>2115902</v>
      </c>
      <c r="T360" s="26">
        <f ca="1">IFERROR(__xludf.DUMMYFUNCTION("ROUND(GOOGLEFINANCE(""Currency:EURKZT"")*L360+S360)"),2393833)</f>
        <v>2393833</v>
      </c>
      <c r="U360" s="26">
        <f ca="1">IFERROR(__xludf.DUMMYFUNCTION("D360*GOOGLEFINANCE(""RUBKZT"")*1000/F360"),2657864.87661648)</f>
        <v>2657864.8766164798</v>
      </c>
      <c r="V360" s="27">
        <f t="shared" ca="1" si="267"/>
        <v>0.11029669848167346</v>
      </c>
    </row>
    <row r="361" spans="1:22" ht="12.75" customHeight="1" x14ac:dyDescent="0.2">
      <c r="A361" s="6" t="s">
        <v>676</v>
      </c>
      <c r="B361" s="6" t="s">
        <v>15</v>
      </c>
      <c r="C361" s="7" t="s">
        <v>677</v>
      </c>
      <c r="D361" s="8">
        <v>104848.8</v>
      </c>
      <c r="E361" s="9" t="s">
        <v>16</v>
      </c>
      <c r="F361" s="36">
        <v>208</v>
      </c>
      <c r="G361" s="25"/>
      <c r="H361" s="14">
        <f t="shared" si="261"/>
        <v>0.55000000000000004</v>
      </c>
      <c r="I361" s="25">
        <f ca="1">IFERROR(__xludf.DUMMYFUNCTION("ROUND(D361*GOOGLEFINANCE(""RUBKZT"")*H361)"),450005)</f>
        <v>450005</v>
      </c>
      <c r="J361" s="26">
        <f ca="1">IFERROR(__xludf.DUMMYFUNCTION("ROUND(I361*GOOGLEFINANCE(""KZTEUR""))"),942)</f>
        <v>942</v>
      </c>
      <c r="K361" s="26">
        <f t="shared" ca="1" si="262"/>
        <v>4529</v>
      </c>
      <c r="L361" s="26">
        <f t="shared" ca="1" si="263"/>
        <v>860.51</v>
      </c>
      <c r="M361" s="26">
        <f t="shared" ref="M361:N361" si="368">M$3</f>
        <v>500</v>
      </c>
      <c r="N361" s="26">
        <f t="shared" si="368"/>
        <v>500</v>
      </c>
      <c r="O361" s="26">
        <f ca="1">IFERROR(__xludf.DUMMYFUNCTION("ROUND(GOOGLEFINANCE(""Currency:EURKZT"")*K361)"),2162913)</f>
        <v>2162913</v>
      </c>
      <c r="P361" s="26">
        <f ca="1">IFERROR(__xludf.DUMMYFUNCTION("ROUND(GOOGLEFINANCE(""Currency:EURKZT"")*M361)"),238785)</f>
        <v>238785</v>
      </c>
      <c r="Q361" s="26">
        <f ca="1">IFERROR(__xludf.DUMMYFUNCTION("ROUND(GOOGLEFINANCE(""Currency:EURKZT"")*N361)"),238785)</f>
        <v>238785</v>
      </c>
      <c r="R361" s="26">
        <f t="shared" ca="1" si="265"/>
        <v>259550</v>
      </c>
      <c r="S361" s="26">
        <f t="shared" ca="1" si="266"/>
        <v>2900033</v>
      </c>
      <c r="T361" s="26">
        <f ca="1">IFERROR(__xludf.DUMMYFUNCTION("ROUND(GOOGLEFINANCE(""Currency:EURKZT"")*L361+S361)"),3310986)</f>
        <v>3310986</v>
      </c>
      <c r="U361" s="26">
        <f ca="1">IFERROR(__xludf.DUMMYFUNCTION("D361*GOOGLEFINANCE(""RUBKZT"")*1000/F361"),3933605.80194604)</f>
        <v>3933605.8019460398</v>
      </c>
      <c r="V361" s="27">
        <f t="shared" ca="1" si="267"/>
        <v>0.18804664288705533</v>
      </c>
    </row>
    <row r="362" spans="1:22" ht="12.75" customHeight="1" x14ac:dyDescent="0.2">
      <c r="A362" s="6" t="s">
        <v>679</v>
      </c>
      <c r="B362" s="6" t="s">
        <v>15</v>
      </c>
      <c r="C362" s="7" t="s">
        <v>680</v>
      </c>
      <c r="D362" s="8">
        <v>148772.4</v>
      </c>
      <c r="E362" s="9" t="s">
        <v>16</v>
      </c>
      <c r="F362" s="36">
        <v>208</v>
      </c>
      <c r="G362" s="25"/>
      <c r="H362" s="14">
        <f t="shared" si="261"/>
        <v>0.55000000000000004</v>
      </c>
      <c r="I362" s="25">
        <f ca="1">IFERROR(__xludf.DUMMYFUNCTION("ROUND(D362*GOOGLEFINANCE(""RUBKZT"")*H362)"),638522)</f>
        <v>638522</v>
      </c>
      <c r="J362" s="26">
        <f ca="1">IFERROR(__xludf.DUMMYFUNCTION("ROUND(I362*GOOGLEFINANCE(""KZTEUR""))"),1337)</f>
        <v>1337</v>
      </c>
      <c r="K362" s="26">
        <f t="shared" ca="1" si="262"/>
        <v>6428</v>
      </c>
      <c r="L362" s="26">
        <f t="shared" ca="1" si="263"/>
        <v>1221.32</v>
      </c>
      <c r="M362" s="26">
        <f t="shared" ref="M362:N362" si="369">M$3</f>
        <v>500</v>
      </c>
      <c r="N362" s="26">
        <f t="shared" si="369"/>
        <v>500</v>
      </c>
      <c r="O362" s="26">
        <f ca="1">IFERROR(__xludf.DUMMYFUNCTION("ROUND(GOOGLEFINANCE(""Currency:EURKZT"")*K362)"),3069817)</f>
        <v>3069817</v>
      </c>
      <c r="P362" s="26">
        <f ca="1">IFERROR(__xludf.DUMMYFUNCTION("ROUND(GOOGLEFINANCE(""Currency:EURKZT"")*M362)"),238785)</f>
        <v>238785</v>
      </c>
      <c r="Q362" s="26">
        <f ca="1">IFERROR(__xludf.DUMMYFUNCTION("ROUND(GOOGLEFINANCE(""Currency:EURKZT"")*N362)"),238785)</f>
        <v>238785</v>
      </c>
      <c r="R362" s="26">
        <f t="shared" ca="1" si="265"/>
        <v>368378</v>
      </c>
      <c r="S362" s="26">
        <f t="shared" ca="1" si="266"/>
        <v>3915765</v>
      </c>
      <c r="T362" s="26">
        <f ca="1">IFERROR(__xludf.DUMMYFUNCTION("ROUND(GOOGLEFINANCE(""Currency:EURKZT"")*L362+S362)"),4499030)</f>
        <v>4499030</v>
      </c>
      <c r="U362" s="26">
        <f ca="1">IFERROR(__xludf.DUMMYFUNCTION("D362*GOOGLEFINANCE(""RUBKZT"")*1000/F362"),5581484.72666771)</f>
        <v>5581484.7266677096</v>
      </c>
      <c r="V362" s="27">
        <f t="shared" ca="1" si="267"/>
        <v>0.24059735691198095</v>
      </c>
    </row>
    <row r="363" spans="1:22" ht="12.75" customHeight="1" x14ac:dyDescent="0.2">
      <c r="A363" s="6" t="s">
        <v>681</v>
      </c>
      <c r="B363" s="6" t="s">
        <v>15</v>
      </c>
      <c r="C363" s="7" t="s">
        <v>682</v>
      </c>
      <c r="D363" s="8">
        <v>86288.4</v>
      </c>
      <c r="E363" s="9" t="s">
        <v>16</v>
      </c>
      <c r="F363" s="36">
        <v>208</v>
      </c>
      <c r="G363" s="25"/>
      <c r="H363" s="14">
        <f t="shared" si="261"/>
        <v>0.55000000000000004</v>
      </c>
      <c r="I363" s="25">
        <f ca="1">IFERROR(__xludf.DUMMYFUNCTION("ROUND(D363*GOOGLEFINANCE(""RUBKZT"")*H363)"),370344)</f>
        <v>370344</v>
      </c>
      <c r="J363" s="26">
        <f ca="1">IFERROR(__xludf.DUMMYFUNCTION("ROUND(I363*GOOGLEFINANCE(""KZTEUR""))"),776)</f>
        <v>776</v>
      </c>
      <c r="K363" s="26">
        <f t="shared" ca="1" si="262"/>
        <v>3731</v>
      </c>
      <c r="L363" s="26">
        <f t="shared" ca="1" si="263"/>
        <v>708.89</v>
      </c>
      <c r="M363" s="26">
        <f t="shared" ref="M363:N363" si="370">M$3</f>
        <v>500</v>
      </c>
      <c r="N363" s="26">
        <f t="shared" si="370"/>
        <v>500</v>
      </c>
      <c r="O363" s="26">
        <f ca="1">IFERROR(__xludf.DUMMYFUNCTION("ROUND(GOOGLEFINANCE(""Currency:EURKZT"")*K363)"),1781812)</f>
        <v>1781812</v>
      </c>
      <c r="P363" s="26">
        <f ca="1">IFERROR(__xludf.DUMMYFUNCTION("ROUND(GOOGLEFINANCE(""Currency:EURKZT"")*M363)"),238785)</f>
        <v>238785</v>
      </c>
      <c r="Q363" s="26">
        <f ca="1">IFERROR(__xludf.DUMMYFUNCTION("ROUND(GOOGLEFINANCE(""Currency:EURKZT"")*N363)"),238785)</f>
        <v>238785</v>
      </c>
      <c r="R363" s="26">
        <f t="shared" ca="1" si="265"/>
        <v>213817</v>
      </c>
      <c r="S363" s="26">
        <f t="shared" ca="1" si="266"/>
        <v>2473199</v>
      </c>
      <c r="T363" s="26">
        <f ca="1">IFERROR(__xludf.DUMMYFUNCTION("ROUND(GOOGLEFINANCE(""Currency:EURKZT"")*L363+S363)"),2811743)</f>
        <v>2811743</v>
      </c>
      <c r="U363" s="26">
        <f ca="1">IFERROR(__xludf.DUMMYFUNCTION("D363*GOOGLEFINANCE(""RUBKZT"")*1000/F363"),3237276.44837748)</f>
        <v>3237276.4483774798</v>
      </c>
      <c r="V363" s="27">
        <f t="shared" ca="1" si="267"/>
        <v>0.15134151605515861</v>
      </c>
    </row>
    <row r="364" spans="1:22" ht="12.75" customHeight="1" x14ac:dyDescent="0.2">
      <c r="A364" s="6" t="s">
        <v>35</v>
      </c>
      <c r="B364" s="6" t="s">
        <v>15</v>
      </c>
      <c r="C364" s="7">
        <v>166506</v>
      </c>
      <c r="D364" s="8">
        <v>87324</v>
      </c>
      <c r="E364" s="9" t="s">
        <v>16</v>
      </c>
      <c r="F364" s="36">
        <v>208</v>
      </c>
      <c r="G364" s="25"/>
      <c r="H364" s="14">
        <f t="shared" si="261"/>
        <v>0.55000000000000004</v>
      </c>
      <c r="I364" s="25">
        <f ca="1">IFERROR(__xludf.DUMMYFUNCTION("ROUND(D364*GOOGLEFINANCE(""RUBKZT"")*H364)"),374789)</f>
        <v>374789</v>
      </c>
      <c r="J364" s="26">
        <f ca="1">IFERROR(__xludf.DUMMYFUNCTION("ROUND(I364*GOOGLEFINANCE(""KZTEUR""))"),785)</f>
        <v>785</v>
      </c>
      <c r="K364" s="26">
        <f t="shared" ca="1" si="262"/>
        <v>3774</v>
      </c>
      <c r="L364" s="26">
        <f t="shared" ca="1" si="263"/>
        <v>717.06000000000006</v>
      </c>
      <c r="M364" s="26">
        <f t="shared" ref="M364:N364" si="371">M$3</f>
        <v>500</v>
      </c>
      <c r="N364" s="26">
        <f t="shared" si="371"/>
        <v>500</v>
      </c>
      <c r="O364" s="26">
        <f ca="1">IFERROR(__xludf.DUMMYFUNCTION("ROUND(GOOGLEFINANCE(""Currency:EURKZT"")*K364)"),1802348)</f>
        <v>1802348</v>
      </c>
      <c r="P364" s="26">
        <f ca="1">IFERROR(__xludf.DUMMYFUNCTION("ROUND(GOOGLEFINANCE(""Currency:EURKZT"")*M364)"),238785)</f>
        <v>238785</v>
      </c>
      <c r="Q364" s="26">
        <f ca="1">IFERROR(__xludf.DUMMYFUNCTION("ROUND(GOOGLEFINANCE(""Currency:EURKZT"")*N364)"),238785)</f>
        <v>238785</v>
      </c>
      <c r="R364" s="26">
        <f t="shared" ca="1" si="265"/>
        <v>216282</v>
      </c>
      <c r="S364" s="26">
        <f t="shared" ca="1" si="266"/>
        <v>2496200</v>
      </c>
      <c r="T364" s="26">
        <f ca="1">IFERROR(__xludf.DUMMYFUNCTION("ROUND(GOOGLEFINANCE(""Currency:EURKZT"")*L364+S364)"),2838646)</f>
        <v>2838646</v>
      </c>
      <c r="U364" s="26">
        <f ca="1">IFERROR(__xludf.DUMMYFUNCTION("D364*GOOGLEFINANCE(""RUBKZT"")*1000/F364"),3276128.98811561)</f>
        <v>3276128.9881156101</v>
      </c>
      <c r="V364" s="27">
        <f t="shared" ca="1" si="267"/>
        <v>0.15411678247855143</v>
      </c>
    </row>
    <row r="365" spans="1:22" ht="12.75" customHeight="1" x14ac:dyDescent="0.2">
      <c r="A365" s="6" t="s">
        <v>36</v>
      </c>
      <c r="B365" s="6" t="s">
        <v>15</v>
      </c>
      <c r="C365" s="7">
        <v>166464</v>
      </c>
      <c r="D365" s="8">
        <v>84873.599999999991</v>
      </c>
      <c r="E365" s="9" t="s">
        <v>16</v>
      </c>
      <c r="F365" s="36">
        <v>208</v>
      </c>
      <c r="G365" s="25"/>
      <c r="H365" s="14">
        <f t="shared" si="261"/>
        <v>0.55000000000000004</v>
      </c>
      <c r="I365" s="25">
        <f ca="1">IFERROR(__xludf.DUMMYFUNCTION("ROUND(D365*GOOGLEFINANCE(""RUBKZT"")*H365)"),364272)</f>
        <v>364272</v>
      </c>
      <c r="J365" s="26">
        <f ca="1">IFERROR(__xludf.DUMMYFUNCTION("ROUND(I365*GOOGLEFINANCE(""KZTEUR""))"),763)</f>
        <v>763</v>
      </c>
      <c r="K365" s="26">
        <f t="shared" ca="1" si="262"/>
        <v>3668</v>
      </c>
      <c r="L365" s="26">
        <f t="shared" ca="1" si="263"/>
        <v>696.92</v>
      </c>
      <c r="M365" s="26">
        <f t="shared" ref="M365:N365" si="372">M$3</f>
        <v>500</v>
      </c>
      <c r="N365" s="26">
        <f t="shared" si="372"/>
        <v>500</v>
      </c>
      <c r="O365" s="26">
        <f ca="1">IFERROR(__xludf.DUMMYFUNCTION("ROUND(GOOGLEFINANCE(""Currency:EURKZT"")*K365)"),1751725)</f>
        <v>1751725</v>
      </c>
      <c r="P365" s="26">
        <f ca="1">IFERROR(__xludf.DUMMYFUNCTION("ROUND(GOOGLEFINANCE(""Currency:EURKZT"")*M365)"),238785)</f>
        <v>238785</v>
      </c>
      <c r="Q365" s="26">
        <f ca="1">IFERROR(__xludf.DUMMYFUNCTION("ROUND(GOOGLEFINANCE(""Currency:EURKZT"")*N365)"),238785)</f>
        <v>238785</v>
      </c>
      <c r="R365" s="26">
        <f t="shared" ca="1" si="265"/>
        <v>210207</v>
      </c>
      <c r="S365" s="26">
        <f t="shared" ca="1" si="266"/>
        <v>2439502</v>
      </c>
      <c r="T365" s="26">
        <f ca="1">IFERROR(__xludf.DUMMYFUNCTION("ROUND(GOOGLEFINANCE(""Currency:EURKZT"")*L365+S365)"),2772330)</f>
        <v>2772330</v>
      </c>
      <c r="U365" s="26">
        <f ca="1">IFERROR(__xludf.DUMMYFUNCTION("D365*GOOGLEFINANCE(""RUBKZT"")*1000/F365"),3184197.48620916)</f>
        <v>3184197.4862091602</v>
      </c>
      <c r="V365" s="27">
        <f t="shared" ca="1" si="267"/>
        <v>0.14856365808152716</v>
      </c>
    </row>
    <row r="366" spans="1:22" ht="12.75" customHeight="1" x14ac:dyDescent="0.2">
      <c r="A366" s="6" t="s">
        <v>37</v>
      </c>
      <c r="B366" s="6" t="s">
        <v>15</v>
      </c>
      <c r="C366" s="7">
        <v>166516</v>
      </c>
      <c r="D366" s="8">
        <v>86988</v>
      </c>
      <c r="E366" s="9" t="s">
        <v>16</v>
      </c>
      <c r="F366" s="36">
        <v>208</v>
      </c>
      <c r="G366" s="25"/>
      <c r="H366" s="14">
        <f t="shared" si="261"/>
        <v>0.55000000000000004</v>
      </c>
      <c r="I366" s="25">
        <f ca="1">IFERROR(__xludf.DUMMYFUNCTION("ROUND(D366*GOOGLEFINANCE(""RUBKZT"")*H366)"),373347)</f>
        <v>373347</v>
      </c>
      <c r="J366" s="26">
        <f ca="1">IFERROR(__xludf.DUMMYFUNCTION("ROUND(I366*GOOGLEFINANCE(""KZTEUR""))"),782)</f>
        <v>782</v>
      </c>
      <c r="K366" s="26">
        <f t="shared" ca="1" si="262"/>
        <v>3760</v>
      </c>
      <c r="L366" s="26">
        <f t="shared" ca="1" si="263"/>
        <v>714.4</v>
      </c>
      <c r="M366" s="26">
        <f t="shared" ref="M366:N366" si="373">M$3</f>
        <v>500</v>
      </c>
      <c r="N366" s="26">
        <f t="shared" si="373"/>
        <v>500</v>
      </c>
      <c r="O366" s="26">
        <f ca="1">IFERROR(__xludf.DUMMYFUNCTION("ROUND(GOOGLEFINANCE(""Currency:EURKZT"")*K366)"),1795662)</f>
        <v>1795662</v>
      </c>
      <c r="P366" s="26">
        <f ca="1">IFERROR(__xludf.DUMMYFUNCTION("ROUND(GOOGLEFINANCE(""Currency:EURKZT"")*M366)"),238785)</f>
        <v>238785</v>
      </c>
      <c r="Q366" s="26">
        <f ca="1">IFERROR(__xludf.DUMMYFUNCTION("ROUND(GOOGLEFINANCE(""Currency:EURKZT"")*N366)"),238785)</f>
        <v>238785</v>
      </c>
      <c r="R366" s="26">
        <f t="shared" ca="1" si="265"/>
        <v>215479</v>
      </c>
      <c r="S366" s="26">
        <f t="shared" ca="1" si="266"/>
        <v>2488711</v>
      </c>
      <c r="T366" s="26">
        <f ca="1">IFERROR(__xludf.DUMMYFUNCTION("ROUND(GOOGLEFINANCE(""Currency:EURKZT"")*L366+S366)"),2829887)</f>
        <v>2829887</v>
      </c>
      <c r="U366" s="26">
        <f ca="1">IFERROR(__xludf.DUMMYFUNCTION("D366*GOOGLEFINANCE(""RUBKZT"")*1000/F366"),3263523.29735469)</f>
        <v>3263523.2973546898</v>
      </c>
      <c r="V366" s="27">
        <f t="shared" ca="1" si="267"/>
        <v>0.15323449217395951</v>
      </c>
    </row>
    <row r="367" spans="1:22" ht="12.75" customHeight="1" x14ac:dyDescent="0.2">
      <c r="A367" s="6" t="s">
        <v>38</v>
      </c>
      <c r="B367" s="6" t="s">
        <v>15</v>
      </c>
      <c r="C367" s="7">
        <v>166531</v>
      </c>
      <c r="D367" s="8">
        <v>102211.2</v>
      </c>
      <c r="E367" s="9" t="s">
        <v>16</v>
      </c>
      <c r="F367" s="36">
        <v>208</v>
      </c>
      <c r="G367" s="25"/>
      <c r="H367" s="14">
        <f t="shared" si="261"/>
        <v>0.55000000000000004</v>
      </c>
      <c r="I367" s="25">
        <f ca="1">IFERROR(__xludf.DUMMYFUNCTION("ROUND(D367*GOOGLEFINANCE(""RUBKZT"")*H367)"),438684)</f>
        <v>438684</v>
      </c>
      <c r="J367" s="26">
        <f ca="1">IFERROR(__xludf.DUMMYFUNCTION("ROUND(I367*GOOGLEFINANCE(""KZTEUR""))"),919)</f>
        <v>919</v>
      </c>
      <c r="K367" s="26">
        <f t="shared" ca="1" si="262"/>
        <v>4418</v>
      </c>
      <c r="L367" s="26">
        <f t="shared" ca="1" si="263"/>
        <v>839.42</v>
      </c>
      <c r="M367" s="26">
        <f t="shared" ref="M367:N367" si="374">M$3</f>
        <v>500</v>
      </c>
      <c r="N367" s="26">
        <f t="shared" si="374"/>
        <v>500</v>
      </c>
      <c r="O367" s="26">
        <f ca="1">IFERROR(__xludf.DUMMYFUNCTION("ROUND(GOOGLEFINANCE(""Currency:EURKZT"")*K367)"),2109903)</f>
        <v>2109903</v>
      </c>
      <c r="P367" s="26">
        <f ca="1">IFERROR(__xludf.DUMMYFUNCTION("ROUND(GOOGLEFINANCE(""Currency:EURKZT"")*M367)"),238785)</f>
        <v>238785</v>
      </c>
      <c r="Q367" s="26">
        <f ca="1">IFERROR(__xludf.DUMMYFUNCTION("ROUND(GOOGLEFINANCE(""Currency:EURKZT"")*N367)"),238785)</f>
        <v>238785</v>
      </c>
      <c r="R367" s="26">
        <f t="shared" ca="1" si="265"/>
        <v>253188</v>
      </c>
      <c r="S367" s="26">
        <f t="shared" ca="1" si="266"/>
        <v>2840661</v>
      </c>
      <c r="T367" s="26">
        <f ca="1">IFERROR(__xludf.DUMMYFUNCTION("ROUND(GOOGLEFINANCE(""Currency:EURKZT"")*L367+S367)"),3241542)</f>
        <v>3241542</v>
      </c>
      <c r="U367" s="26">
        <f ca="1">IFERROR(__xludf.DUMMYFUNCTION("D367*GOOGLEFINANCE(""RUBKZT"")*1000/F367"),3834651.12947279)</f>
        <v>3834651.1294727898</v>
      </c>
      <c r="V367" s="27">
        <f t="shared" ca="1" si="267"/>
        <v>0.18297129251226418</v>
      </c>
    </row>
    <row r="368" spans="1:22" ht="12.75" customHeight="1" x14ac:dyDescent="0.2">
      <c r="A368" s="6" t="s">
        <v>39</v>
      </c>
      <c r="B368" s="6" t="s">
        <v>15</v>
      </c>
      <c r="C368" s="7">
        <v>166811</v>
      </c>
      <c r="D368" s="8">
        <v>106150.8</v>
      </c>
      <c r="E368" s="9" t="s">
        <v>16</v>
      </c>
      <c r="F368" s="36">
        <v>208</v>
      </c>
      <c r="G368" s="25"/>
      <c r="H368" s="14">
        <f t="shared" si="261"/>
        <v>0.55000000000000004</v>
      </c>
      <c r="I368" s="25">
        <f ca="1">IFERROR(__xludf.DUMMYFUNCTION("ROUND(D368*GOOGLEFINANCE(""RUBKZT"")*H368)"),455593)</f>
        <v>455593</v>
      </c>
      <c r="J368" s="26">
        <f ca="1">IFERROR(__xludf.DUMMYFUNCTION("ROUND(I368*GOOGLEFINANCE(""KZTEUR""))"),954)</f>
        <v>954</v>
      </c>
      <c r="K368" s="26">
        <f t="shared" ca="1" si="262"/>
        <v>4587</v>
      </c>
      <c r="L368" s="26">
        <f t="shared" ca="1" si="263"/>
        <v>871.53</v>
      </c>
      <c r="M368" s="26">
        <f t="shared" ref="M368:N368" si="375">M$3</f>
        <v>500</v>
      </c>
      <c r="N368" s="26">
        <f t="shared" si="375"/>
        <v>500</v>
      </c>
      <c r="O368" s="26">
        <f ca="1">IFERROR(__xludf.DUMMYFUNCTION("ROUND(GOOGLEFINANCE(""Currency:EURKZT"")*K368)"),2190612)</f>
        <v>2190612</v>
      </c>
      <c r="P368" s="26">
        <f ca="1">IFERROR(__xludf.DUMMYFUNCTION("ROUND(GOOGLEFINANCE(""Currency:EURKZT"")*M368)"),238785)</f>
        <v>238785</v>
      </c>
      <c r="Q368" s="26">
        <f ca="1">IFERROR(__xludf.DUMMYFUNCTION("ROUND(GOOGLEFINANCE(""Currency:EURKZT"")*N368)"),238785)</f>
        <v>238785</v>
      </c>
      <c r="R368" s="26">
        <f t="shared" ca="1" si="265"/>
        <v>262873</v>
      </c>
      <c r="S368" s="26">
        <f t="shared" ca="1" si="266"/>
        <v>2931055</v>
      </c>
      <c r="T368" s="26">
        <f ca="1">IFERROR(__xludf.DUMMYFUNCTION("ROUND(GOOGLEFINANCE(""Currency:EURKZT"")*L368+S368)"),3347271)</f>
        <v>3347271</v>
      </c>
      <c r="U368" s="26">
        <f ca="1">IFERROR(__xludf.DUMMYFUNCTION("D368*GOOGLEFINANCE(""RUBKZT"")*1000/F368"),3982452.85364462)</f>
        <v>3982452.8536446202</v>
      </c>
      <c r="V368" s="27">
        <f t="shared" ca="1" si="267"/>
        <v>0.18976110797262014</v>
      </c>
    </row>
    <row r="369" spans="1:22" ht="12.75" customHeight="1" x14ac:dyDescent="0.2">
      <c r="A369" s="6" t="s">
        <v>40</v>
      </c>
      <c r="B369" s="6" t="s">
        <v>15</v>
      </c>
      <c r="C369" s="7">
        <v>166522</v>
      </c>
      <c r="D369" s="8">
        <v>108196.8</v>
      </c>
      <c r="E369" s="9" t="s">
        <v>16</v>
      </c>
      <c r="F369" s="36">
        <v>208</v>
      </c>
      <c r="G369" s="25"/>
      <c r="H369" s="14">
        <f t="shared" si="261"/>
        <v>0.55000000000000004</v>
      </c>
      <c r="I369" s="25">
        <f ca="1">IFERROR(__xludf.DUMMYFUNCTION("ROUND(D369*GOOGLEFINANCE(""RUBKZT"")*H369)"),464374)</f>
        <v>464374</v>
      </c>
      <c r="J369" s="26">
        <f ca="1">IFERROR(__xludf.DUMMYFUNCTION("ROUND(I369*GOOGLEFINANCE(""KZTEUR""))"),973)</f>
        <v>973</v>
      </c>
      <c r="K369" s="26">
        <f t="shared" ca="1" si="262"/>
        <v>4678</v>
      </c>
      <c r="L369" s="26">
        <f t="shared" ca="1" si="263"/>
        <v>888.82</v>
      </c>
      <c r="M369" s="26">
        <f t="shared" ref="M369:N369" si="376">M$3</f>
        <v>500</v>
      </c>
      <c r="N369" s="26">
        <f t="shared" si="376"/>
        <v>500</v>
      </c>
      <c r="O369" s="26">
        <f ca="1">IFERROR(__xludf.DUMMYFUNCTION("ROUND(GOOGLEFINANCE(""Currency:EURKZT"")*K369)"),2234071)</f>
        <v>2234071</v>
      </c>
      <c r="P369" s="26">
        <f ca="1">IFERROR(__xludf.DUMMYFUNCTION("ROUND(GOOGLEFINANCE(""Currency:EURKZT"")*M369)"),238785)</f>
        <v>238785</v>
      </c>
      <c r="Q369" s="26">
        <f ca="1">IFERROR(__xludf.DUMMYFUNCTION("ROUND(GOOGLEFINANCE(""Currency:EURKZT"")*N369)"),238785)</f>
        <v>238785</v>
      </c>
      <c r="R369" s="26">
        <f t="shared" ca="1" si="265"/>
        <v>268089</v>
      </c>
      <c r="S369" s="26">
        <f t="shared" ca="1" si="266"/>
        <v>2979730</v>
      </c>
      <c r="T369" s="26">
        <f ca="1">IFERROR(__xludf.DUMMYFUNCTION("ROUND(GOOGLEFINANCE(""Currency:EURKZT"")*L369+S369)"),3404203)</f>
        <v>3404203</v>
      </c>
      <c r="U369" s="26">
        <f ca="1">IFERROR(__xludf.DUMMYFUNCTION("D369*GOOGLEFINANCE(""RUBKZT"")*1000/F369"),4059212.50631381)</f>
        <v>4059212.5063138101</v>
      </c>
      <c r="V369" s="27">
        <f t="shared" ca="1" si="267"/>
        <v>0.19241199961160074</v>
      </c>
    </row>
    <row r="370" spans="1:22" ht="12.75" customHeight="1" x14ac:dyDescent="0.2">
      <c r="A370" s="6" t="s">
        <v>41</v>
      </c>
      <c r="B370" s="6" t="s">
        <v>15</v>
      </c>
      <c r="C370" s="7">
        <v>166533</v>
      </c>
      <c r="D370" s="8">
        <v>105026.4</v>
      </c>
      <c r="E370" s="9" t="s">
        <v>16</v>
      </c>
      <c r="F370" s="36">
        <v>208</v>
      </c>
      <c r="G370" s="25"/>
      <c r="H370" s="14">
        <f t="shared" si="261"/>
        <v>0.55000000000000004</v>
      </c>
      <c r="I370" s="25">
        <f ca="1">IFERROR(__xludf.DUMMYFUNCTION("ROUND(D370*GOOGLEFINANCE(""RUBKZT"")*H370)"),450767)</f>
        <v>450767</v>
      </c>
      <c r="J370" s="26">
        <f ca="1">IFERROR(__xludf.DUMMYFUNCTION("ROUND(I370*GOOGLEFINANCE(""KZTEUR""))"),944)</f>
        <v>944</v>
      </c>
      <c r="K370" s="26">
        <f t="shared" ca="1" si="262"/>
        <v>4538</v>
      </c>
      <c r="L370" s="26">
        <f t="shared" ca="1" si="263"/>
        <v>862.22</v>
      </c>
      <c r="M370" s="26">
        <f t="shared" ref="M370:N370" si="377">M$3</f>
        <v>500</v>
      </c>
      <c r="N370" s="26">
        <f t="shared" si="377"/>
        <v>500</v>
      </c>
      <c r="O370" s="26">
        <f ca="1">IFERROR(__xludf.DUMMYFUNCTION("ROUND(GOOGLEFINANCE(""Currency:EURKZT"")*K370)"),2167211)</f>
        <v>2167211</v>
      </c>
      <c r="P370" s="26">
        <f ca="1">IFERROR(__xludf.DUMMYFUNCTION("ROUND(GOOGLEFINANCE(""Currency:EURKZT"")*M370)"),238785)</f>
        <v>238785</v>
      </c>
      <c r="Q370" s="26">
        <f ca="1">IFERROR(__xludf.DUMMYFUNCTION("ROUND(GOOGLEFINANCE(""Currency:EURKZT"")*N370)"),238785)</f>
        <v>238785</v>
      </c>
      <c r="R370" s="26">
        <f t="shared" ca="1" si="265"/>
        <v>260065</v>
      </c>
      <c r="S370" s="26">
        <f t="shared" ca="1" si="266"/>
        <v>2904846</v>
      </c>
      <c r="T370" s="26">
        <f ca="1">IFERROR(__xludf.DUMMYFUNCTION("ROUND(GOOGLEFINANCE(""Currency:EURKZT"")*L370+S370)"),3316616)</f>
        <v>3316616</v>
      </c>
      <c r="U370" s="26">
        <f ca="1">IFERROR(__xludf.DUMMYFUNCTION("D370*GOOGLEFINANCE(""RUBKZT"")*1000/F370"),3940268.80991967)</f>
        <v>3940268.8099196702</v>
      </c>
      <c r="V370" s="27">
        <f t="shared" ca="1" si="267"/>
        <v>0.1880388956453416</v>
      </c>
    </row>
    <row r="371" spans="1:22" ht="12.75" customHeight="1" x14ac:dyDescent="0.2">
      <c r="A371" s="6" t="s">
        <v>42</v>
      </c>
      <c r="B371" s="6" t="s">
        <v>15</v>
      </c>
      <c r="C371" s="7">
        <v>166524</v>
      </c>
      <c r="D371" s="8">
        <v>107835.59999999999</v>
      </c>
      <c r="E371" s="9" t="s">
        <v>16</v>
      </c>
      <c r="F371" s="36">
        <v>208</v>
      </c>
      <c r="G371" s="25"/>
      <c r="H371" s="14">
        <f t="shared" si="261"/>
        <v>0.55000000000000004</v>
      </c>
      <c r="I371" s="25">
        <f ca="1">IFERROR(__xludf.DUMMYFUNCTION("ROUND(D371*GOOGLEFINANCE(""RUBKZT"")*H371)"),462824)</f>
        <v>462824</v>
      </c>
      <c r="J371" s="26">
        <f ca="1">IFERROR(__xludf.DUMMYFUNCTION("ROUND(I371*GOOGLEFINANCE(""KZTEUR""))"),969)</f>
        <v>969</v>
      </c>
      <c r="K371" s="26">
        <f t="shared" ca="1" si="262"/>
        <v>4659</v>
      </c>
      <c r="L371" s="26">
        <f t="shared" ca="1" si="263"/>
        <v>885.21</v>
      </c>
      <c r="M371" s="26">
        <f t="shared" ref="M371:N371" si="378">M$3</f>
        <v>500</v>
      </c>
      <c r="N371" s="26">
        <f t="shared" si="378"/>
        <v>500</v>
      </c>
      <c r="O371" s="26">
        <f ca="1">IFERROR(__xludf.DUMMYFUNCTION("ROUND(GOOGLEFINANCE(""Currency:EURKZT"")*K371)"),2224997)</f>
        <v>2224997</v>
      </c>
      <c r="P371" s="26">
        <f ca="1">IFERROR(__xludf.DUMMYFUNCTION("ROUND(GOOGLEFINANCE(""Currency:EURKZT"")*M371)"),238785)</f>
        <v>238785</v>
      </c>
      <c r="Q371" s="26">
        <f ca="1">IFERROR(__xludf.DUMMYFUNCTION("ROUND(GOOGLEFINANCE(""Currency:EURKZT"")*N371)"),238785)</f>
        <v>238785</v>
      </c>
      <c r="R371" s="26">
        <f t="shared" ca="1" si="265"/>
        <v>267000</v>
      </c>
      <c r="S371" s="26">
        <f t="shared" ca="1" si="266"/>
        <v>2969567</v>
      </c>
      <c r="T371" s="26">
        <f ca="1">IFERROR(__xludf.DUMMYFUNCTION("ROUND(GOOGLEFINANCE(""Currency:EURKZT"")*L371+S371)"),3392316)</f>
        <v>3392316</v>
      </c>
      <c r="U371" s="26">
        <f ca="1">IFERROR(__xludf.DUMMYFUNCTION("D371*GOOGLEFINANCE(""RUBKZT"")*1000/F371"),4045661.38874582)</f>
        <v>4045661.3887458201</v>
      </c>
      <c r="V371" s="27">
        <f t="shared" ca="1" si="267"/>
        <v>0.19259567467942848</v>
      </c>
    </row>
    <row r="372" spans="1:22" ht="12.75" customHeight="1" x14ac:dyDescent="0.2">
      <c r="A372" s="6" t="s">
        <v>43</v>
      </c>
      <c r="B372" s="6" t="s">
        <v>15</v>
      </c>
      <c r="C372" s="7">
        <v>166526</v>
      </c>
      <c r="D372" s="8">
        <v>103915.2</v>
      </c>
      <c r="E372" s="9" t="s">
        <v>16</v>
      </c>
      <c r="F372" s="36">
        <v>208</v>
      </c>
      <c r="G372" s="25"/>
      <c r="H372" s="14">
        <f t="shared" si="261"/>
        <v>0.55000000000000004</v>
      </c>
      <c r="I372" s="25">
        <f ca="1">IFERROR(__xludf.DUMMYFUNCTION("ROUND(D372*GOOGLEFINANCE(""RUBKZT"")*H372)"),445998)</f>
        <v>445998</v>
      </c>
      <c r="J372" s="26">
        <f ca="1">IFERROR(__xludf.DUMMYFUNCTION("ROUND(I372*GOOGLEFINANCE(""KZTEUR""))"),934)</f>
        <v>934</v>
      </c>
      <c r="K372" s="26">
        <f t="shared" ca="1" si="262"/>
        <v>4490</v>
      </c>
      <c r="L372" s="26">
        <f t="shared" ca="1" si="263"/>
        <v>853.1</v>
      </c>
      <c r="M372" s="26">
        <f t="shared" ref="M372:N372" si="379">M$3</f>
        <v>500</v>
      </c>
      <c r="N372" s="26">
        <f t="shared" si="379"/>
        <v>500</v>
      </c>
      <c r="O372" s="26">
        <f ca="1">IFERROR(__xludf.DUMMYFUNCTION("ROUND(GOOGLEFINANCE(""Currency:EURKZT"")*K372)"),2144288)</f>
        <v>2144288</v>
      </c>
      <c r="P372" s="26">
        <f ca="1">IFERROR(__xludf.DUMMYFUNCTION("ROUND(GOOGLEFINANCE(""Currency:EURKZT"")*M372)"),238785)</f>
        <v>238785</v>
      </c>
      <c r="Q372" s="26">
        <f ca="1">IFERROR(__xludf.DUMMYFUNCTION("ROUND(GOOGLEFINANCE(""Currency:EURKZT"")*N372)"),238785)</f>
        <v>238785</v>
      </c>
      <c r="R372" s="26">
        <f t="shared" ca="1" si="265"/>
        <v>257315</v>
      </c>
      <c r="S372" s="26">
        <f t="shared" ca="1" si="266"/>
        <v>2879173</v>
      </c>
      <c r="T372" s="26">
        <f ca="1">IFERROR(__xludf.DUMMYFUNCTION("ROUND(GOOGLEFINANCE(""Currency:EURKZT"")*L372+S372)"),3286588)</f>
        <v>3286588</v>
      </c>
      <c r="U372" s="26">
        <f ca="1">IFERROR(__xludf.DUMMYFUNCTION("D372*GOOGLEFINANCE(""RUBKZT"")*1000/F372"),3898579.98976033)</f>
        <v>3898579.9897603299</v>
      </c>
      <c r="V372" s="27">
        <f t="shared" ca="1" si="267"/>
        <v>0.18620891628653483</v>
      </c>
    </row>
    <row r="373" spans="1:22" ht="12.75" customHeight="1" x14ac:dyDescent="0.2">
      <c r="A373" s="6" t="s">
        <v>57</v>
      </c>
      <c r="B373" s="6" t="s">
        <v>15</v>
      </c>
      <c r="C373" s="7">
        <v>211102</v>
      </c>
      <c r="D373" s="8">
        <v>121336.79999999999</v>
      </c>
      <c r="E373" s="9" t="s">
        <v>16</v>
      </c>
      <c r="F373" s="36">
        <v>208</v>
      </c>
      <c r="G373" s="25"/>
      <c r="H373" s="14">
        <f t="shared" si="261"/>
        <v>0.55000000000000004</v>
      </c>
      <c r="I373" s="25">
        <f ca="1">IFERROR(__xludf.DUMMYFUNCTION("ROUND(D373*GOOGLEFINANCE(""RUBKZT"")*H373)"),520770)</f>
        <v>520770</v>
      </c>
      <c r="J373" s="26">
        <f ca="1">IFERROR(__xludf.DUMMYFUNCTION("ROUND(I373*GOOGLEFINANCE(""KZTEUR""))"),1091)</f>
        <v>1091</v>
      </c>
      <c r="K373" s="26">
        <f t="shared" ca="1" si="262"/>
        <v>5245</v>
      </c>
      <c r="L373" s="26">
        <f t="shared" ca="1" si="263"/>
        <v>996.55000000000007</v>
      </c>
      <c r="M373" s="26">
        <f t="shared" ref="M373:N373" si="380">M$3</f>
        <v>500</v>
      </c>
      <c r="N373" s="26">
        <f t="shared" si="380"/>
        <v>500</v>
      </c>
      <c r="O373" s="26">
        <f ca="1">IFERROR(__xludf.DUMMYFUNCTION("ROUND(GOOGLEFINANCE(""Currency:EURKZT"")*K373)"),2504853)</f>
        <v>2504853</v>
      </c>
      <c r="P373" s="26">
        <f ca="1">IFERROR(__xludf.DUMMYFUNCTION("ROUND(GOOGLEFINANCE(""Currency:EURKZT"")*M373)"),238785)</f>
        <v>238785</v>
      </c>
      <c r="Q373" s="26">
        <f ca="1">IFERROR(__xludf.DUMMYFUNCTION("ROUND(GOOGLEFINANCE(""Currency:EURKZT"")*N373)"),238785)</f>
        <v>238785</v>
      </c>
      <c r="R373" s="26">
        <f t="shared" ca="1" si="265"/>
        <v>300582</v>
      </c>
      <c r="S373" s="26">
        <f t="shared" ca="1" si="266"/>
        <v>3283005</v>
      </c>
      <c r="T373" s="26">
        <f ca="1">IFERROR(__xludf.DUMMYFUNCTION("ROUND(GOOGLEFINANCE(""Currency:EURKZT"")*L373+S373)"),3758927)</f>
        <v>3758927</v>
      </c>
      <c r="U373" s="26">
        <f ca="1">IFERROR(__xludf.DUMMYFUNCTION("D373*GOOGLEFINANCE(""RUBKZT"")*1000/F373"),4552185.05571419)</f>
        <v>4552185.05571419</v>
      </c>
      <c r="V373" s="27">
        <f t="shared" ca="1" si="267"/>
        <v>0.2110331101705859</v>
      </c>
    </row>
    <row r="374" spans="1:22" ht="12.75" customHeight="1" x14ac:dyDescent="0.2">
      <c r="A374" s="6" t="s">
        <v>58</v>
      </c>
      <c r="B374" s="6" t="s">
        <v>15</v>
      </c>
      <c r="C374" s="7">
        <v>166520</v>
      </c>
      <c r="D374" s="8">
        <v>115804.8</v>
      </c>
      <c r="E374" s="9" t="s">
        <v>16</v>
      </c>
      <c r="F374" s="36">
        <v>208</v>
      </c>
      <c r="G374" s="25"/>
      <c r="H374" s="14">
        <f t="shared" si="261"/>
        <v>0.55000000000000004</v>
      </c>
      <c r="I374" s="25">
        <f ca="1">IFERROR(__xludf.DUMMYFUNCTION("ROUND(D374*GOOGLEFINANCE(""RUBKZT"")*H374)"),497027)</f>
        <v>497027</v>
      </c>
      <c r="J374" s="26">
        <f ca="1">IFERROR(__xludf.DUMMYFUNCTION("ROUND(I374*GOOGLEFINANCE(""KZTEUR""))"),1041)</f>
        <v>1041</v>
      </c>
      <c r="K374" s="26">
        <f t="shared" ca="1" si="262"/>
        <v>5005</v>
      </c>
      <c r="L374" s="26">
        <f t="shared" ca="1" si="263"/>
        <v>950.95</v>
      </c>
      <c r="M374" s="26">
        <f t="shared" ref="M374:N374" si="381">M$3</f>
        <v>500</v>
      </c>
      <c r="N374" s="26">
        <f t="shared" si="381"/>
        <v>500</v>
      </c>
      <c r="O374" s="26">
        <f ca="1">IFERROR(__xludf.DUMMYFUNCTION("ROUND(GOOGLEFINANCE(""Currency:EURKZT"")*K374)"),2390236)</f>
        <v>2390236</v>
      </c>
      <c r="P374" s="26">
        <f ca="1">IFERROR(__xludf.DUMMYFUNCTION("ROUND(GOOGLEFINANCE(""Currency:EURKZT"")*M374)"),238785)</f>
        <v>238785</v>
      </c>
      <c r="Q374" s="26">
        <f ca="1">IFERROR(__xludf.DUMMYFUNCTION("ROUND(GOOGLEFINANCE(""Currency:EURKZT"")*N374)"),238785)</f>
        <v>238785</v>
      </c>
      <c r="R374" s="26">
        <f t="shared" ca="1" si="265"/>
        <v>286828</v>
      </c>
      <c r="S374" s="26">
        <f t="shared" ca="1" si="266"/>
        <v>3154634</v>
      </c>
      <c r="T374" s="26">
        <f ca="1">IFERROR(__xludf.DUMMYFUNCTION("ROUND(GOOGLEFINANCE(""Currency:EURKZT"")*L374+S374)"),3608779)</f>
        <v>3608779</v>
      </c>
      <c r="U374" s="26">
        <f ca="1">IFERROR(__xludf.DUMMYFUNCTION("D374*GOOGLEFINANCE(""RUBKZT"")*1000/F374"),4344641.36140043)</f>
        <v>4344641.3614004301</v>
      </c>
      <c r="V374" s="27">
        <f t="shared" ca="1" si="267"/>
        <v>0.20390895685228441</v>
      </c>
    </row>
    <row r="375" spans="1:22" ht="12.75" customHeight="1" x14ac:dyDescent="0.2">
      <c r="A375" s="6" t="s">
        <v>60</v>
      </c>
      <c r="B375" s="6" t="s">
        <v>15</v>
      </c>
      <c r="C375" s="7">
        <v>166509</v>
      </c>
      <c r="D375" s="8">
        <v>76224</v>
      </c>
      <c r="E375" s="9" t="s">
        <v>16</v>
      </c>
      <c r="F375" s="36">
        <v>208</v>
      </c>
      <c r="G375" s="25"/>
      <c r="H375" s="14">
        <f t="shared" si="261"/>
        <v>0.55000000000000004</v>
      </c>
      <c r="I375" s="25">
        <f ca="1">IFERROR(__xludf.DUMMYFUNCTION("ROUND(D375*GOOGLEFINANCE(""RUBKZT"")*H375)"),327149)</f>
        <v>327149</v>
      </c>
      <c r="J375" s="26">
        <f ca="1">IFERROR(__xludf.DUMMYFUNCTION("ROUND(I375*GOOGLEFINANCE(""KZTEUR""))"),685)</f>
        <v>685</v>
      </c>
      <c r="K375" s="26">
        <f t="shared" ca="1" si="262"/>
        <v>3293</v>
      </c>
      <c r="L375" s="26">
        <f t="shared" ca="1" si="263"/>
        <v>625.66999999999996</v>
      </c>
      <c r="M375" s="26">
        <f t="shared" ref="M375:N375" si="382">M$3</f>
        <v>500</v>
      </c>
      <c r="N375" s="26">
        <f t="shared" si="382"/>
        <v>500</v>
      </c>
      <c r="O375" s="26">
        <f ca="1">IFERROR(__xludf.DUMMYFUNCTION("ROUND(GOOGLEFINANCE(""Currency:EURKZT"")*K375)"),1572637)</f>
        <v>1572637</v>
      </c>
      <c r="P375" s="26">
        <f ca="1">IFERROR(__xludf.DUMMYFUNCTION("ROUND(GOOGLEFINANCE(""Currency:EURKZT"")*M375)"),238785)</f>
        <v>238785</v>
      </c>
      <c r="Q375" s="26">
        <f ca="1">IFERROR(__xludf.DUMMYFUNCTION("ROUND(GOOGLEFINANCE(""Currency:EURKZT"")*N375)"),238785)</f>
        <v>238785</v>
      </c>
      <c r="R375" s="26">
        <f t="shared" ca="1" si="265"/>
        <v>188716</v>
      </c>
      <c r="S375" s="26">
        <f t="shared" ca="1" si="266"/>
        <v>2238923</v>
      </c>
      <c r="T375" s="26">
        <f ca="1">IFERROR(__xludf.DUMMYFUNCTION("ROUND(GOOGLEFINANCE(""Currency:EURKZT"")*L375+S375)"),2537724)</f>
        <v>2537724</v>
      </c>
      <c r="U375" s="26">
        <f ca="1">IFERROR(__xludf.DUMMYFUNCTION("D375*GOOGLEFINANCE(""RUBKZT"")*1000/F375"),2859690.98976369)</f>
        <v>2859690.9897636902</v>
      </c>
      <c r="V375" s="27">
        <f t="shared" ca="1" si="267"/>
        <v>0.12687234299856492</v>
      </c>
    </row>
    <row r="376" spans="1:22" ht="12.75" customHeight="1" x14ac:dyDescent="0.2">
      <c r="A376" s="6" t="s">
        <v>61</v>
      </c>
      <c r="B376" s="6" t="s">
        <v>15</v>
      </c>
      <c r="C376" s="7">
        <v>166512</v>
      </c>
      <c r="D376" s="8">
        <v>78909.599999999991</v>
      </c>
      <c r="E376" s="9" t="s">
        <v>16</v>
      </c>
      <c r="F376" s="36">
        <v>208</v>
      </c>
      <c r="G376" s="25"/>
      <c r="H376" s="14">
        <f t="shared" si="261"/>
        <v>0.55000000000000004</v>
      </c>
      <c r="I376" s="25">
        <f ca="1">IFERROR(__xludf.DUMMYFUNCTION("ROUND(D376*GOOGLEFINANCE(""RUBKZT"")*H376)"),338675)</f>
        <v>338675</v>
      </c>
      <c r="J376" s="26">
        <f ca="1">IFERROR(__xludf.DUMMYFUNCTION("ROUND(I376*GOOGLEFINANCE(""KZTEUR""))"),709)</f>
        <v>709</v>
      </c>
      <c r="K376" s="26">
        <f t="shared" ca="1" si="262"/>
        <v>3409</v>
      </c>
      <c r="L376" s="26">
        <f t="shared" ca="1" si="263"/>
        <v>647.71</v>
      </c>
      <c r="M376" s="26">
        <f t="shared" ref="M376:N376" si="383">M$3</f>
        <v>500</v>
      </c>
      <c r="N376" s="26">
        <f t="shared" si="383"/>
        <v>500</v>
      </c>
      <c r="O376" s="26">
        <f ca="1">IFERROR(__xludf.DUMMYFUNCTION("ROUND(GOOGLEFINANCE(""Currency:EURKZT"")*K376)"),1628035)</f>
        <v>1628035</v>
      </c>
      <c r="P376" s="26">
        <f ca="1">IFERROR(__xludf.DUMMYFUNCTION("ROUND(GOOGLEFINANCE(""Currency:EURKZT"")*M376)"),238785)</f>
        <v>238785</v>
      </c>
      <c r="Q376" s="26">
        <f ca="1">IFERROR(__xludf.DUMMYFUNCTION("ROUND(GOOGLEFINANCE(""Currency:EURKZT"")*N376)"),238785)</f>
        <v>238785</v>
      </c>
      <c r="R376" s="26">
        <f t="shared" ca="1" si="265"/>
        <v>195364</v>
      </c>
      <c r="S376" s="26">
        <f t="shared" ca="1" si="266"/>
        <v>2300969</v>
      </c>
      <c r="T376" s="26">
        <f ca="1">IFERROR(__xludf.DUMMYFUNCTION("ROUND(GOOGLEFINANCE(""Currency:EURKZT"")*L376+S376)"),2610296)</f>
        <v>2610296</v>
      </c>
      <c r="U376" s="26">
        <f ca="1">IFERROR(__xludf.DUMMYFUNCTION("D376*GOOGLEFINANCE(""RUBKZT"")*1000/F376"),2960446.47520278)</f>
        <v>2960446.4752027802</v>
      </c>
      <c r="V376" s="27">
        <f t="shared" ca="1" si="267"/>
        <v>0.13414205714707458</v>
      </c>
    </row>
    <row r="377" spans="1:22" ht="12.75" customHeight="1" x14ac:dyDescent="0.2">
      <c r="A377" s="6" t="s">
        <v>62</v>
      </c>
      <c r="B377" s="6" t="s">
        <v>15</v>
      </c>
      <c r="C377" s="7">
        <v>166514</v>
      </c>
      <c r="D377" s="8">
        <v>78747.599999999991</v>
      </c>
      <c r="E377" s="9" t="s">
        <v>16</v>
      </c>
      <c r="F377" s="36">
        <v>208</v>
      </c>
      <c r="G377" s="25"/>
      <c r="H377" s="14">
        <f t="shared" si="261"/>
        <v>0.55000000000000004</v>
      </c>
      <c r="I377" s="25">
        <f ca="1">IFERROR(__xludf.DUMMYFUNCTION("ROUND(D377*GOOGLEFINANCE(""RUBKZT"")*H377)"),337980)</f>
        <v>337980</v>
      </c>
      <c r="J377" s="26">
        <f ca="1">IFERROR(__xludf.DUMMYFUNCTION("ROUND(I377*GOOGLEFINANCE(""KZTEUR""))"),708)</f>
        <v>708</v>
      </c>
      <c r="K377" s="26">
        <f t="shared" ca="1" si="262"/>
        <v>3404</v>
      </c>
      <c r="L377" s="26">
        <f t="shared" ca="1" si="263"/>
        <v>646.76</v>
      </c>
      <c r="M377" s="26">
        <f t="shared" ref="M377:N377" si="384">M$3</f>
        <v>500</v>
      </c>
      <c r="N377" s="26">
        <f t="shared" si="384"/>
        <v>500</v>
      </c>
      <c r="O377" s="26">
        <f ca="1">IFERROR(__xludf.DUMMYFUNCTION("ROUND(GOOGLEFINANCE(""Currency:EURKZT"")*K377)"),1625647)</f>
        <v>1625647</v>
      </c>
      <c r="P377" s="26">
        <f ca="1">IFERROR(__xludf.DUMMYFUNCTION("ROUND(GOOGLEFINANCE(""Currency:EURKZT"")*M377)"),238785)</f>
        <v>238785</v>
      </c>
      <c r="Q377" s="26">
        <f ca="1">IFERROR(__xludf.DUMMYFUNCTION("ROUND(GOOGLEFINANCE(""Currency:EURKZT"")*N377)"),238785)</f>
        <v>238785</v>
      </c>
      <c r="R377" s="26">
        <f t="shared" ca="1" si="265"/>
        <v>195078</v>
      </c>
      <c r="S377" s="26">
        <f t="shared" ca="1" si="266"/>
        <v>2298295</v>
      </c>
      <c r="T377" s="26">
        <f ca="1">IFERROR(__xludf.DUMMYFUNCTION("ROUND(GOOGLEFINANCE(""Currency:EURKZT"")*L377+S377)"),2607168)</f>
        <v>2607168</v>
      </c>
      <c r="U377" s="26">
        <f ca="1">IFERROR(__xludf.DUMMYFUNCTION("D377*GOOGLEFINANCE(""RUBKZT"")*1000/F377"),2954368.73144305)</f>
        <v>2954368.7314430499</v>
      </c>
      <c r="V377" s="27">
        <f t="shared" ca="1" si="267"/>
        <v>0.13317159900821499</v>
      </c>
    </row>
    <row r="378" spans="1:22" ht="12.75" customHeight="1" x14ac:dyDescent="0.2">
      <c r="A378" s="6" t="s">
        <v>68</v>
      </c>
      <c r="B378" s="6" t="s">
        <v>15</v>
      </c>
      <c r="C378" s="7">
        <v>166483</v>
      </c>
      <c r="D378" s="8">
        <v>79533.599999999991</v>
      </c>
      <c r="E378" s="9" t="s">
        <v>16</v>
      </c>
      <c r="F378" s="36">
        <v>208</v>
      </c>
      <c r="G378" s="25"/>
      <c r="H378" s="14">
        <f t="shared" si="261"/>
        <v>0.55000000000000004</v>
      </c>
      <c r="I378" s="25">
        <f ca="1">IFERROR(__xludf.DUMMYFUNCTION("ROUND(D378*GOOGLEFINANCE(""RUBKZT"")*H378)"),341353)</f>
        <v>341353</v>
      </c>
      <c r="J378" s="26">
        <f ca="1">IFERROR(__xludf.DUMMYFUNCTION("ROUND(I378*GOOGLEFINANCE(""KZTEUR""))"),715)</f>
        <v>715</v>
      </c>
      <c r="K378" s="26">
        <f t="shared" ca="1" si="262"/>
        <v>3438</v>
      </c>
      <c r="L378" s="26">
        <f t="shared" ca="1" si="263"/>
        <v>653.22</v>
      </c>
      <c r="M378" s="26">
        <f t="shared" ref="M378:N378" si="385">M$3</f>
        <v>500</v>
      </c>
      <c r="N378" s="26">
        <f t="shared" si="385"/>
        <v>500</v>
      </c>
      <c r="O378" s="26">
        <f ca="1">IFERROR(__xludf.DUMMYFUNCTION("ROUND(GOOGLEFINANCE(""Currency:EURKZT"")*K378)"),1641884)</f>
        <v>1641884</v>
      </c>
      <c r="P378" s="26">
        <f ca="1">IFERROR(__xludf.DUMMYFUNCTION("ROUND(GOOGLEFINANCE(""Currency:EURKZT"")*M378)"),238785)</f>
        <v>238785</v>
      </c>
      <c r="Q378" s="26">
        <f ca="1">IFERROR(__xludf.DUMMYFUNCTION("ROUND(GOOGLEFINANCE(""Currency:EURKZT"")*N378)"),238785)</f>
        <v>238785</v>
      </c>
      <c r="R378" s="26">
        <f t="shared" ca="1" si="265"/>
        <v>197026</v>
      </c>
      <c r="S378" s="26">
        <f t="shared" ca="1" si="266"/>
        <v>2316480</v>
      </c>
      <c r="T378" s="26">
        <f ca="1">IFERROR(__xludf.DUMMYFUNCTION("ROUND(GOOGLEFINANCE(""Currency:EURKZT"")*L378+S378)"),2628438)</f>
        <v>2628438</v>
      </c>
      <c r="U378" s="26">
        <f ca="1">IFERROR(__xludf.DUMMYFUNCTION("D378*GOOGLEFINANCE(""RUBKZT"")*1000/F378"),2983857.04375878)</f>
        <v>2983857.0437587802</v>
      </c>
      <c r="V378" s="27">
        <f t="shared" ca="1" si="267"/>
        <v>0.13522063056415265</v>
      </c>
    </row>
    <row r="379" spans="1:22" ht="12.75" customHeight="1" x14ac:dyDescent="0.2">
      <c r="A379" s="6" t="s">
        <v>70</v>
      </c>
      <c r="B379" s="6" t="s">
        <v>15</v>
      </c>
      <c r="C379" s="7">
        <v>166477</v>
      </c>
      <c r="D379" s="8">
        <v>106742.39999999999</v>
      </c>
      <c r="E379" s="9" t="s">
        <v>16</v>
      </c>
      <c r="F379" s="36">
        <v>208</v>
      </c>
      <c r="G379" s="25"/>
      <c r="H379" s="14">
        <f t="shared" si="261"/>
        <v>0.55000000000000004</v>
      </c>
      <c r="I379" s="25">
        <f ca="1">IFERROR(__xludf.DUMMYFUNCTION("ROUND(D379*GOOGLEFINANCE(""RUBKZT"")*H379)"),458132)</f>
        <v>458132</v>
      </c>
      <c r="J379" s="26">
        <f ca="1">IFERROR(__xludf.DUMMYFUNCTION("ROUND(I379*GOOGLEFINANCE(""KZTEUR""))"),959)</f>
        <v>959</v>
      </c>
      <c r="K379" s="26">
        <f t="shared" ca="1" si="262"/>
        <v>4611</v>
      </c>
      <c r="L379" s="26">
        <f t="shared" ca="1" si="263"/>
        <v>876.09</v>
      </c>
      <c r="M379" s="26">
        <f t="shared" ref="M379:N379" si="386">M$3</f>
        <v>500</v>
      </c>
      <c r="N379" s="26">
        <f t="shared" si="386"/>
        <v>500</v>
      </c>
      <c r="O379" s="26">
        <f ca="1">IFERROR(__xludf.DUMMYFUNCTION("ROUND(GOOGLEFINANCE(""Currency:EURKZT"")*K379)"),2202073)</f>
        <v>2202073</v>
      </c>
      <c r="P379" s="26">
        <f ca="1">IFERROR(__xludf.DUMMYFUNCTION("ROUND(GOOGLEFINANCE(""Currency:EURKZT"")*M379)"),238785)</f>
        <v>238785</v>
      </c>
      <c r="Q379" s="26">
        <f ca="1">IFERROR(__xludf.DUMMYFUNCTION("ROUND(GOOGLEFINANCE(""Currency:EURKZT"")*N379)"),238785)</f>
        <v>238785</v>
      </c>
      <c r="R379" s="26">
        <f t="shared" ca="1" si="265"/>
        <v>264249</v>
      </c>
      <c r="S379" s="26">
        <f t="shared" ca="1" si="266"/>
        <v>2943892</v>
      </c>
      <c r="T379" s="26">
        <f ca="1">IFERROR(__xludf.DUMMYFUNCTION("ROUND(GOOGLEFINANCE(""Currency:EURKZT"")*L379+S379)"),3362286)</f>
        <v>3362286</v>
      </c>
      <c r="U379" s="26">
        <f ca="1">IFERROR(__xludf.DUMMYFUNCTION("D379*GOOGLEFINANCE(""RUBKZT"")*1000/F379"),4004647.87344867)</f>
        <v>4004647.8734486699</v>
      </c>
      <c r="V379" s="27">
        <f t="shared" ca="1" si="267"/>
        <v>0.19104914735054362</v>
      </c>
    </row>
    <row r="380" spans="1:22" ht="12.75" customHeight="1" x14ac:dyDescent="0.2">
      <c r="A380" s="6" t="s">
        <v>73</v>
      </c>
      <c r="B380" s="6" t="s">
        <v>15</v>
      </c>
      <c r="C380" s="7">
        <v>167110</v>
      </c>
      <c r="D380" s="8">
        <v>95674.8</v>
      </c>
      <c r="E380" s="9" t="s">
        <v>16</v>
      </c>
      <c r="F380" s="36">
        <v>208</v>
      </c>
      <c r="G380" s="25"/>
      <c r="H380" s="14">
        <f t="shared" si="261"/>
        <v>0.55000000000000004</v>
      </c>
      <c r="I380" s="25">
        <f ca="1">IFERROR(__xludf.DUMMYFUNCTION("ROUND(D380*GOOGLEFINANCE(""RUBKZT"")*H380)"),410630)</f>
        <v>410630</v>
      </c>
      <c r="J380" s="26">
        <f ca="1">IFERROR(__xludf.DUMMYFUNCTION("ROUND(I380*GOOGLEFINANCE(""KZTEUR""))"),860)</f>
        <v>860</v>
      </c>
      <c r="K380" s="26">
        <f t="shared" ca="1" si="262"/>
        <v>4135</v>
      </c>
      <c r="L380" s="26">
        <f t="shared" ca="1" si="263"/>
        <v>785.65</v>
      </c>
      <c r="M380" s="26">
        <f t="shared" ref="M380:N380" si="387">M$3</f>
        <v>500</v>
      </c>
      <c r="N380" s="26">
        <f t="shared" si="387"/>
        <v>500</v>
      </c>
      <c r="O380" s="26">
        <f ca="1">IFERROR(__xludf.DUMMYFUNCTION("ROUND(GOOGLEFINANCE(""Currency:EURKZT"")*K380)"),1974750)</f>
        <v>1974750</v>
      </c>
      <c r="P380" s="26">
        <f ca="1">IFERROR(__xludf.DUMMYFUNCTION("ROUND(GOOGLEFINANCE(""Currency:EURKZT"")*M380)"),238785)</f>
        <v>238785</v>
      </c>
      <c r="Q380" s="26">
        <f ca="1">IFERROR(__xludf.DUMMYFUNCTION("ROUND(GOOGLEFINANCE(""Currency:EURKZT"")*N380)"),238785)</f>
        <v>238785</v>
      </c>
      <c r="R380" s="26">
        <f t="shared" ca="1" si="265"/>
        <v>236970</v>
      </c>
      <c r="S380" s="26">
        <f t="shared" ca="1" si="266"/>
        <v>2689290</v>
      </c>
      <c r="T380" s="26">
        <f ca="1">IFERROR(__xludf.DUMMYFUNCTION("ROUND(GOOGLEFINANCE(""Currency:EURKZT"")*L380+S380)"),3064493)</f>
        <v>3064493</v>
      </c>
      <c r="U380" s="26">
        <f ca="1">IFERROR(__xludf.DUMMYFUNCTION("D380*GOOGLEFINANCE(""RUBKZT"")*1000/F380"),3589425.4238487)</f>
        <v>3589425.4238486998</v>
      </c>
      <c r="V380" s="27">
        <f t="shared" ca="1" si="267"/>
        <v>0.17129503113523176</v>
      </c>
    </row>
    <row r="381" spans="1:22" ht="12.75" customHeight="1" x14ac:dyDescent="0.2">
      <c r="A381" s="6" t="s">
        <v>67</v>
      </c>
      <c r="B381" s="6" t="s">
        <v>15</v>
      </c>
      <c r="C381" s="7">
        <v>166806</v>
      </c>
      <c r="D381" s="8">
        <v>94526.399999999994</v>
      </c>
      <c r="E381" s="9" t="s">
        <v>16</v>
      </c>
      <c r="F381" s="36">
        <v>208</v>
      </c>
      <c r="G381" s="25"/>
      <c r="H381" s="14">
        <f t="shared" si="261"/>
        <v>0.55000000000000004</v>
      </c>
      <c r="I381" s="25">
        <f ca="1">IFERROR(__xludf.DUMMYFUNCTION("ROUND(D381*GOOGLEFINANCE(""RUBKZT"")*H381)"),405701)</f>
        <v>405701</v>
      </c>
      <c r="J381" s="26">
        <f ca="1">IFERROR(__xludf.DUMMYFUNCTION("ROUND(I381*GOOGLEFINANCE(""KZTEUR""))"),850)</f>
        <v>850</v>
      </c>
      <c r="K381" s="26">
        <f t="shared" ca="1" si="262"/>
        <v>4087</v>
      </c>
      <c r="L381" s="26">
        <f t="shared" ca="1" si="263"/>
        <v>776.53</v>
      </c>
      <c r="M381" s="26">
        <f t="shared" ref="M381:N381" si="388">M$3</f>
        <v>500</v>
      </c>
      <c r="N381" s="26">
        <f t="shared" si="388"/>
        <v>500</v>
      </c>
      <c r="O381" s="26">
        <f ca="1">IFERROR(__xludf.DUMMYFUNCTION("ROUND(GOOGLEFINANCE(""Currency:EURKZT"")*K381)"),1951827)</f>
        <v>1951827</v>
      </c>
      <c r="P381" s="26">
        <f ca="1">IFERROR(__xludf.DUMMYFUNCTION("ROUND(GOOGLEFINANCE(""Currency:EURKZT"")*M381)"),238785)</f>
        <v>238785</v>
      </c>
      <c r="Q381" s="26">
        <f ca="1">IFERROR(__xludf.DUMMYFUNCTION("ROUND(GOOGLEFINANCE(""Currency:EURKZT"")*N381)"),238785)</f>
        <v>238785</v>
      </c>
      <c r="R381" s="26">
        <f t="shared" ca="1" si="265"/>
        <v>234219</v>
      </c>
      <c r="S381" s="26">
        <f t="shared" ca="1" si="266"/>
        <v>2663616</v>
      </c>
      <c r="T381" s="26">
        <f ca="1">IFERROR(__xludf.DUMMYFUNCTION("ROUND(GOOGLEFINANCE(""Currency:EURKZT"")*L381+S381)"),3034463)</f>
        <v>3034463</v>
      </c>
      <c r="U381" s="26">
        <f ca="1">IFERROR(__xludf.DUMMYFUNCTION("D381*GOOGLEFINANCE(""RUBKZT"")*1000/F381"),3546340.97364083)</f>
        <v>3546340.9736408298</v>
      </c>
      <c r="V381" s="27">
        <f t="shared" ca="1" si="267"/>
        <v>0.1686881578852106</v>
      </c>
    </row>
    <row r="382" spans="1:22" ht="12.75" customHeight="1" x14ac:dyDescent="0.2">
      <c r="A382" s="6" t="s">
        <v>92</v>
      </c>
      <c r="B382" s="6" t="s">
        <v>15</v>
      </c>
      <c r="C382" s="7">
        <v>168836</v>
      </c>
      <c r="D382" s="8">
        <v>104694</v>
      </c>
      <c r="E382" s="9" t="s">
        <v>16</v>
      </c>
      <c r="F382" s="36">
        <v>208</v>
      </c>
      <c r="G382" s="25"/>
      <c r="H382" s="14">
        <f t="shared" si="261"/>
        <v>0.55000000000000004</v>
      </c>
      <c r="I382" s="25">
        <f ca="1">IFERROR(__xludf.DUMMYFUNCTION("ROUND(D382*GOOGLEFINANCE(""RUBKZT"")*H382)"),449340)</f>
        <v>449340</v>
      </c>
      <c r="J382" s="26">
        <f ca="1">IFERROR(__xludf.DUMMYFUNCTION("ROUND(I382*GOOGLEFINANCE(""KZTEUR""))"),941)</f>
        <v>941</v>
      </c>
      <c r="K382" s="26">
        <f t="shared" ca="1" si="262"/>
        <v>4524</v>
      </c>
      <c r="L382" s="26">
        <f t="shared" ca="1" si="263"/>
        <v>859.56000000000006</v>
      </c>
      <c r="M382" s="26">
        <f t="shared" ref="M382:N382" si="389">M$3</f>
        <v>500</v>
      </c>
      <c r="N382" s="26">
        <f t="shared" si="389"/>
        <v>500</v>
      </c>
      <c r="O382" s="26">
        <f ca="1">IFERROR(__xludf.DUMMYFUNCTION("ROUND(GOOGLEFINANCE(""Currency:EURKZT"")*K382)"),2160525)</f>
        <v>2160525</v>
      </c>
      <c r="P382" s="26">
        <f ca="1">IFERROR(__xludf.DUMMYFUNCTION("ROUND(GOOGLEFINANCE(""Currency:EURKZT"")*M382)"),238785)</f>
        <v>238785</v>
      </c>
      <c r="Q382" s="26">
        <f ca="1">IFERROR(__xludf.DUMMYFUNCTION("ROUND(GOOGLEFINANCE(""Currency:EURKZT"")*N382)"),238785)</f>
        <v>238785</v>
      </c>
      <c r="R382" s="26">
        <f t="shared" ca="1" si="265"/>
        <v>259263</v>
      </c>
      <c r="S382" s="26">
        <f t="shared" ca="1" si="266"/>
        <v>2897358</v>
      </c>
      <c r="T382" s="26">
        <f ca="1">IFERROR(__xludf.DUMMYFUNCTION("ROUND(GOOGLEFINANCE(""Currency:EURKZT"")*L382+S382)"),3307858)</f>
        <v>3307858</v>
      </c>
      <c r="U382" s="26">
        <f ca="1">IFERROR(__xludf.DUMMYFUNCTION("D382*GOOGLEFINANCE(""RUBKZT"")*1000/F382"),3927798.18013119)</f>
        <v>3927798.18013119</v>
      </c>
      <c r="V382" s="27">
        <f t="shared" ca="1" si="267"/>
        <v>0.18741438723524104</v>
      </c>
    </row>
    <row r="383" spans="1:22" ht="12.75" customHeight="1" x14ac:dyDescent="0.2">
      <c r="A383" s="6" t="s">
        <v>153</v>
      </c>
      <c r="B383" s="6" t="s">
        <v>15</v>
      </c>
      <c r="C383" s="7">
        <v>166793</v>
      </c>
      <c r="D383" s="8">
        <v>80930.399999999994</v>
      </c>
      <c r="E383" s="9" t="s">
        <v>16</v>
      </c>
      <c r="F383" s="36">
        <v>208</v>
      </c>
      <c r="G383" s="25"/>
      <c r="H383" s="14">
        <f t="shared" si="261"/>
        <v>0.55000000000000004</v>
      </c>
      <c r="I383" s="25">
        <f ca="1">IFERROR(__xludf.DUMMYFUNCTION("ROUND(D383*GOOGLEFINANCE(""RUBKZT"")*H383)"),347348)</f>
        <v>347348</v>
      </c>
      <c r="J383" s="26">
        <f ca="1">IFERROR(__xludf.DUMMYFUNCTION("ROUND(I383*GOOGLEFINANCE(""KZTEUR""))"),727)</f>
        <v>727</v>
      </c>
      <c r="K383" s="26">
        <f t="shared" ca="1" si="262"/>
        <v>3495</v>
      </c>
      <c r="L383" s="26">
        <f t="shared" ca="1" si="263"/>
        <v>664.05</v>
      </c>
      <c r="M383" s="26">
        <f t="shared" ref="M383:N383" si="390">M$3</f>
        <v>500</v>
      </c>
      <c r="N383" s="26">
        <f t="shared" si="390"/>
        <v>500</v>
      </c>
      <c r="O383" s="26">
        <f ca="1">IFERROR(__xludf.DUMMYFUNCTION("ROUND(GOOGLEFINANCE(""Currency:EURKZT"")*K383)"),1669106)</f>
        <v>1669106</v>
      </c>
      <c r="P383" s="26">
        <f ca="1">IFERROR(__xludf.DUMMYFUNCTION("ROUND(GOOGLEFINANCE(""Currency:EURKZT"")*M383)"),238785)</f>
        <v>238785</v>
      </c>
      <c r="Q383" s="26">
        <f ca="1">IFERROR(__xludf.DUMMYFUNCTION("ROUND(GOOGLEFINANCE(""Currency:EURKZT"")*N383)"),238785)</f>
        <v>238785</v>
      </c>
      <c r="R383" s="26">
        <f t="shared" ca="1" si="265"/>
        <v>200293</v>
      </c>
      <c r="S383" s="26">
        <f t="shared" ca="1" si="266"/>
        <v>2346969</v>
      </c>
      <c r="T383" s="26">
        <f ca="1">IFERROR(__xludf.DUMMYFUNCTION("ROUND(GOOGLEFINANCE(""Currency:EURKZT"")*L383+S383)"),2664099)</f>
        <v>2664099</v>
      </c>
      <c r="U383" s="26">
        <f ca="1">IFERROR(__xludf.DUMMYFUNCTION("D383*GOOGLEFINANCE(""RUBKZT"")*1000/F383"),3036260.7010649)</f>
        <v>3036260.7010649</v>
      </c>
      <c r="V383" s="27">
        <f t="shared" ca="1" si="267"/>
        <v>0.13969514686387408</v>
      </c>
    </row>
    <row r="384" spans="1:22" ht="12.75" customHeight="1" x14ac:dyDescent="0.2">
      <c r="A384" s="6" t="s">
        <v>199</v>
      </c>
      <c r="B384" s="6" t="s">
        <v>15</v>
      </c>
      <c r="C384" s="7">
        <v>174754</v>
      </c>
      <c r="D384" s="8">
        <v>91968</v>
      </c>
      <c r="E384" s="9" t="s">
        <v>16</v>
      </c>
      <c r="F384" s="36">
        <v>208</v>
      </c>
      <c r="G384" s="25"/>
      <c r="H384" s="14">
        <f t="shared" si="261"/>
        <v>0.55000000000000004</v>
      </c>
      <c r="I384" s="25">
        <f ca="1">IFERROR(__xludf.DUMMYFUNCTION("ROUND(D384*GOOGLEFINANCE(""RUBKZT"")*H384)"),394721)</f>
        <v>394721</v>
      </c>
      <c r="J384" s="26">
        <f ca="1">IFERROR(__xludf.DUMMYFUNCTION("ROUND(I384*GOOGLEFINANCE(""KZTEUR""))"),827)</f>
        <v>827</v>
      </c>
      <c r="K384" s="26">
        <f t="shared" ca="1" si="262"/>
        <v>3976</v>
      </c>
      <c r="L384" s="26">
        <f t="shared" ca="1" si="263"/>
        <v>755.44</v>
      </c>
      <c r="M384" s="26">
        <f t="shared" ref="M384:N384" si="391">M$3</f>
        <v>500</v>
      </c>
      <c r="N384" s="26">
        <f t="shared" si="391"/>
        <v>500</v>
      </c>
      <c r="O384" s="26">
        <f ca="1">IFERROR(__xludf.DUMMYFUNCTION("ROUND(GOOGLEFINANCE(""Currency:EURKZT"")*K384)"),1898817)</f>
        <v>1898817</v>
      </c>
      <c r="P384" s="26">
        <f ca="1">IFERROR(__xludf.DUMMYFUNCTION("ROUND(GOOGLEFINANCE(""Currency:EURKZT"")*M384)"),238785)</f>
        <v>238785</v>
      </c>
      <c r="Q384" s="26">
        <f ca="1">IFERROR(__xludf.DUMMYFUNCTION("ROUND(GOOGLEFINANCE(""Currency:EURKZT"")*N384)"),238785)</f>
        <v>238785</v>
      </c>
      <c r="R384" s="26">
        <f t="shared" ca="1" si="265"/>
        <v>227858</v>
      </c>
      <c r="S384" s="26">
        <f t="shared" ca="1" si="266"/>
        <v>2604245</v>
      </c>
      <c r="T384" s="26">
        <f ca="1">IFERROR(__xludf.DUMMYFUNCTION("ROUND(GOOGLEFINANCE(""Currency:EURKZT"")*L384+S384)"),2965020)</f>
        <v>2965020</v>
      </c>
      <c r="U384" s="26">
        <f ca="1">IFERROR(__xludf.DUMMYFUNCTION("D384*GOOGLEFINANCE(""RUBKZT"")*1000/F384"),3450357.64256123)</f>
        <v>3450357.6425612299</v>
      </c>
      <c r="V384" s="27">
        <f t="shared" ca="1" si="267"/>
        <v>0.16368781409947653</v>
      </c>
    </row>
    <row r="385" spans="1:22" ht="12.75" customHeight="1" x14ac:dyDescent="0.2">
      <c r="A385" s="6" t="s">
        <v>203</v>
      </c>
      <c r="B385" s="6" t="s">
        <v>15</v>
      </c>
      <c r="C385" s="7">
        <v>195325</v>
      </c>
      <c r="D385" s="8">
        <v>126194.4</v>
      </c>
      <c r="E385" s="9" t="s">
        <v>16</v>
      </c>
      <c r="F385" s="36">
        <v>208</v>
      </c>
      <c r="G385" s="25"/>
      <c r="H385" s="14">
        <f t="shared" si="261"/>
        <v>0.55000000000000004</v>
      </c>
      <c r="I385" s="25">
        <f ca="1">IFERROR(__xludf.DUMMYFUNCTION("ROUND(D385*GOOGLEFINANCE(""RUBKZT"")*H385)"),541618)</f>
        <v>541618</v>
      </c>
      <c r="J385" s="26">
        <f ca="1">IFERROR(__xludf.DUMMYFUNCTION("ROUND(I385*GOOGLEFINANCE(""KZTEUR""))"),1134)</f>
        <v>1134</v>
      </c>
      <c r="K385" s="26">
        <f t="shared" ca="1" si="262"/>
        <v>5452</v>
      </c>
      <c r="L385" s="26">
        <f t="shared" ca="1" si="263"/>
        <v>1035.8800000000001</v>
      </c>
      <c r="M385" s="26">
        <f t="shared" ref="M385:N385" si="392">M$3</f>
        <v>500</v>
      </c>
      <c r="N385" s="26">
        <f t="shared" si="392"/>
        <v>500</v>
      </c>
      <c r="O385" s="26">
        <f ca="1">IFERROR(__xludf.DUMMYFUNCTION("ROUND(GOOGLEFINANCE(""Currency:EURKZT"")*K385)"),2603710)</f>
        <v>2603710</v>
      </c>
      <c r="P385" s="26">
        <f ca="1">IFERROR(__xludf.DUMMYFUNCTION("ROUND(GOOGLEFINANCE(""Currency:EURKZT"")*M385)"),238785)</f>
        <v>238785</v>
      </c>
      <c r="Q385" s="26">
        <f ca="1">IFERROR(__xludf.DUMMYFUNCTION("ROUND(GOOGLEFINANCE(""Currency:EURKZT"")*N385)"),238785)</f>
        <v>238785</v>
      </c>
      <c r="R385" s="26">
        <f t="shared" ca="1" si="265"/>
        <v>312445</v>
      </c>
      <c r="S385" s="26">
        <f t="shared" ca="1" si="266"/>
        <v>3393725</v>
      </c>
      <c r="T385" s="26">
        <f ca="1">IFERROR(__xludf.DUMMYFUNCTION("ROUND(GOOGLEFINANCE(""Currency:EURKZT"")*L385+S385)"),3888430)</f>
        <v>3888430</v>
      </c>
      <c r="U385" s="26">
        <f ca="1">IFERROR(__xludf.DUMMYFUNCTION("D385*GOOGLEFINANCE(""RUBKZT"")*1000/F385"),4734427.32785783)</f>
        <v>4734427.3278578296</v>
      </c>
      <c r="V385" s="27">
        <f t="shared" ca="1" si="267"/>
        <v>0.21756784302606183</v>
      </c>
    </row>
    <row r="386" spans="1:22" ht="12.75" customHeight="1" x14ac:dyDescent="0.2">
      <c r="A386" s="6" t="s">
        <v>208</v>
      </c>
      <c r="B386" s="6" t="s">
        <v>15</v>
      </c>
      <c r="C386" s="7">
        <v>173646</v>
      </c>
      <c r="D386" s="8">
        <v>84028.800000000003</v>
      </c>
      <c r="E386" s="9" t="s">
        <v>16</v>
      </c>
      <c r="F386" s="36">
        <v>208</v>
      </c>
      <c r="G386" s="25"/>
      <c r="H386" s="14">
        <f t="shared" si="261"/>
        <v>0.55000000000000004</v>
      </c>
      <c r="I386" s="25">
        <f ca="1">IFERROR(__xludf.DUMMYFUNCTION("ROUND(D386*GOOGLEFINANCE(""RUBKZT"")*H386)"),360646)</f>
        <v>360646</v>
      </c>
      <c r="J386" s="26">
        <f ca="1">IFERROR(__xludf.DUMMYFUNCTION("ROUND(I386*GOOGLEFINANCE(""KZTEUR""))"),755)</f>
        <v>755</v>
      </c>
      <c r="K386" s="26">
        <f t="shared" ca="1" si="262"/>
        <v>3630</v>
      </c>
      <c r="L386" s="26">
        <f t="shared" ca="1" si="263"/>
        <v>689.7</v>
      </c>
      <c r="M386" s="26">
        <f t="shared" ref="M386:N386" si="393">M$3</f>
        <v>500</v>
      </c>
      <c r="N386" s="26">
        <f t="shared" si="393"/>
        <v>500</v>
      </c>
      <c r="O386" s="26">
        <f ca="1">IFERROR(__xludf.DUMMYFUNCTION("ROUND(GOOGLEFINANCE(""Currency:EURKZT"")*K386)"),1733578)</f>
        <v>1733578</v>
      </c>
      <c r="P386" s="26">
        <f ca="1">IFERROR(__xludf.DUMMYFUNCTION("ROUND(GOOGLEFINANCE(""Currency:EURKZT"")*M386)"),238785)</f>
        <v>238785</v>
      </c>
      <c r="Q386" s="26">
        <f ca="1">IFERROR(__xludf.DUMMYFUNCTION("ROUND(GOOGLEFINANCE(""Currency:EURKZT"")*N386)"),238785)</f>
        <v>238785</v>
      </c>
      <c r="R386" s="26">
        <f t="shared" ca="1" si="265"/>
        <v>208029</v>
      </c>
      <c r="S386" s="26">
        <f t="shared" ca="1" si="266"/>
        <v>2419177</v>
      </c>
      <c r="T386" s="26">
        <f ca="1">IFERROR(__xludf.DUMMYFUNCTION("ROUND(GOOGLEFINANCE(""Currency:EURKZT"")*L386+S386)"),2748557)</f>
        <v>2748557</v>
      </c>
      <c r="U386" s="26">
        <f ca="1">IFERROR(__xludf.DUMMYFUNCTION("D386*GOOGLEFINANCE(""RUBKZT"")*1000/F386"),3152503.17801027)</f>
        <v>3152503.17801027</v>
      </c>
      <c r="V386" s="27">
        <f t="shared" ca="1" si="267"/>
        <v>0.14696663667890825</v>
      </c>
    </row>
    <row r="387" spans="1:22" ht="12.75" customHeight="1" x14ac:dyDescent="0.2">
      <c r="A387" s="6" t="s">
        <v>217</v>
      </c>
      <c r="B387" s="6" t="s">
        <v>15</v>
      </c>
      <c r="C387" s="7">
        <v>170320</v>
      </c>
      <c r="D387" s="8">
        <v>117476.4</v>
      </c>
      <c r="E387" s="9" t="s">
        <v>16</v>
      </c>
      <c r="F387" s="36">
        <v>208</v>
      </c>
      <c r="G387" s="25"/>
      <c r="H387" s="14">
        <f t="shared" si="261"/>
        <v>0.55000000000000004</v>
      </c>
      <c r="I387" s="25">
        <f ca="1">IFERROR(__xludf.DUMMYFUNCTION("ROUND(D387*GOOGLEFINANCE(""RUBKZT"")*H387)"),504201)</f>
        <v>504201</v>
      </c>
      <c r="J387" s="26">
        <f ca="1">IFERROR(__xludf.DUMMYFUNCTION("ROUND(I387*GOOGLEFINANCE(""KZTEUR""))"),1056)</f>
        <v>1056</v>
      </c>
      <c r="K387" s="26">
        <f t="shared" ca="1" si="262"/>
        <v>5077</v>
      </c>
      <c r="L387" s="26">
        <f t="shared" ca="1" si="263"/>
        <v>964.63</v>
      </c>
      <c r="M387" s="26">
        <f t="shared" ref="M387:N387" si="394">M$3</f>
        <v>500</v>
      </c>
      <c r="N387" s="26">
        <f t="shared" si="394"/>
        <v>500</v>
      </c>
      <c r="O387" s="26">
        <f ca="1">IFERROR(__xludf.DUMMYFUNCTION("ROUND(GOOGLEFINANCE(""Currency:EURKZT"")*K387)"),2424621)</f>
        <v>2424621</v>
      </c>
      <c r="P387" s="26">
        <f ca="1">IFERROR(__xludf.DUMMYFUNCTION("ROUND(GOOGLEFINANCE(""Currency:EURKZT"")*M387)"),238785)</f>
        <v>238785</v>
      </c>
      <c r="Q387" s="26">
        <f ca="1">IFERROR(__xludf.DUMMYFUNCTION("ROUND(GOOGLEFINANCE(""Currency:EURKZT"")*N387)"),238785)</f>
        <v>238785</v>
      </c>
      <c r="R387" s="26">
        <f t="shared" ca="1" si="265"/>
        <v>290955</v>
      </c>
      <c r="S387" s="26">
        <f t="shared" ca="1" si="266"/>
        <v>3193146</v>
      </c>
      <c r="T387" s="26">
        <f ca="1">IFERROR(__xludf.DUMMYFUNCTION("ROUND(GOOGLEFINANCE(""Currency:EURKZT"")*L387+S387)"),3653824)</f>
        <v>3653824</v>
      </c>
      <c r="U387" s="26">
        <f ca="1">IFERROR(__xludf.DUMMYFUNCTION("D387*GOOGLEFINANCE(""RUBKZT"")*1000/F387"),4407354.67293602)</f>
        <v>4407354.6729360204</v>
      </c>
      <c r="V387" s="27">
        <f t="shared" ca="1" si="267"/>
        <v>0.20623069773914135</v>
      </c>
    </row>
    <row r="388" spans="1:22" ht="12.75" customHeight="1" x14ac:dyDescent="0.2">
      <c r="A388" s="6" t="s">
        <v>233</v>
      </c>
      <c r="B388" s="6" t="s">
        <v>15</v>
      </c>
      <c r="C388" s="7">
        <v>171471</v>
      </c>
      <c r="D388" s="8">
        <v>103153.2</v>
      </c>
      <c r="E388" s="9" t="s">
        <v>16</v>
      </c>
      <c r="F388" s="36">
        <v>208</v>
      </c>
      <c r="G388" s="25"/>
      <c r="H388" s="14">
        <f t="shared" si="261"/>
        <v>0.55000000000000004</v>
      </c>
      <c r="I388" s="25">
        <f ca="1">IFERROR(__xludf.DUMMYFUNCTION("ROUND(D388*GOOGLEFINANCE(""RUBKZT"")*H388)"),442727)</f>
        <v>442727</v>
      </c>
      <c r="J388" s="26">
        <f ca="1">IFERROR(__xludf.DUMMYFUNCTION("ROUND(I388*GOOGLEFINANCE(""KZTEUR""))"),927)</f>
        <v>927</v>
      </c>
      <c r="K388" s="26">
        <f t="shared" ca="1" si="262"/>
        <v>4457</v>
      </c>
      <c r="L388" s="26">
        <f t="shared" ca="1" si="263"/>
        <v>846.83</v>
      </c>
      <c r="M388" s="26">
        <f t="shared" ref="M388:N388" si="395">M$3</f>
        <v>500</v>
      </c>
      <c r="N388" s="26">
        <f t="shared" si="395"/>
        <v>500</v>
      </c>
      <c r="O388" s="26">
        <f ca="1">IFERROR(__xludf.DUMMYFUNCTION("ROUND(GOOGLEFINANCE(""Currency:EURKZT"")*K388)"),2128528)</f>
        <v>2128528</v>
      </c>
      <c r="P388" s="26">
        <f ca="1">IFERROR(__xludf.DUMMYFUNCTION("ROUND(GOOGLEFINANCE(""Currency:EURKZT"")*M388)"),238785)</f>
        <v>238785</v>
      </c>
      <c r="Q388" s="26">
        <f ca="1">IFERROR(__xludf.DUMMYFUNCTION("ROUND(GOOGLEFINANCE(""Currency:EURKZT"")*N388)"),238785)</f>
        <v>238785</v>
      </c>
      <c r="R388" s="26">
        <f t="shared" ca="1" si="265"/>
        <v>255423</v>
      </c>
      <c r="S388" s="26">
        <f t="shared" ca="1" si="266"/>
        <v>2861521</v>
      </c>
      <c r="T388" s="26">
        <f ca="1">IFERROR(__xludf.DUMMYFUNCTION("ROUND(GOOGLEFINANCE(""Currency:EURKZT"")*L388+S388)"),3265941)</f>
        <v>3265941</v>
      </c>
      <c r="U388" s="26">
        <f ca="1">IFERROR(__xludf.DUMMYFUNCTION("D388*GOOGLEFINANCE(""RUBKZT"")*1000/F388"),3869992.08392753)</f>
        <v>3869992.0839275299</v>
      </c>
      <c r="V388" s="27">
        <f t="shared" ca="1" si="267"/>
        <v>0.18495468348250316</v>
      </c>
    </row>
    <row r="389" spans="1:22" ht="12.75" customHeight="1" x14ac:dyDescent="0.2">
      <c r="A389" s="6" t="s">
        <v>264</v>
      </c>
      <c r="B389" s="6" t="s">
        <v>15</v>
      </c>
      <c r="C389" s="7">
        <v>187703</v>
      </c>
      <c r="D389" s="8">
        <v>96772.800000000003</v>
      </c>
      <c r="E389" s="9" t="s">
        <v>16</v>
      </c>
      <c r="F389" s="36">
        <v>208</v>
      </c>
      <c r="G389" s="25"/>
      <c r="H389" s="14">
        <f t="shared" si="261"/>
        <v>0.55000000000000004</v>
      </c>
      <c r="I389" s="25">
        <f ca="1">IFERROR(__xludf.DUMMYFUNCTION("ROUND(D389*GOOGLEFINANCE(""RUBKZT"")*H389)"),415343)</f>
        <v>415343</v>
      </c>
      <c r="J389" s="26">
        <f ca="1">IFERROR(__xludf.DUMMYFUNCTION("ROUND(I389*GOOGLEFINANCE(""KZTEUR""))"),870)</f>
        <v>870</v>
      </c>
      <c r="K389" s="26">
        <f t="shared" ca="1" si="262"/>
        <v>4183</v>
      </c>
      <c r="L389" s="26">
        <f t="shared" ca="1" si="263"/>
        <v>794.77</v>
      </c>
      <c r="M389" s="26">
        <f t="shared" ref="M389:N389" si="396">M$3</f>
        <v>500</v>
      </c>
      <c r="N389" s="26">
        <f t="shared" si="396"/>
        <v>500</v>
      </c>
      <c r="O389" s="26">
        <f ca="1">IFERROR(__xludf.DUMMYFUNCTION("ROUND(GOOGLEFINANCE(""Currency:EURKZT"")*K389)"),1997674)</f>
        <v>1997674</v>
      </c>
      <c r="P389" s="26">
        <f ca="1">IFERROR(__xludf.DUMMYFUNCTION("ROUND(GOOGLEFINANCE(""Currency:EURKZT"")*M389)"),238785)</f>
        <v>238785</v>
      </c>
      <c r="Q389" s="26">
        <f ca="1">IFERROR(__xludf.DUMMYFUNCTION("ROUND(GOOGLEFINANCE(""Currency:EURKZT"")*N389)"),238785)</f>
        <v>238785</v>
      </c>
      <c r="R389" s="26">
        <f t="shared" ca="1" si="265"/>
        <v>239721</v>
      </c>
      <c r="S389" s="26">
        <f t="shared" ca="1" si="266"/>
        <v>2714965</v>
      </c>
      <c r="T389" s="26">
        <f ca="1">IFERROR(__xludf.DUMMYFUNCTION("ROUND(GOOGLEFINANCE(""Currency:EURKZT"")*L389+S389)"),3094523)</f>
        <v>3094523</v>
      </c>
      <c r="U389" s="26">
        <f ca="1">IFERROR(__xludf.DUMMYFUNCTION("D389*GOOGLEFINANCE(""RUBKZT"")*1000/F389"),3630619.02044243)</f>
        <v>3630619.0204424299</v>
      </c>
      <c r="V389" s="27">
        <f t="shared" ca="1" si="267"/>
        <v>0.17324027659268648</v>
      </c>
    </row>
    <row r="390" spans="1:22" ht="12.75" customHeight="1" x14ac:dyDescent="0.2">
      <c r="A390" s="6" t="s">
        <v>356</v>
      </c>
      <c r="B390" s="6" t="s">
        <v>15</v>
      </c>
      <c r="C390" s="7">
        <v>196134</v>
      </c>
      <c r="D390" s="8">
        <v>118328.4</v>
      </c>
      <c r="E390" s="9" t="s">
        <v>7</v>
      </c>
      <c r="F390" s="36">
        <v>208</v>
      </c>
      <c r="G390" s="25"/>
      <c r="H390" s="14">
        <f t="shared" si="261"/>
        <v>0.55000000000000004</v>
      </c>
      <c r="I390" s="25">
        <f ca="1">IFERROR(__xludf.DUMMYFUNCTION("ROUND(D390*GOOGLEFINANCE(""RUBKZT"")*H390)"),507858)</f>
        <v>507858</v>
      </c>
      <c r="J390" s="26">
        <f ca="1">IFERROR(__xludf.DUMMYFUNCTION("ROUND(I390*GOOGLEFINANCE(""KZTEUR""))"),1064)</f>
        <v>1064</v>
      </c>
      <c r="K390" s="26">
        <f t="shared" ca="1" si="262"/>
        <v>5115</v>
      </c>
      <c r="L390" s="26">
        <f t="shared" ca="1" si="263"/>
        <v>971.85</v>
      </c>
      <c r="M390" s="26">
        <f t="shared" ref="M390:N390" si="397">M$3</f>
        <v>500</v>
      </c>
      <c r="N390" s="26">
        <f t="shared" si="397"/>
        <v>500</v>
      </c>
      <c r="O390" s="26">
        <f ca="1">IFERROR(__xludf.DUMMYFUNCTION("ROUND(GOOGLEFINANCE(""Currency:EURKZT"")*K390)"),2442769)</f>
        <v>2442769</v>
      </c>
      <c r="P390" s="26">
        <f ca="1">IFERROR(__xludf.DUMMYFUNCTION("ROUND(GOOGLEFINANCE(""Currency:EURKZT"")*M390)"),238785)</f>
        <v>238785</v>
      </c>
      <c r="Q390" s="26">
        <f ca="1">IFERROR(__xludf.DUMMYFUNCTION("ROUND(GOOGLEFINANCE(""Currency:EURKZT"")*N390)"),238785)</f>
        <v>238785</v>
      </c>
      <c r="R390" s="26">
        <f t="shared" ca="1" si="265"/>
        <v>293132</v>
      </c>
      <c r="S390" s="26">
        <f t="shared" ca="1" si="266"/>
        <v>3213471</v>
      </c>
      <c r="T390" s="26">
        <f ca="1">IFERROR(__xludf.DUMMYFUNCTION("ROUND(GOOGLEFINANCE(""Currency:EURKZT"")*L390+S390)"),3677597)</f>
        <v>3677597</v>
      </c>
      <c r="U390" s="26">
        <f ca="1">IFERROR(__xludf.DUMMYFUNCTION("D390*GOOGLEFINANCE(""RUBKZT"")*1000/F390"),4439319.10307979)</f>
        <v>4439319.1030797902</v>
      </c>
      <c r="V390" s="27">
        <f t="shared" ca="1" si="267"/>
        <v>0.20712495226632779</v>
      </c>
    </row>
    <row r="391" spans="1:22" ht="12.75" customHeight="1" x14ac:dyDescent="0.2">
      <c r="A391" s="6" t="s">
        <v>355</v>
      </c>
      <c r="B391" s="6" t="s">
        <v>15</v>
      </c>
      <c r="C391" s="7">
        <v>196116</v>
      </c>
      <c r="D391" s="8">
        <v>111748.8</v>
      </c>
      <c r="E391" s="9" t="s">
        <v>7</v>
      </c>
      <c r="F391" s="36">
        <v>208</v>
      </c>
      <c r="G391" s="25"/>
      <c r="H391" s="14">
        <f t="shared" si="261"/>
        <v>0.55000000000000004</v>
      </c>
      <c r="I391" s="25">
        <f ca="1">IFERROR(__xludf.DUMMYFUNCTION("ROUND(D391*GOOGLEFINANCE(""RUBKZT"")*H391)"),479619)</f>
        <v>479619</v>
      </c>
      <c r="J391" s="26">
        <f ca="1">IFERROR(__xludf.DUMMYFUNCTION("ROUND(I391*GOOGLEFINANCE(""KZTEUR""))"),1004)</f>
        <v>1004</v>
      </c>
      <c r="K391" s="26">
        <f t="shared" ca="1" si="262"/>
        <v>4827</v>
      </c>
      <c r="L391" s="26">
        <f t="shared" ca="1" si="263"/>
        <v>917.13</v>
      </c>
      <c r="M391" s="26">
        <f t="shared" ref="M391:N391" si="398">M$3</f>
        <v>500</v>
      </c>
      <c r="N391" s="26">
        <f t="shared" si="398"/>
        <v>500</v>
      </c>
      <c r="O391" s="26">
        <f ca="1">IFERROR(__xludf.DUMMYFUNCTION("ROUND(GOOGLEFINANCE(""Currency:EURKZT"")*K391)"),2305229)</f>
        <v>2305229</v>
      </c>
      <c r="P391" s="26">
        <f ca="1">IFERROR(__xludf.DUMMYFUNCTION("ROUND(GOOGLEFINANCE(""Currency:EURKZT"")*M391)"),238785)</f>
        <v>238785</v>
      </c>
      <c r="Q391" s="26">
        <f ca="1">IFERROR(__xludf.DUMMYFUNCTION("ROUND(GOOGLEFINANCE(""Currency:EURKZT"")*N391)"),238785)</f>
        <v>238785</v>
      </c>
      <c r="R391" s="26">
        <f t="shared" ca="1" si="265"/>
        <v>276627</v>
      </c>
      <c r="S391" s="26">
        <f t="shared" ca="1" si="266"/>
        <v>3059426</v>
      </c>
      <c r="T391" s="26">
        <f ca="1">IFERROR(__xludf.DUMMYFUNCTION("ROUND(GOOGLEFINANCE(""Currency:EURKZT"")*L391+S391)"),3497419)</f>
        <v>3497419</v>
      </c>
      <c r="U391" s="26">
        <f ca="1">IFERROR(__xludf.DUMMYFUNCTION("D391*GOOGLEFINANCE(""RUBKZT"")*1000/F391"),4192472.66578643)</f>
        <v>4192472.6657864298</v>
      </c>
      <c r="V391" s="27">
        <f t="shared" ca="1" si="267"/>
        <v>0.19873331327657046</v>
      </c>
    </row>
    <row r="392" spans="1:22" ht="12.75" customHeight="1" x14ac:dyDescent="0.2">
      <c r="A392" s="6" t="s">
        <v>358</v>
      </c>
      <c r="B392" s="6" t="s">
        <v>15</v>
      </c>
      <c r="C392" s="7">
        <v>196148</v>
      </c>
      <c r="D392" s="8">
        <v>112801.2</v>
      </c>
      <c r="E392" s="9" t="s">
        <v>7</v>
      </c>
      <c r="F392" s="36">
        <v>208</v>
      </c>
      <c r="G392" s="25"/>
      <c r="H392" s="14">
        <f t="shared" si="261"/>
        <v>0.55000000000000004</v>
      </c>
      <c r="I392" s="25">
        <f ca="1">IFERROR(__xludf.DUMMYFUNCTION("ROUND(D392*GOOGLEFINANCE(""RUBKZT"")*H392)"),484136)</f>
        <v>484136</v>
      </c>
      <c r="J392" s="26">
        <f ca="1">IFERROR(__xludf.DUMMYFUNCTION("ROUND(I392*GOOGLEFINANCE(""KZTEUR""))"),1014)</f>
        <v>1014</v>
      </c>
      <c r="K392" s="26">
        <f t="shared" ca="1" si="262"/>
        <v>4875</v>
      </c>
      <c r="L392" s="26">
        <f t="shared" ca="1" si="263"/>
        <v>926.25</v>
      </c>
      <c r="M392" s="26">
        <f t="shared" ref="M392:N392" si="399">M$3</f>
        <v>500</v>
      </c>
      <c r="N392" s="26">
        <f t="shared" si="399"/>
        <v>500</v>
      </c>
      <c r="O392" s="26">
        <f ca="1">IFERROR(__xludf.DUMMYFUNCTION("ROUND(GOOGLEFINANCE(""Currency:EURKZT"")*K392)"),2328152)</f>
        <v>2328152</v>
      </c>
      <c r="P392" s="26">
        <f ca="1">IFERROR(__xludf.DUMMYFUNCTION("ROUND(GOOGLEFINANCE(""Currency:EURKZT"")*M392)"),238785)</f>
        <v>238785</v>
      </c>
      <c r="Q392" s="26">
        <f ca="1">IFERROR(__xludf.DUMMYFUNCTION("ROUND(GOOGLEFINANCE(""Currency:EURKZT"")*N392)"),238785)</f>
        <v>238785</v>
      </c>
      <c r="R392" s="26">
        <f t="shared" ca="1" si="265"/>
        <v>279378</v>
      </c>
      <c r="S392" s="26">
        <f t="shared" ca="1" si="266"/>
        <v>3085100</v>
      </c>
      <c r="T392" s="26">
        <f ca="1">IFERROR(__xludf.DUMMYFUNCTION("ROUND(GOOGLEFINANCE(""Currency:EURKZT"")*L392+S392)"),3527449)</f>
        <v>3527449</v>
      </c>
      <c r="U392" s="26">
        <f ca="1">IFERROR(__xludf.DUMMYFUNCTION("D392*GOOGLEFINANCE(""RUBKZT"")*1000/F392"),4231955.4900626)</f>
        <v>4231955.4900626</v>
      </c>
      <c r="V392" s="27">
        <f t="shared" ca="1" si="267"/>
        <v>0.1997212404949299</v>
      </c>
    </row>
    <row r="393" spans="1:22" ht="12.75" customHeight="1" x14ac:dyDescent="0.2">
      <c r="A393" s="6" t="s">
        <v>364</v>
      </c>
      <c r="B393" s="6" t="s">
        <v>15</v>
      </c>
      <c r="C393" s="7">
        <v>211435</v>
      </c>
      <c r="D393" s="8">
        <v>115903.2</v>
      </c>
      <c r="E393" s="9" t="s">
        <v>7</v>
      </c>
      <c r="F393" s="36">
        <v>208</v>
      </c>
      <c r="G393" s="25"/>
      <c r="H393" s="14">
        <f t="shared" si="261"/>
        <v>0.55000000000000004</v>
      </c>
      <c r="I393" s="25">
        <f ca="1">IFERROR(__xludf.DUMMYFUNCTION("ROUND(D393*GOOGLEFINANCE(""RUBKZT"")*H393)"),497449)</f>
        <v>497449</v>
      </c>
      <c r="J393" s="26">
        <f ca="1">IFERROR(__xludf.DUMMYFUNCTION("ROUND(I393*GOOGLEFINANCE(""KZTEUR""))"),1042)</f>
        <v>1042</v>
      </c>
      <c r="K393" s="26">
        <f t="shared" ca="1" si="262"/>
        <v>5010</v>
      </c>
      <c r="L393" s="26">
        <f t="shared" ca="1" si="263"/>
        <v>951.9</v>
      </c>
      <c r="M393" s="26">
        <f t="shared" ref="M393:N393" si="400">M$3</f>
        <v>500</v>
      </c>
      <c r="N393" s="26">
        <f t="shared" si="400"/>
        <v>500</v>
      </c>
      <c r="O393" s="26">
        <f ca="1">IFERROR(__xludf.DUMMYFUNCTION("ROUND(GOOGLEFINANCE(""Currency:EURKZT"")*K393)"),2392624)</f>
        <v>2392624</v>
      </c>
      <c r="P393" s="26">
        <f ca="1">IFERROR(__xludf.DUMMYFUNCTION("ROUND(GOOGLEFINANCE(""Currency:EURKZT"")*M393)"),238785)</f>
        <v>238785</v>
      </c>
      <c r="Q393" s="26">
        <f ca="1">IFERROR(__xludf.DUMMYFUNCTION("ROUND(GOOGLEFINANCE(""Currency:EURKZT"")*N393)"),238785)</f>
        <v>238785</v>
      </c>
      <c r="R393" s="26">
        <f t="shared" ca="1" si="265"/>
        <v>287115</v>
      </c>
      <c r="S393" s="26">
        <f t="shared" ca="1" si="266"/>
        <v>3157309</v>
      </c>
      <c r="T393" s="26">
        <f ca="1">IFERROR(__xludf.DUMMYFUNCTION("ROUND(GOOGLEFINANCE(""Currency:EURKZT"")*L393+S393)"),3611908)</f>
        <v>3611908</v>
      </c>
      <c r="U393" s="26">
        <f ca="1">IFERROR(__xludf.DUMMYFUNCTION("D393*GOOGLEFINANCE(""RUBKZT"")*1000/F393"),4348333.02798041)</f>
        <v>4348333.0279804096</v>
      </c>
      <c r="V393" s="27">
        <f t="shared" ca="1" si="267"/>
        <v>0.20388809127486346</v>
      </c>
    </row>
    <row r="394" spans="1:22" ht="12.75" customHeight="1" x14ac:dyDescent="0.2">
      <c r="A394" s="6" t="s">
        <v>413</v>
      </c>
      <c r="B394" s="6" t="s">
        <v>15</v>
      </c>
      <c r="C394" s="7">
        <v>203550</v>
      </c>
      <c r="D394" s="8">
        <v>76806</v>
      </c>
      <c r="E394" s="9" t="s">
        <v>16</v>
      </c>
      <c r="F394" s="36">
        <v>208</v>
      </c>
      <c r="G394" s="25"/>
      <c r="H394" s="14">
        <f t="shared" si="261"/>
        <v>0.55000000000000004</v>
      </c>
      <c r="I394" s="25">
        <f ca="1">IFERROR(__xludf.DUMMYFUNCTION("ROUND(D394*GOOGLEFINANCE(""RUBKZT"")*H394)"),329647)</f>
        <v>329647</v>
      </c>
      <c r="J394" s="26">
        <f ca="1">IFERROR(__xludf.DUMMYFUNCTION("ROUND(I394*GOOGLEFINANCE(""KZTEUR""))"),690)</f>
        <v>690</v>
      </c>
      <c r="K394" s="26">
        <f t="shared" ca="1" si="262"/>
        <v>3317</v>
      </c>
      <c r="L394" s="26">
        <f t="shared" ca="1" si="263"/>
        <v>630.23</v>
      </c>
      <c r="M394" s="26">
        <f t="shared" ref="M394:N394" si="401">M$3</f>
        <v>500</v>
      </c>
      <c r="N394" s="26">
        <f t="shared" si="401"/>
        <v>500</v>
      </c>
      <c r="O394" s="26">
        <f ca="1">IFERROR(__xludf.DUMMYFUNCTION("ROUND(GOOGLEFINANCE(""Currency:EURKZT"")*K394)"),1584098)</f>
        <v>1584098</v>
      </c>
      <c r="P394" s="26">
        <f ca="1">IFERROR(__xludf.DUMMYFUNCTION("ROUND(GOOGLEFINANCE(""Currency:EURKZT"")*M394)"),238785)</f>
        <v>238785</v>
      </c>
      <c r="Q394" s="26">
        <f ca="1">IFERROR(__xludf.DUMMYFUNCTION("ROUND(GOOGLEFINANCE(""Currency:EURKZT"")*N394)"),238785)</f>
        <v>238785</v>
      </c>
      <c r="R394" s="26">
        <f t="shared" ca="1" si="265"/>
        <v>190092</v>
      </c>
      <c r="S394" s="26">
        <f t="shared" ca="1" si="266"/>
        <v>2251760</v>
      </c>
      <c r="T394" s="26">
        <f ca="1">IFERROR(__xludf.DUMMYFUNCTION("ROUND(GOOGLEFINANCE(""Currency:EURKZT"")*L394+S394)"),2552739)</f>
        <v>2552739</v>
      </c>
      <c r="U394" s="26">
        <f ca="1">IFERROR(__xludf.DUMMYFUNCTION("D394*GOOGLEFINANCE(""RUBKZT"")*1000/F394"),2881525.84697457)</f>
        <v>2881525.8469745698</v>
      </c>
      <c r="V394" s="27">
        <f t="shared" ca="1" si="267"/>
        <v>0.12879767456624819</v>
      </c>
    </row>
    <row r="395" spans="1:22" ht="12.75" customHeight="1" x14ac:dyDescent="0.2">
      <c r="A395" s="6" t="s">
        <v>414</v>
      </c>
      <c r="B395" s="6" t="s">
        <v>15</v>
      </c>
      <c r="C395" s="7">
        <v>203556</v>
      </c>
      <c r="D395" s="8">
        <v>83227.199999999997</v>
      </c>
      <c r="E395" s="9" t="s">
        <v>16</v>
      </c>
      <c r="F395" s="36">
        <v>208</v>
      </c>
      <c r="G395" s="25"/>
      <c r="H395" s="14">
        <f t="shared" si="261"/>
        <v>0.55000000000000004</v>
      </c>
      <c r="I395" s="25">
        <f ca="1">IFERROR(__xludf.DUMMYFUNCTION("ROUND(D395*GOOGLEFINANCE(""RUBKZT"")*H395)"),357206)</f>
        <v>357206</v>
      </c>
      <c r="J395" s="26">
        <f ca="1">IFERROR(__xludf.DUMMYFUNCTION("ROUND(I395*GOOGLEFINANCE(""KZTEUR""))"),748)</f>
        <v>748</v>
      </c>
      <c r="K395" s="26">
        <f t="shared" ca="1" si="262"/>
        <v>3596</v>
      </c>
      <c r="L395" s="26">
        <f t="shared" ca="1" si="263"/>
        <v>683.24</v>
      </c>
      <c r="M395" s="26">
        <f t="shared" ref="M395:N395" si="402">M$3</f>
        <v>500</v>
      </c>
      <c r="N395" s="26">
        <f t="shared" si="402"/>
        <v>500</v>
      </c>
      <c r="O395" s="26">
        <f ca="1">IFERROR(__xludf.DUMMYFUNCTION("ROUND(GOOGLEFINANCE(""Currency:EURKZT"")*K395)"),1717340)</f>
        <v>1717340</v>
      </c>
      <c r="P395" s="26">
        <f ca="1">IFERROR(__xludf.DUMMYFUNCTION("ROUND(GOOGLEFINANCE(""Currency:EURKZT"")*M395)"),238785)</f>
        <v>238785</v>
      </c>
      <c r="Q395" s="26">
        <f ca="1">IFERROR(__xludf.DUMMYFUNCTION("ROUND(GOOGLEFINANCE(""Currency:EURKZT"")*N395)"),238785)</f>
        <v>238785</v>
      </c>
      <c r="R395" s="26">
        <f t="shared" ca="1" si="265"/>
        <v>206081</v>
      </c>
      <c r="S395" s="26">
        <f t="shared" ca="1" si="266"/>
        <v>2400991</v>
      </c>
      <c r="T395" s="26">
        <f ca="1">IFERROR(__xludf.DUMMYFUNCTION("ROUND(GOOGLEFINANCE(""Currency:EURKZT"")*L395+S395)"),2727286)</f>
        <v>2727286</v>
      </c>
      <c r="U395" s="26">
        <f ca="1">IFERROR(__xludf.DUMMYFUNCTION("D395*GOOGLEFINANCE(""RUBKZT"")*1000/F395"),3122429.60148064)</f>
        <v>3122429.60148064</v>
      </c>
      <c r="V395" s="27">
        <f t="shared" ca="1" si="267"/>
        <v>0.14488528210119511</v>
      </c>
    </row>
    <row r="396" spans="1:22" ht="12.75" customHeight="1" x14ac:dyDescent="0.2">
      <c r="A396" s="6" t="s">
        <v>415</v>
      </c>
      <c r="B396" s="6" t="s">
        <v>15</v>
      </c>
      <c r="C396" s="7">
        <v>203553</v>
      </c>
      <c r="D396" s="8">
        <v>79533.599999999991</v>
      </c>
      <c r="E396" s="9" t="s">
        <v>16</v>
      </c>
      <c r="F396" s="36">
        <v>208</v>
      </c>
      <c r="G396" s="25"/>
      <c r="H396" s="14">
        <f t="shared" si="261"/>
        <v>0.55000000000000004</v>
      </c>
      <c r="I396" s="25">
        <f ca="1">IFERROR(__xludf.DUMMYFUNCTION("ROUND(D396*GOOGLEFINANCE(""RUBKZT"")*H396)"),341353)</f>
        <v>341353</v>
      </c>
      <c r="J396" s="26">
        <f ca="1">IFERROR(__xludf.DUMMYFUNCTION("ROUND(I396*GOOGLEFINANCE(""KZTEUR""))"),715)</f>
        <v>715</v>
      </c>
      <c r="K396" s="26">
        <f t="shared" ca="1" si="262"/>
        <v>3438</v>
      </c>
      <c r="L396" s="26">
        <f t="shared" ca="1" si="263"/>
        <v>653.22</v>
      </c>
      <c r="M396" s="26">
        <f t="shared" ref="M396:N396" si="403">M$3</f>
        <v>500</v>
      </c>
      <c r="N396" s="26">
        <f t="shared" si="403"/>
        <v>500</v>
      </c>
      <c r="O396" s="26">
        <f ca="1">IFERROR(__xludf.DUMMYFUNCTION("ROUND(GOOGLEFINANCE(""Currency:EURKZT"")*K396)"),1641884)</f>
        <v>1641884</v>
      </c>
      <c r="P396" s="26">
        <f ca="1">IFERROR(__xludf.DUMMYFUNCTION("ROUND(GOOGLEFINANCE(""Currency:EURKZT"")*M396)"),238785)</f>
        <v>238785</v>
      </c>
      <c r="Q396" s="26">
        <f ca="1">IFERROR(__xludf.DUMMYFUNCTION("ROUND(GOOGLEFINANCE(""Currency:EURKZT"")*N396)"),238785)</f>
        <v>238785</v>
      </c>
      <c r="R396" s="26">
        <f t="shared" ca="1" si="265"/>
        <v>197026</v>
      </c>
      <c r="S396" s="26">
        <f t="shared" ca="1" si="266"/>
        <v>2316480</v>
      </c>
      <c r="T396" s="26">
        <f ca="1">IFERROR(__xludf.DUMMYFUNCTION("ROUND(GOOGLEFINANCE(""Currency:EURKZT"")*L396+S396)"),2628438)</f>
        <v>2628438</v>
      </c>
      <c r="U396" s="26">
        <f ca="1">IFERROR(__xludf.DUMMYFUNCTION("D396*GOOGLEFINANCE(""RUBKZT"")*1000/F396"),2983857.04375878)</f>
        <v>2983857.0437587802</v>
      </c>
      <c r="V396" s="27">
        <f t="shared" ca="1" si="267"/>
        <v>0.13522063056415265</v>
      </c>
    </row>
    <row r="397" spans="1:22" ht="12.75" customHeight="1" x14ac:dyDescent="0.2">
      <c r="A397" s="6" t="s">
        <v>416</v>
      </c>
      <c r="B397" s="6" t="s">
        <v>15</v>
      </c>
      <c r="C397" s="7">
        <v>203542</v>
      </c>
      <c r="D397" s="8">
        <v>78314.399999999994</v>
      </c>
      <c r="E397" s="9" t="s">
        <v>7</v>
      </c>
      <c r="F397" s="36">
        <v>208</v>
      </c>
      <c r="G397" s="25"/>
      <c r="H397" s="14">
        <f t="shared" si="261"/>
        <v>0.55000000000000004</v>
      </c>
      <c r="I397" s="25">
        <f ca="1">IFERROR(__xludf.DUMMYFUNCTION("ROUND(D397*GOOGLEFINANCE(""RUBKZT"")*H397)"),336121)</f>
        <v>336121</v>
      </c>
      <c r="J397" s="26">
        <f ca="1">IFERROR(__xludf.DUMMYFUNCTION("ROUND(I397*GOOGLEFINANCE(""KZTEUR""))"),704)</f>
        <v>704</v>
      </c>
      <c r="K397" s="26">
        <f t="shared" ca="1" si="262"/>
        <v>3385</v>
      </c>
      <c r="L397" s="26">
        <f t="shared" ca="1" si="263"/>
        <v>643.15</v>
      </c>
      <c r="M397" s="26">
        <f t="shared" ref="M397:N397" si="404">M$3</f>
        <v>500</v>
      </c>
      <c r="N397" s="26">
        <f t="shared" si="404"/>
        <v>500</v>
      </c>
      <c r="O397" s="26">
        <f ca="1">IFERROR(__xludf.DUMMYFUNCTION("ROUND(GOOGLEFINANCE(""Currency:EURKZT"")*K397)"),1616573)</f>
        <v>1616573</v>
      </c>
      <c r="P397" s="26">
        <f ca="1">IFERROR(__xludf.DUMMYFUNCTION("ROUND(GOOGLEFINANCE(""Currency:EURKZT"")*M397)"),238785)</f>
        <v>238785</v>
      </c>
      <c r="Q397" s="26">
        <f ca="1">IFERROR(__xludf.DUMMYFUNCTION("ROUND(GOOGLEFINANCE(""Currency:EURKZT"")*N397)"),238785)</f>
        <v>238785</v>
      </c>
      <c r="R397" s="26">
        <f t="shared" ca="1" si="265"/>
        <v>193989</v>
      </c>
      <c r="S397" s="26">
        <f t="shared" ca="1" si="266"/>
        <v>2288132</v>
      </c>
      <c r="T397" s="26">
        <f ca="1">IFERROR(__xludf.DUMMYFUNCTION("ROUND(GOOGLEFINANCE(""Currency:EURKZT"")*L397+S397)"),2595281)</f>
        <v>2595281</v>
      </c>
      <c r="U397" s="26">
        <f ca="1">IFERROR(__xludf.DUMMYFUNCTION("D397*GOOGLEFINANCE(""RUBKZT"")*1000/F397"),2938116.39442629)</f>
        <v>2938116.3944262899</v>
      </c>
      <c r="V397" s="27">
        <f t="shared" ca="1" si="267"/>
        <v>0.1320995277298643</v>
      </c>
    </row>
    <row r="398" spans="1:22" ht="12.75" customHeight="1" x14ac:dyDescent="0.2">
      <c r="A398" s="6" t="s">
        <v>417</v>
      </c>
      <c r="B398" s="6" t="s">
        <v>15</v>
      </c>
      <c r="C398" s="7">
        <v>203545</v>
      </c>
      <c r="D398" s="8">
        <v>96216</v>
      </c>
      <c r="E398" s="9" t="s">
        <v>7</v>
      </c>
      <c r="F398" s="36">
        <v>208</v>
      </c>
      <c r="G398" s="25"/>
      <c r="H398" s="14">
        <f t="shared" si="261"/>
        <v>0.55000000000000004</v>
      </c>
      <c r="I398" s="25">
        <f ca="1">IFERROR(__xludf.DUMMYFUNCTION("ROUND(D398*GOOGLEFINANCE(""RUBKZT"")*H398)"),412953)</f>
        <v>412953</v>
      </c>
      <c r="J398" s="26">
        <f ca="1">IFERROR(__xludf.DUMMYFUNCTION("ROUND(I398*GOOGLEFINANCE(""KZTEUR""))"),865)</f>
        <v>865</v>
      </c>
      <c r="K398" s="26">
        <f t="shared" ca="1" si="262"/>
        <v>4159</v>
      </c>
      <c r="L398" s="26">
        <f t="shared" ca="1" si="263"/>
        <v>790.21</v>
      </c>
      <c r="M398" s="26">
        <f t="shared" ref="M398:N398" si="405">M$3</f>
        <v>500</v>
      </c>
      <c r="N398" s="26">
        <f t="shared" si="405"/>
        <v>500</v>
      </c>
      <c r="O398" s="26">
        <f ca="1">IFERROR(__xludf.DUMMYFUNCTION("ROUND(GOOGLEFINANCE(""Currency:EURKZT"")*K398)"),1986212)</f>
        <v>1986212</v>
      </c>
      <c r="P398" s="26">
        <f ca="1">IFERROR(__xludf.DUMMYFUNCTION("ROUND(GOOGLEFINANCE(""Currency:EURKZT"")*M398)"),238785)</f>
        <v>238785</v>
      </c>
      <c r="Q398" s="26">
        <f ca="1">IFERROR(__xludf.DUMMYFUNCTION("ROUND(GOOGLEFINANCE(""Currency:EURKZT"")*N398)"),238785)</f>
        <v>238785</v>
      </c>
      <c r="R398" s="26">
        <f t="shared" ca="1" si="265"/>
        <v>238345</v>
      </c>
      <c r="S398" s="26">
        <f t="shared" ca="1" si="266"/>
        <v>2702127</v>
      </c>
      <c r="T398" s="26">
        <f ca="1">IFERROR(__xludf.DUMMYFUNCTION("ROUND(GOOGLEFINANCE(""Currency:EURKZT"")*L398+S398)"),3079507)</f>
        <v>3079507</v>
      </c>
      <c r="U398" s="26">
        <f ca="1">IFERROR(__xludf.DUMMYFUNCTION("D398*GOOGLEFINANCE(""RUBKZT"")*1000/F398"),3609729.59003861)</f>
        <v>3609729.5900386102</v>
      </c>
      <c r="V398" s="27">
        <f t="shared" ca="1" si="267"/>
        <v>0.17217775119154141</v>
      </c>
    </row>
    <row r="399" spans="1:22" ht="12.75" customHeight="1" x14ac:dyDescent="0.2">
      <c r="A399" s="6" t="s">
        <v>437</v>
      </c>
      <c r="B399" s="6" t="s">
        <v>15</v>
      </c>
      <c r="C399" s="7">
        <v>209573</v>
      </c>
      <c r="D399" s="8">
        <v>93447.599999999991</v>
      </c>
      <c r="E399" s="9" t="s">
        <v>16</v>
      </c>
      <c r="F399" s="36">
        <v>208</v>
      </c>
      <c r="G399" s="25"/>
      <c r="H399" s="14">
        <f t="shared" si="261"/>
        <v>0.55000000000000004</v>
      </c>
      <c r="I399" s="25">
        <f ca="1">IFERROR(__xludf.DUMMYFUNCTION("ROUND(D399*GOOGLEFINANCE(""RUBKZT"")*H399)"),401071)</f>
        <v>401071</v>
      </c>
      <c r="J399" s="26">
        <f ca="1">IFERROR(__xludf.DUMMYFUNCTION("ROUND(I399*GOOGLEFINANCE(""KZTEUR""))"),840)</f>
        <v>840</v>
      </c>
      <c r="K399" s="26">
        <f t="shared" ca="1" si="262"/>
        <v>4038</v>
      </c>
      <c r="L399" s="26">
        <f t="shared" ca="1" si="263"/>
        <v>767.22</v>
      </c>
      <c r="M399" s="26">
        <f t="shared" ref="M399:N399" si="406">M$3</f>
        <v>500</v>
      </c>
      <c r="N399" s="26">
        <f t="shared" si="406"/>
        <v>500</v>
      </c>
      <c r="O399" s="26">
        <f ca="1">IFERROR(__xludf.DUMMYFUNCTION("ROUND(GOOGLEFINANCE(""Currency:EURKZT"")*K399)"),1928426)</f>
        <v>1928426</v>
      </c>
      <c r="P399" s="26">
        <f ca="1">IFERROR(__xludf.DUMMYFUNCTION("ROUND(GOOGLEFINANCE(""Currency:EURKZT"")*M399)"),238785)</f>
        <v>238785</v>
      </c>
      <c r="Q399" s="26">
        <f ca="1">IFERROR(__xludf.DUMMYFUNCTION("ROUND(GOOGLEFINANCE(""Currency:EURKZT"")*N399)"),238785)</f>
        <v>238785</v>
      </c>
      <c r="R399" s="26">
        <f t="shared" ca="1" si="265"/>
        <v>231411</v>
      </c>
      <c r="S399" s="26">
        <f t="shared" ca="1" si="266"/>
        <v>2637407</v>
      </c>
      <c r="T399" s="26">
        <f ca="1">IFERROR(__xludf.DUMMYFUNCTION("ROUND(GOOGLEFINANCE(""Currency:EURKZT"")*L399+S399)"),3003808)</f>
        <v>3003808</v>
      </c>
      <c r="U399" s="26">
        <f ca="1">IFERROR(__xludf.DUMMYFUNCTION("D399*GOOGLEFINANCE(""RUBKZT"")*1000/F399"),3505867.70223343)</f>
        <v>3505867.70223343</v>
      </c>
      <c r="V399" s="27">
        <f t="shared" ca="1" si="267"/>
        <v>0.16714107633824465</v>
      </c>
    </row>
    <row r="400" spans="1:22" ht="12.75" customHeight="1" x14ac:dyDescent="0.2">
      <c r="A400" s="6" t="s">
        <v>494</v>
      </c>
      <c r="B400" s="6" t="s">
        <v>15</v>
      </c>
      <c r="C400" s="7">
        <v>216624</v>
      </c>
      <c r="D400" s="8">
        <v>114498</v>
      </c>
      <c r="E400" s="9" t="s">
        <v>16</v>
      </c>
      <c r="F400" s="36">
        <v>208</v>
      </c>
      <c r="G400" s="25"/>
      <c r="H400" s="14">
        <f t="shared" si="261"/>
        <v>0.55000000000000004</v>
      </c>
      <c r="I400" s="25">
        <f ca="1">IFERROR(__xludf.DUMMYFUNCTION("ROUND(D400*GOOGLEFINANCE(""RUBKZT"")*H400)"),491418)</f>
        <v>491418</v>
      </c>
      <c r="J400" s="26">
        <f ca="1">IFERROR(__xludf.DUMMYFUNCTION("ROUND(I400*GOOGLEFINANCE(""KZTEUR""))"),1029)</f>
        <v>1029</v>
      </c>
      <c r="K400" s="26">
        <f t="shared" ca="1" si="262"/>
        <v>4947</v>
      </c>
      <c r="L400" s="26">
        <f t="shared" ca="1" si="263"/>
        <v>939.93000000000006</v>
      </c>
      <c r="M400" s="26">
        <f t="shared" ref="M400:N400" si="407">M$3</f>
        <v>500</v>
      </c>
      <c r="N400" s="26">
        <f t="shared" si="407"/>
        <v>500</v>
      </c>
      <c r="O400" s="26">
        <f ca="1">IFERROR(__xludf.DUMMYFUNCTION("ROUND(GOOGLEFINANCE(""Currency:EURKZT"")*K400)"),2362537)</f>
        <v>2362537</v>
      </c>
      <c r="P400" s="26">
        <f ca="1">IFERROR(__xludf.DUMMYFUNCTION("ROUND(GOOGLEFINANCE(""Currency:EURKZT"")*M400)"),238785)</f>
        <v>238785</v>
      </c>
      <c r="Q400" s="26">
        <f ca="1">IFERROR(__xludf.DUMMYFUNCTION("ROUND(GOOGLEFINANCE(""Currency:EURKZT"")*N400)"),238785)</f>
        <v>238785</v>
      </c>
      <c r="R400" s="26">
        <f t="shared" ca="1" si="265"/>
        <v>283504</v>
      </c>
      <c r="S400" s="26">
        <f t="shared" ca="1" si="266"/>
        <v>3123611</v>
      </c>
      <c r="T400" s="26">
        <f ca="1">IFERROR(__xludf.DUMMYFUNCTION("ROUND(GOOGLEFINANCE(""Currency:EURKZT"")*L400+S400)"),3572493)</f>
        <v>3572493</v>
      </c>
      <c r="U400" s="26">
        <f ca="1">IFERROR(__xludf.DUMMYFUNCTION("D400*GOOGLEFINANCE(""RUBKZT"")*1000/F400"),4295614.22840526)</f>
        <v>4295614.2284052595</v>
      </c>
      <c r="V400" s="27">
        <f t="shared" ca="1" si="267"/>
        <v>0.20241361659918145</v>
      </c>
    </row>
    <row r="401" spans="1:22" ht="12.75" customHeight="1" x14ac:dyDescent="0.2">
      <c r="A401" s="6" t="s">
        <v>61</v>
      </c>
      <c r="B401" s="6" t="s">
        <v>15</v>
      </c>
      <c r="C401" s="7">
        <v>190668</v>
      </c>
      <c r="D401" s="8">
        <v>78909.599999999991</v>
      </c>
      <c r="E401" s="9" t="s">
        <v>16</v>
      </c>
      <c r="F401" s="36">
        <v>208</v>
      </c>
      <c r="G401" s="25"/>
      <c r="H401" s="14">
        <f t="shared" si="261"/>
        <v>0.55000000000000004</v>
      </c>
      <c r="I401" s="25">
        <f ca="1">IFERROR(__xludf.DUMMYFUNCTION("ROUND(D401*GOOGLEFINANCE(""RUBKZT"")*H401)"),338675)</f>
        <v>338675</v>
      </c>
      <c r="J401" s="26">
        <f ca="1">IFERROR(__xludf.DUMMYFUNCTION("ROUND(I401*GOOGLEFINANCE(""KZTEUR""))"),709)</f>
        <v>709</v>
      </c>
      <c r="K401" s="26">
        <f t="shared" ca="1" si="262"/>
        <v>3409</v>
      </c>
      <c r="L401" s="26">
        <f t="shared" ca="1" si="263"/>
        <v>647.71</v>
      </c>
      <c r="M401" s="26">
        <f t="shared" ref="M401:N401" si="408">M$3</f>
        <v>500</v>
      </c>
      <c r="N401" s="26">
        <f t="shared" si="408"/>
        <v>500</v>
      </c>
      <c r="O401" s="26">
        <f ca="1">IFERROR(__xludf.DUMMYFUNCTION("ROUND(GOOGLEFINANCE(""Currency:EURKZT"")*K401)"),1628035)</f>
        <v>1628035</v>
      </c>
      <c r="P401" s="26">
        <f ca="1">IFERROR(__xludf.DUMMYFUNCTION("ROUND(GOOGLEFINANCE(""Currency:EURKZT"")*M401)"),238785)</f>
        <v>238785</v>
      </c>
      <c r="Q401" s="26">
        <f ca="1">IFERROR(__xludf.DUMMYFUNCTION("ROUND(GOOGLEFINANCE(""Currency:EURKZT"")*N401)"),238785)</f>
        <v>238785</v>
      </c>
      <c r="R401" s="26">
        <f t="shared" ca="1" si="265"/>
        <v>195364</v>
      </c>
      <c r="S401" s="26">
        <f t="shared" ca="1" si="266"/>
        <v>2300969</v>
      </c>
      <c r="T401" s="26">
        <f ca="1">IFERROR(__xludf.DUMMYFUNCTION("ROUND(GOOGLEFINANCE(""Currency:EURKZT"")*L401+S401)"),2610296)</f>
        <v>2610296</v>
      </c>
      <c r="U401" s="26">
        <f ca="1">IFERROR(__xludf.DUMMYFUNCTION("D401*GOOGLEFINANCE(""RUBKZT"")*1000/F401"),2960446.47520278)</f>
        <v>2960446.4752027802</v>
      </c>
      <c r="V401" s="27">
        <f t="shared" ca="1" si="267"/>
        <v>0.13414205714707458</v>
      </c>
    </row>
    <row r="402" spans="1:22" ht="12.75" customHeight="1" x14ac:dyDescent="0.2">
      <c r="A402" s="6" t="s">
        <v>70</v>
      </c>
      <c r="B402" s="6" t="s">
        <v>15</v>
      </c>
      <c r="C402" s="7">
        <v>197110</v>
      </c>
      <c r="D402" s="8">
        <v>106742.39999999999</v>
      </c>
      <c r="E402" s="9" t="s">
        <v>16</v>
      </c>
      <c r="F402" s="36">
        <v>208</v>
      </c>
      <c r="G402" s="25"/>
      <c r="H402" s="14">
        <f t="shared" si="261"/>
        <v>0.55000000000000004</v>
      </c>
      <c r="I402" s="25">
        <f ca="1">IFERROR(__xludf.DUMMYFUNCTION("ROUND(D402*GOOGLEFINANCE(""RUBKZT"")*H402)"),458132)</f>
        <v>458132</v>
      </c>
      <c r="J402" s="26">
        <f ca="1">IFERROR(__xludf.DUMMYFUNCTION("ROUND(I402*GOOGLEFINANCE(""KZTEUR""))"),959)</f>
        <v>959</v>
      </c>
      <c r="K402" s="26">
        <f t="shared" ca="1" si="262"/>
        <v>4611</v>
      </c>
      <c r="L402" s="26">
        <f t="shared" ca="1" si="263"/>
        <v>876.09</v>
      </c>
      <c r="M402" s="26">
        <f t="shared" ref="M402:N402" si="409">M$3</f>
        <v>500</v>
      </c>
      <c r="N402" s="26">
        <f t="shared" si="409"/>
        <v>500</v>
      </c>
      <c r="O402" s="26">
        <f ca="1">IFERROR(__xludf.DUMMYFUNCTION("ROUND(GOOGLEFINANCE(""Currency:EURKZT"")*K402)"),2202073)</f>
        <v>2202073</v>
      </c>
      <c r="P402" s="26">
        <f ca="1">IFERROR(__xludf.DUMMYFUNCTION("ROUND(GOOGLEFINANCE(""Currency:EURKZT"")*M402)"),238785)</f>
        <v>238785</v>
      </c>
      <c r="Q402" s="26">
        <f ca="1">IFERROR(__xludf.DUMMYFUNCTION("ROUND(GOOGLEFINANCE(""Currency:EURKZT"")*N402)"),238785)</f>
        <v>238785</v>
      </c>
      <c r="R402" s="26">
        <f t="shared" ca="1" si="265"/>
        <v>264249</v>
      </c>
      <c r="S402" s="26">
        <f t="shared" ca="1" si="266"/>
        <v>2943892</v>
      </c>
      <c r="T402" s="26">
        <f ca="1">IFERROR(__xludf.DUMMYFUNCTION("ROUND(GOOGLEFINANCE(""Currency:EURKZT"")*L402+S402)"),3362286)</f>
        <v>3362286</v>
      </c>
      <c r="U402" s="26">
        <f ca="1">IFERROR(__xludf.DUMMYFUNCTION("D402*GOOGLEFINANCE(""RUBKZT"")*1000/F402"),4004647.87344867)</f>
        <v>4004647.8734486699</v>
      </c>
      <c r="V402" s="27">
        <f t="shared" ca="1" si="267"/>
        <v>0.19104914735054362</v>
      </c>
    </row>
    <row r="403" spans="1:22" ht="12.75" customHeight="1" x14ac:dyDescent="0.2">
      <c r="A403" s="6" t="s">
        <v>356</v>
      </c>
      <c r="B403" s="6" t="s">
        <v>15</v>
      </c>
      <c r="C403" s="7">
        <v>197095</v>
      </c>
      <c r="D403" s="8">
        <v>118328.4</v>
      </c>
      <c r="E403" s="9" t="s">
        <v>7</v>
      </c>
      <c r="F403" s="36">
        <v>208</v>
      </c>
      <c r="G403" s="25"/>
      <c r="H403" s="14">
        <f t="shared" si="261"/>
        <v>0.55000000000000004</v>
      </c>
      <c r="I403" s="25">
        <f ca="1">IFERROR(__xludf.DUMMYFUNCTION("ROUND(D403*GOOGLEFINANCE(""RUBKZT"")*H403)"),507858)</f>
        <v>507858</v>
      </c>
      <c r="J403" s="26">
        <f ca="1">IFERROR(__xludf.DUMMYFUNCTION("ROUND(I403*GOOGLEFINANCE(""KZTEUR""))"),1064)</f>
        <v>1064</v>
      </c>
      <c r="K403" s="26">
        <f t="shared" ca="1" si="262"/>
        <v>5115</v>
      </c>
      <c r="L403" s="26">
        <f t="shared" ca="1" si="263"/>
        <v>971.85</v>
      </c>
      <c r="M403" s="26">
        <f t="shared" ref="M403:N403" si="410">M$3</f>
        <v>500</v>
      </c>
      <c r="N403" s="26">
        <f t="shared" si="410"/>
        <v>500</v>
      </c>
      <c r="O403" s="26">
        <f ca="1">IFERROR(__xludf.DUMMYFUNCTION("ROUND(GOOGLEFINANCE(""Currency:EURKZT"")*K403)"),2442769)</f>
        <v>2442769</v>
      </c>
      <c r="P403" s="26">
        <f ca="1">IFERROR(__xludf.DUMMYFUNCTION("ROUND(GOOGLEFINANCE(""Currency:EURKZT"")*M403)"),238785)</f>
        <v>238785</v>
      </c>
      <c r="Q403" s="26">
        <f ca="1">IFERROR(__xludf.DUMMYFUNCTION("ROUND(GOOGLEFINANCE(""Currency:EURKZT"")*N403)"),238785)</f>
        <v>238785</v>
      </c>
      <c r="R403" s="26">
        <f t="shared" ca="1" si="265"/>
        <v>293132</v>
      </c>
      <c r="S403" s="26">
        <f t="shared" ca="1" si="266"/>
        <v>3213471</v>
      </c>
      <c r="T403" s="26">
        <f ca="1">IFERROR(__xludf.DUMMYFUNCTION("ROUND(GOOGLEFINANCE(""Currency:EURKZT"")*L403+S403)"),3677597)</f>
        <v>3677597</v>
      </c>
      <c r="U403" s="26">
        <f ca="1">IFERROR(__xludf.DUMMYFUNCTION("D403*GOOGLEFINANCE(""RUBKZT"")*1000/F403"),4439319.10307979)</f>
        <v>4439319.1030797902</v>
      </c>
      <c r="V403" s="27">
        <f t="shared" ca="1" si="267"/>
        <v>0.20712495226632779</v>
      </c>
    </row>
    <row r="404" spans="1:22" ht="12.75" customHeight="1" x14ac:dyDescent="0.2">
      <c r="A404" s="6" t="s">
        <v>358</v>
      </c>
      <c r="B404" s="6" t="s">
        <v>15</v>
      </c>
      <c r="C404" s="7">
        <v>196158</v>
      </c>
      <c r="D404" s="8">
        <v>112801.2</v>
      </c>
      <c r="E404" s="9" t="s">
        <v>7</v>
      </c>
      <c r="F404" s="36">
        <v>208</v>
      </c>
      <c r="G404" s="25"/>
      <c r="H404" s="14">
        <f t="shared" si="261"/>
        <v>0.55000000000000004</v>
      </c>
      <c r="I404" s="25">
        <f ca="1">IFERROR(__xludf.DUMMYFUNCTION("ROUND(D404*GOOGLEFINANCE(""RUBKZT"")*H404)"),484136)</f>
        <v>484136</v>
      </c>
      <c r="J404" s="26">
        <f ca="1">IFERROR(__xludf.DUMMYFUNCTION("ROUND(I404*GOOGLEFINANCE(""KZTEUR""))"),1014)</f>
        <v>1014</v>
      </c>
      <c r="K404" s="26">
        <f t="shared" ca="1" si="262"/>
        <v>4875</v>
      </c>
      <c r="L404" s="26">
        <f t="shared" ca="1" si="263"/>
        <v>926.25</v>
      </c>
      <c r="M404" s="26">
        <f t="shared" ref="M404:N404" si="411">M$3</f>
        <v>500</v>
      </c>
      <c r="N404" s="26">
        <f t="shared" si="411"/>
        <v>500</v>
      </c>
      <c r="O404" s="26">
        <f ca="1">IFERROR(__xludf.DUMMYFUNCTION("ROUND(GOOGLEFINANCE(""Currency:EURKZT"")*K404)"),2328152)</f>
        <v>2328152</v>
      </c>
      <c r="P404" s="26">
        <f ca="1">IFERROR(__xludf.DUMMYFUNCTION("ROUND(GOOGLEFINANCE(""Currency:EURKZT"")*M404)"),238785)</f>
        <v>238785</v>
      </c>
      <c r="Q404" s="26">
        <f ca="1">IFERROR(__xludf.DUMMYFUNCTION("ROUND(GOOGLEFINANCE(""Currency:EURKZT"")*N404)"),238785)</f>
        <v>238785</v>
      </c>
      <c r="R404" s="26">
        <f t="shared" ca="1" si="265"/>
        <v>279378</v>
      </c>
      <c r="S404" s="26">
        <f t="shared" ca="1" si="266"/>
        <v>3085100</v>
      </c>
      <c r="T404" s="26">
        <f ca="1">IFERROR(__xludf.DUMMYFUNCTION("ROUND(GOOGLEFINANCE(""Currency:EURKZT"")*L404+S404)"),3527449)</f>
        <v>3527449</v>
      </c>
      <c r="U404" s="26">
        <f ca="1">IFERROR(__xludf.DUMMYFUNCTION("D404*GOOGLEFINANCE(""RUBKZT"")*1000/F404"),4231955.4900626)</f>
        <v>4231955.4900626</v>
      </c>
      <c r="V404" s="27">
        <f t="shared" ca="1" si="267"/>
        <v>0.1997212404949299</v>
      </c>
    </row>
    <row r="405" spans="1:22" ht="12.75" customHeight="1" x14ac:dyDescent="0.2">
      <c r="A405" s="6" t="s">
        <v>414</v>
      </c>
      <c r="B405" s="6" t="s">
        <v>15</v>
      </c>
      <c r="C405" s="7">
        <v>203557</v>
      </c>
      <c r="D405" s="8">
        <v>83227.199999999997</v>
      </c>
      <c r="E405" s="9" t="s">
        <v>16</v>
      </c>
      <c r="F405" s="36">
        <v>208</v>
      </c>
      <c r="G405" s="25"/>
      <c r="H405" s="14">
        <f t="shared" si="261"/>
        <v>0.55000000000000004</v>
      </c>
      <c r="I405" s="25">
        <f ca="1">IFERROR(__xludf.DUMMYFUNCTION("ROUND(D405*GOOGLEFINANCE(""RUBKZT"")*H405)"),357206)</f>
        <v>357206</v>
      </c>
      <c r="J405" s="26">
        <f ca="1">IFERROR(__xludf.DUMMYFUNCTION("ROUND(I405*GOOGLEFINANCE(""KZTEUR""))"),748)</f>
        <v>748</v>
      </c>
      <c r="K405" s="26">
        <f t="shared" ca="1" si="262"/>
        <v>3596</v>
      </c>
      <c r="L405" s="26">
        <f t="shared" ca="1" si="263"/>
        <v>683.24</v>
      </c>
      <c r="M405" s="26">
        <f t="shared" ref="M405:N405" si="412">M$3</f>
        <v>500</v>
      </c>
      <c r="N405" s="26">
        <f t="shared" si="412"/>
        <v>500</v>
      </c>
      <c r="O405" s="26">
        <f ca="1">IFERROR(__xludf.DUMMYFUNCTION("ROUND(GOOGLEFINANCE(""Currency:EURKZT"")*K405)"),1717340)</f>
        <v>1717340</v>
      </c>
      <c r="P405" s="26">
        <f ca="1">IFERROR(__xludf.DUMMYFUNCTION("ROUND(GOOGLEFINANCE(""Currency:EURKZT"")*M405)"),238785)</f>
        <v>238785</v>
      </c>
      <c r="Q405" s="26">
        <f ca="1">IFERROR(__xludf.DUMMYFUNCTION("ROUND(GOOGLEFINANCE(""Currency:EURKZT"")*N405)"),238785)</f>
        <v>238785</v>
      </c>
      <c r="R405" s="26">
        <f t="shared" ca="1" si="265"/>
        <v>206081</v>
      </c>
      <c r="S405" s="26">
        <f t="shared" ca="1" si="266"/>
        <v>2400991</v>
      </c>
      <c r="T405" s="26">
        <f ca="1">IFERROR(__xludf.DUMMYFUNCTION("ROUND(GOOGLEFINANCE(""Currency:EURKZT"")*L405+S405)"),2727286)</f>
        <v>2727286</v>
      </c>
      <c r="U405" s="26">
        <f ca="1">IFERROR(__xludf.DUMMYFUNCTION("D405*GOOGLEFINANCE(""RUBKZT"")*1000/F405"),3122429.60148064)</f>
        <v>3122429.60148064</v>
      </c>
      <c r="V405" s="27">
        <f t="shared" ca="1" si="267"/>
        <v>0.14488528210119511</v>
      </c>
    </row>
    <row r="406" spans="1:22" ht="12.75" customHeight="1" x14ac:dyDescent="0.2">
      <c r="A406" s="6" t="s">
        <v>593</v>
      </c>
      <c r="B406" s="6" t="s">
        <v>15</v>
      </c>
      <c r="C406" s="7">
        <v>201239</v>
      </c>
      <c r="D406" s="8">
        <v>337952.39999999997</v>
      </c>
      <c r="E406" s="9" t="s">
        <v>16</v>
      </c>
      <c r="F406" s="36">
        <v>208</v>
      </c>
      <c r="G406" s="25"/>
      <c r="H406" s="14">
        <f t="shared" si="261"/>
        <v>0.55000000000000004</v>
      </c>
      <c r="I406" s="25">
        <f ca="1">IFERROR(__xludf.DUMMYFUNCTION("ROUND(D406*GOOGLEFINANCE(""RUBKZT"")*H406)"),1450471)</f>
        <v>1450471</v>
      </c>
      <c r="J406" s="26">
        <f ca="1">IFERROR(__xludf.DUMMYFUNCTION("ROUND(I406*GOOGLEFINANCE(""KZTEUR""))"),3038)</f>
        <v>3038</v>
      </c>
      <c r="K406" s="26">
        <f t="shared" ca="1" si="262"/>
        <v>14606</v>
      </c>
      <c r="L406" s="26">
        <f t="shared" ca="1" si="263"/>
        <v>2775.14</v>
      </c>
      <c r="M406" s="26">
        <f t="shared" ref="M406:N406" si="413">M$3</f>
        <v>500</v>
      </c>
      <c r="N406" s="26">
        <f t="shared" si="413"/>
        <v>500</v>
      </c>
      <c r="O406" s="26">
        <f ca="1">IFERROR(__xludf.DUMMYFUNCTION("ROUND(GOOGLEFINANCE(""Currency:EURKZT"")*K406)"),6975382)</f>
        <v>6975382</v>
      </c>
      <c r="P406" s="26">
        <f ca="1">IFERROR(__xludf.DUMMYFUNCTION("ROUND(GOOGLEFINANCE(""Currency:EURKZT"")*M406)"),238785)</f>
        <v>238785</v>
      </c>
      <c r="Q406" s="26">
        <f ca="1">IFERROR(__xludf.DUMMYFUNCTION("ROUND(GOOGLEFINANCE(""Currency:EURKZT"")*N406)"),238785)</f>
        <v>238785</v>
      </c>
      <c r="R406" s="26">
        <f t="shared" ca="1" si="265"/>
        <v>837046</v>
      </c>
      <c r="S406" s="26">
        <f t="shared" ca="1" si="266"/>
        <v>8289998</v>
      </c>
      <c r="T406" s="26">
        <f ca="1">IFERROR(__xludf.DUMMYFUNCTION("ROUND(GOOGLEFINANCE(""Currency:EURKZT"")*L406+S406)"),9615321)</f>
        <v>9615321</v>
      </c>
      <c r="U406" s="26">
        <f ca="1">IFERROR(__xludf.DUMMYFUNCTION("D406*GOOGLEFINANCE(""RUBKZT"")*1000/F406"),12678938.8283088)</f>
        <v>12678938.8283088</v>
      </c>
      <c r="V406" s="27">
        <f t="shared" ca="1" si="267"/>
        <v>0.31861836212319905</v>
      </c>
    </row>
    <row r="407" spans="1:22" ht="12.75" customHeight="1" x14ac:dyDescent="0.2">
      <c r="A407" s="6" t="s">
        <v>600</v>
      </c>
      <c r="B407" s="6" t="s">
        <v>15</v>
      </c>
      <c r="C407" s="7">
        <v>201293</v>
      </c>
      <c r="D407" s="8">
        <v>92871.599999999991</v>
      </c>
      <c r="E407" s="9" t="s">
        <v>16</v>
      </c>
      <c r="F407" s="36">
        <v>208</v>
      </c>
      <c r="G407" s="25"/>
      <c r="H407" s="14">
        <f t="shared" si="261"/>
        <v>0.55000000000000004</v>
      </c>
      <c r="I407" s="25">
        <f ca="1">IFERROR(__xludf.DUMMYFUNCTION("ROUND(D407*GOOGLEFINANCE(""RUBKZT"")*H407)"),398599)</f>
        <v>398599</v>
      </c>
      <c r="J407" s="26">
        <f ca="1">IFERROR(__xludf.DUMMYFUNCTION("ROUND(I407*GOOGLEFINANCE(""KZTEUR""))"),835)</f>
        <v>835</v>
      </c>
      <c r="K407" s="26">
        <f t="shared" ca="1" si="262"/>
        <v>4014</v>
      </c>
      <c r="L407" s="26">
        <f t="shared" ca="1" si="263"/>
        <v>762.66</v>
      </c>
      <c r="M407" s="26">
        <f t="shared" ref="M407:N407" si="414">M$3</f>
        <v>500</v>
      </c>
      <c r="N407" s="26">
        <f t="shared" si="414"/>
        <v>500</v>
      </c>
      <c r="O407" s="26">
        <f ca="1">IFERROR(__xludf.DUMMYFUNCTION("ROUND(GOOGLEFINANCE(""Currency:EURKZT"")*K407)"),1916964)</f>
        <v>1916964</v>
      </c>
      <c r="P407" s="26">
        <f ca="1">IFERROR(__xludf.DUMMYFUNCTION("ROUND(GOOGLEFINANCE(""Currency:EURKZT"")*M407)"),238785)</f>
        <v>238785</v>
      </c>
      <c r="Q407" s="26">
        <f ca="1">IFERROR(__xludf.DUMMYFUNCTION("ROUND(GOOGLEFINANCE(""Currency:EURKZT"")*N407)"),238785)</f>
        <v>238785</v>
      </c>
      <c r="R407" s="26">
        <f t="shared" ca="1" si="265"/>
        <v>230036</v>
      </c>
      <c r="S407" s="26">
        <f t="shared" ca="1" si="266"/>
        <v>2624570</v>
      </c>
      <c r="T407" s="26">
        <f ca="1">IFERROR(__xludf.DUMMYFUNCTION("ROUND(GOOGLEFINANCE(""Currency:EURKZT"")*L407+S407)"),2988793)</f>
        <v>2988793</v>
      </c>
      <c r="U407" s="26">
        <f ca="1">IFERROR(__xludf.DUMMYFUNCTION("D407*GOOGLEFINANCE(""RUBKZT"")*1000/F407"),3484257.94664328)</f>
        <v>3484257.9466432799</v>
      </c>
      <c r="V407" s="27">
        <f t="shared" ca="1" si="267"/>
        <v>0.16577425959016898</v>
      </c>
    </row>
    <row r="408" spans="1:22" ht="12.75" customHeight="1" x14ac:dyDescent="0.2">
      <c r="A408" s="6" t="s">
        <v>610</v>
      </c>
      <c r="B408" s="6" t="s">
        <v>15</v>
      </c>
      <c r="C408" s="7">
        <v>201659</v>
      </c>
      <c r="D408" s="8">
        <v>240094.8</v>
      </c>
      <c r="E408" s="9" t="s">
        <v>16</v>
      </c>
      <c r="F408" s="36">
        <v>208</v>
      </c>
      <c r="G408" s="25"/>
      <c r="H408" s="14">
        <f t="shared" si="261"/>
        <v>0.55000000000000004</v>
      </c>
      <c r="I408" s="25">
        <f ca="1">IFERROR(__xludf.DUMMYFUNCTION("ROUND(D408*GOOGLEFINANCE(""RUBKZT"")*H408)"),1030472)</f>
        <v>1030472</v>
      </c>
      <c r="J408" s="26">
        <f ca="1">IFERROR(__xludf.DUMMYFUNCTION("ROUND(I408*GOOGLEFINANCE(""KZTEUR""))"),2158)</f>
        <v>2158</v>
      </c>
      <c r="K408" s="26">
        <f t="shared" ca="1" si="262"/>
        <v>10375</v>
      </c>
      <c r="L408" s="26">
        <f t="shared" ca="1" si="263"/>
        <v>1971.25</v>
      </c>
      <c r="M408" s="26">
        <f t="shared" ref="M408:N408" si="415">M$3</f>
        <v>500</v>
      </c>
      <c r="N408" s="26">
        <f t="shared" si="415"/>
        <v>500</v>
      </c>
      <c r="O408" s="26">
        <f ca="1">IFERROR(__xludf.DUMMYFUNCTION("ROUND(GOOGLEFINANCE(""Currency:EURKZT"")*K408)"),4954785)</f>
        <v>4954785</v>
      </c>
      <c r="P408" s="26">
        <f ca="1">IFERROR(__xludf.DUMMYFUNCTION("ROUND(GOOGLEFINANCE(""Currency:EURKZT"")*M408)"),238785)</f>
        <v>238785</v>
      </c>
      <c r="Q408" s="26">
        <f ca="1">IFERROR(__xludf.DUMMYFUNCTION("ROUND(GOOGLEFINANCE(""Currency:EURKZT"")*N408)"),238785)</f>
        <v>238785</v>
      </c>
      <c r="R408" s="26">
        <f t="shared" ca="1" si="265"/>
        <v>594574</v>
      </c>
      <c r="S408" s="26">
        <f t="shared" ca="1" si="266"/>
        <v>6026929</v>
      </c>
      <c r="T408" s="26">
        <f ca="1">IFERROR(__xludf.DUMMYFUNCTION("ROUND(GOOGLEFINANCE(""Currency:EURKZT"")*L408+S408)"),6968338)</f>
        <v>6968338</v>
      </c>
      <c r="U408" s="26">
        <f ca="1">IFERROR(__xludf.DUMMYFUNCTION("D408*GOOGLEFINANCE(""RUBKZT"")*1000/F408"),9007621.43483831)</f>
        <v>9007621.4348383099</v>
      </c>
      <c r="V408" s="27">
        <f t="shared" ca="1" si="267"/>
        <v>0.29264990229209747</v>
      </c>
    </row>
    <row r="409" spans="1:22" ht="12.75" customHeight="1" x14ac:dyDescent="0.2">
      <c r="A409" s="6" t="s">
        <v>629</v>
      </c>
      <c r="B409" s="6" t="s">
        <v>15</v>
      </c>
      <c r="C409" s="7">
        <v>110720</v>
      </c>
      <c r="D409" s="8">
        <v>79810.8</v>
      </c>
      <c r="E409" s="9" t="s">
        <v>16</v>
      </c>
      <c r="F409" s="36">
        <v>208</v>
      </c>
      <c r="G409" s="25"/>
      <c r="H409" s="14">
        <f t="shared" si="261"/>
        <v>0.55000000000000004</v>
      </c>
      <c r="I409" s="25">
        <f ca="1">IFERROR(__xludf.DUMMYFUNCTION("ROUND(D409*GOOGLEFINANCE(""RUBKZT"")*H409)"),342543)</f>
        <v>342543</v>
      </c>
      <c r="J409" s="26">
        <f ca="1">IFERROR(__xludf.DUMMYFUNCTION("ROUND(I409*GOOGLEFINANCE(""KZTEUR""))"),717)</f>
        <v>717</v>
      </c>
      <c r="K409" s="26">
        <f t="shared" ca="1" si="262"/>
        <v>3447</v>
      </c>
      <c r="L409" s="26">
        <f t="shared" ca="1" si="263"/>
        <v>654.93000000000006</v>
      </c>
      <c r="M409" s="26">
        <f t="shared" ref="M409:N409" si="416">M$3</f>
        <v>500</v>
      </c>
      <c r="N409" s="26">
        <f t="shared" si="416"/>
        <v>500</v>
      </c>
      <c r="O409" s="26">
        <f ca="1">IFERROR(__xludf.DUMMYFUNCTION("ROUND(GOOGLEFINANCE(""Currency:EURKZT"")*K409)"),1646182)</f>
        <v>1646182</v>
      </c>
      <c r="P409" s="26">
        <f ca="1">IFERROR(__xludf.DUMMYFUNCTION("ROUND(GOOGLEFINANCE(""Currency:EURKZT"")*M409)"),238785)</f>
        <v>238785</v>
      </c>
      <c r="Q409" s="26">
        <f ca="1">IFERROR(__xludf.DUMMYFUNCTION("ROUND(GOOGLEFINANCE(""Currency:EURKZT"")*N409)"),238785)</f>
        <v>238785</v>
      </c>
      <c r="R409" s="26">
        <f t="shared" ca="1" si="265"/>
        <v>197542</v>
      </c>
      <c r="S409" s="26">
        <f t="shared" ca="1" si="266"/>
        <v>2321294</v>
      </c>
      <c r="T409" s="26">
        <f ca="1">IFERROR(__xludf.DUMMYFUNCTION("ROUND(GOOGLEFINANCE(""Currency:EURKZT"")*L409+S409)"),2634069)</f>
        <v>2634069</v>
      </c>
      <c r="U409" s="26">
        <f ca="1">IFERROR(__xludf.DUMMYFUNCTION("D409*GOOGLEFINANCE(""RUBKZT"")*1000/F409"),2994256.73863654)</f>
        <v>2994256.7386365398</v>
      </c>
      <c r="V409" s="27">
        <f t="shared" ca="1" si="267"/>
        <v>0.13674195271139056</v>
      </c>
    </row>
    <row r="410" spans="1:22" ht="12.75" customHeight="1" x14ac:dyDescent="0.2">
      <c r="A410" s="6" t="s">
        <v>199</v>
      </c>
      <c r="B410" s="6" t="s">
        <v>15</v>
      </c>
      <c r="C410" s="7">
        <v>10291101</v>
      </c>
      <c r="D410" s="8">
        <v>91968</v>
      </c>
      <c r="E410" s="9" t="s">
        <v>16</v>
      </c>
      <c r="F410" s="36">
        <v>208</v>
      </c>
      <c r="G410" s="25"/>
      <c r="H410" s="14">
        <f t="shared" si="261"/>
        <v>0.55000000000000004</v>
      </c>
      <c r="I410" s="25">
        <f ca="1">IFERROR(__xludf.DUMMYFUNCTION("ROUND(D410*GOOGLEFINANCE(""RUBKZT"")*H410)"),394721)</f>
        <v>394721</v>
      </c>
      <c r="J410" s="26">
        <f ca="1">IFERROR(__xludf.DUMMYFUNCTION("ROUND(I410*GOOGLEFINANCE(""KZTEUR""))"),827)</f>
        <v>827</v>
      </c>
      <c r="K410" s="26">
        <f t="shared" ca="1" si="262"/>
        <v>3976</v>
      </c>
      <c r="L410" s="26">
        <f t="shared" ca="1" si="263"/>
        <v>755.44</v>
      </c>
      <c r="M410" s="26">
        <f t="shared" ref="M410:N410" si="417">M$3</f>
        <v>500</v>
      </c>
      <c r="N410" s="26">
        <f t="shared" si="417"/>
        <v>500</v>
      </c>
      <c r="O410" s="26">
        <f ca="1">IFERROR(__xludf.DUMMYFUNCTION("ROUND(GOOGLEFINANCE(""Currency:EURKZT"")*K410)"),1898817)</f>
        <v>1898817</v>
      </c>
      <c r="P410" s="26">
        <f ca="1">IFERROR(__xludf.DUMMYFUNCTION("ROUND(GOOGLEFINANCE(""Currency:EURKZT"")*M410)"),238785)</f>
        <v>238785</v>
      </c>
      <c r="Q410" s="26">
        <f ca="1">IFERROR(__xludf.DUMMYFUNCTION("ROUND(GOOGLEFINANCE(""Currency:EURKZT"")*N410)"),238785)</f>
        <v>238785</v>
      </c>
      <c r="R410" s="26">
        <f t="shared" ca="1" si="265"/>
        <v>227858</v>
      </c>
      <c r="S410" s="26">
        <f t="shared" ca="1" si="266"/>
        <v>2604245</v>
      </c>
      <c r="T410" s="26">
        <f ca="1">IFERROR(__xludf.DUMMYFUNCTION("ROUND(GOOGLEFINANCE(""Currency:EURKZT"")*L410+S410)"),2965020)</f>
        <v>2965020</v>
      </c>
      <c r="U410" s="26">
        <f ca="1">IFERROR(__xludf.DUMMYFUNCTION("D410*GOOGLEFINANCE(""RUBKZT"")*1000/F410"),3450357.64256123)</f>
        <v>3450357.6425612299</v>
      </c>
      <c r="V410" s="27">
        <f t="shared" ca="1" si="267"/>
        <v>0.16368781409947653</v>
      </c>
    </row>
    <row r="411" spans="1:22" ht="12.75" customHeight="1" x14ac:dyDescent="0.2">
      <c r="A411" s="6" t="s">
        <v>686</v>
      </c>
      <c r="B411" s="6" t="s">
        <v>15</v>
      </c>
      <c r="C411" s="7">
        <v>166797</v>
      </c>
      <c r="D411" s="8">
        <v>75930</v>
      </c>
      <c r="E411" s="9" t="s">
        <v>16</v>
      </c>
      <c r="F411" s="36">
        <v>208</v>
      </c>
      <c r="G411" s="25"/>
      <c r="H411" s="14">
        <f t="shared" si="261"/>
        <v>0.55000000000000004</v>
      </c>
      <c r="I411" s="25">
        <f ca="1">IFERROR(__xludf.DUMMYFUNCTION("ROUND(D411*GOOGLEFINANCE(""RUBKZT"")*H411)"),325887)</f>
        <v>325887</v>
      </c>
      <c r="J411" s="26">
        <f ca="1">IFERROR(__xludf.DUMMYFUNCTION("ROUND(I411*GOOGLEFINANCE(""KZTEUR""))"),683)</f>
        <v>683</v>
      </c>
      <c r="K411" s="26">
        <f t="shared" ca="1" si="262"/>
        <v>3284</v>
      </c>
      <c r="L411" s="26">
        <f t="shared" ca="1" si="263"/>
        <v>623.96</v>
      </c>
      <c r="M411" s="26">
        <f t="shared" ref="M411:N411" si="418">M$3</f>
        <v>500</v>
      </c>
      <c r="N411" s="26">
        <f t="shared" si="418"/>
        <v>500</v>
      </c>
      <c r="O411" s="26">
        <f ca="1">IFERROR(__xludf.DUMMYFUNCTION("ROUND(GOOGLEFINANCE(""Currency:EURKZT"")*K411)"),1568339)</f>
        <v>1568339</v>
      </c>
      <c r="P411" s="26">
        <f ca="1">IFERROR(__xludf.DUMMYFUNCTION("ROUND(GOOGLEFINANCE(""Currency:EURKZT"")*M411)"),238785)</f>
        <v>238785</v>
      </c>
      <c r="Q411" s="26">
        <f ca="1">IFERROR(__xludf.DUMMYFUNCTION("ROUND(GOOGLEFINANCE(""Currency:EURKZT"")*N411)"),238785)</f>
        <v>238785</v>
      </c>
      <c r="R411" s="26">
        <f t="shared" ca="1" si="265"/>
        <v>188201</v>
      </c>
      <c r="S411" s="26">
        <f t="shared" ca="1" si="266"/>
        <v>2234110</v>
      </c>
      <c r="T411" s="26">
        <f ca="1">IFERROR(__xludf.DUMMYFUNCTION("ROUND(GOOGLEFINANCE(""Currency:EURKZT"")*L411+S411)"),2532094)</f>
        <v>2532094</v>
      </c>
      <c r="U411" s="26">
        <f ca="1">IFERROR(__xludf.DUMMYFUNCTION("D411*GOOGLEFINANCE(""RUBKZT"")*1000/F411"),2848661.01034788)</f>
        <v>2848661.01034788</v>
      </c>
      <c r="V411" s="27">
        <f t="shared" ca="1" si="267"/>
        <v>0.12502182397173248</v>
      </c>
    </row>
    <row r="412" spans="1:22" ht="12.75" customHeight="1" x14ac:dyDescent="0.2">
      <c r="A412" s="6" t="s">
        <v>193</v>
      </c>
      <c r="B412" s="6" t="s">
        <v>15</v>
      </c>
      <c r="C412" s="7" t="s">
        <v>688</v>
      </c>
      <c r="D412" s="8">
        <v>77316</v>
      </c>
      <c r="E412" s="9" t="s">
        <v>16</v>
      </c>
      <c r="F412" s="36">
        <v>208</v>
      </c>
      <c r="G412" s="25"/>
      <c r="H412" s="14">
        <f t="shared" si="261"/>
        <v>0.55000000000000004</v>
      </c>
      <c r="I412" s="25">
        <f ca="1">IFERROR(__xludf.DUMMYFUNCTION("ROUND(D412*GOOGLEFINANCE(""RUBKZT"")*H412)"),331835)</f>
        <v>331835</v>
      </c>
      <c r="J412" s="26">
        <f ca="1">IFERROR(__xludf.DUMMYFUNCTION("ROUND(I412*GOOGLEFINANCE(""KZTEUR""))"),695)</f>
        <v>695</v>
      </c>
      <c r="K412" s="26">
        <f t="shared" ca="1" si="262"/>
        <v>3341</v>
      </c>
      <c r="L412" s="26">
        <f t="shared" ca="1" si="263"/>
        <v>634.79</v>
      </c>
      <c r="M412" s="26">
        <f t="shared" ref="M412:N412" si="419">M$3</f>
        <v>500</v>
      </c>
      <c r="N412" s="26">
        <f t="shared" si="419"/>
        <v>500</v>
      </c>
      <c r="O412" s="26">
        <f ca="1">IFERROR(__xludf.DUMMYFUNCTION("ROUND(GOOGLEFINANCE(""Currency:EURKZT"")*K412)"),1595560)</f>
        <v>1595560</v>
      </c>
      <c r="P412" s="26">
        <f ca="1">IFERROR(__xludf.DUMMYFUNCTION("ROUND(GOOGLEFINANCE(""Currency:EURKZT"")*M412)"),238785)</f>
        <v>238785</v>
      </c>
      <c r="Q412" s="26">
        <f ca="1">IFERROR(__xludf.DUMMYFUNCTION("ROUND(GOOGLEFINANCE(""Currency:EURKZT"")*N412)"),238785)</f>
        <v>238785</v>
      </c>
      <c r="R412" s="26">
        <f t="shared" ca="1" si="265"/>
        <v>191467</v>
      </c>
      <c r="S412" s="26">
        <f t="shared" ca="1" si="266"/>
        <v>2264597</v>
      </c>
      <c r="T412" s="26">
        <f ca="1">IFERROR(__xludf.DUMMYFUNCTION("ROUND(GOOGLEFINANCE(""Currency:EURKZT"")*L412+S412)"),2567753)</f>
        <v>2567753</v>
      </c>
      <c r="U412" s="26">
        <f ca="1">IFERROR(__xludf.DUMMYFUNCTION("D412*GOOGLEFINANCE(""RUBKZT"")*1000/F412"),2900659.48473669)</f>
        <v>2900659.4847366898</v>
      </c>
      <c r="V412" s="27">
        <f t="shared" ca="1" si="267"/>
        <v>0.12964895172420784</v>
      </c>
    </row>
    <row r="413" spans="1:22" ht="12.75" customHeight="1" x14ac:dyDescent="0.2">
      <c r="A413" s="6" t="s">
        <v>156</v>
      </c>
      <c r="B413" s="6" t="s">
        <v>157</v>
      </c>
      <c r="C413" s="7">
        <v>134020</v>
      </c>
      <c r="D413" s="8">
        <v>342072</v>
      </c>
      <c r="E413" s="9" t="s">
        <v>16</v>
      </c>
      <c r="F413" s="36">
        <v>206</v>
      </c>
      <c r="G413" s="25"/>
      <c r="H413" s="14">
        <f t="shared" si="261"/>
        <v>0.55000000000000004</v>
      </c>
      <c r="I413" s="25">
        <f ca="1">IFERROR(__xludf.DUMMYFUNCTION("ROUND(D413*GOOGLEFINANCE(""RUBKZT"")*H413)"),1468152)</f>
        <v>1468152</v>
      </c>
      <c r="J413" s="26">
        <f ca="1">IFERROR(__xludf.DUMMYFUNCTION("ROUND(I413*GOOGLEFINANCE(""KZTEUR""))"),3075)</f>
        <v>3075</v>
      </c>
      <c r="K413" s="26">
        <f t="shared" ca="1" si="262"/>
        <v>14927</v>
      </c>
      <c r="L413" s="26">
        <f t="shared" ca="1" si="263"/>
        <v>2836.13</v>
      </c>
      <c r="M413" s="26">
        <f t="shared" ref="M413:N413" si="420">M$3</f>
        <v>500</v>
      </c>
      <c r="N413" s="26">
        <f t="shared" si="420"/>
        <v>500</v>
      </c>
      <c r="O413" s="26">
        <f ca="1">IFERROR(__xludf.DUMMYFUNCTION("ROUND(GOOGLEFINANCE(""Currency:EURKZT"")*K413)"),7128682)</f>
        <v>7128682</v>
      </c>
      <c r="P413" s="26">
        <f ca="1">IFERROR(__xludf.DUMMYFUNCTION("ROUND(GOOGLEFINANCE(""Currency:EURKZT"")*M413)"),238785)</f>
        <v>238785</v>
      </c>
      <c r="Q413" s="26">
        <f ca="1">IFERROR(__xludf.DUMMYFUNCTION("ROUND(GOOGLEFINANCE(""Currency:EURKZT"")*N413)"),238785)</f>
        <v>238785</v>
      </c>
      <c r="R413" s="26">
        <f t="shared" ca="1" si="265"/>
        <v>855442</v>
      </c>
      <c r="S413" s="26">
        <f t="shared" ca="1" si="266"/>
        <v>8461694</v>
      </c>
      <c r="T413" s="26">
        <f ca="1">IFERROR(__xludf.DUMMYFUNCTION("ROUND(GOOGLEFINANCE(""Currency:EURKZT"")*L413+S413)"),9816144)</f>
        <v>9816144</v>
      </c>
      <c r="U413" s="26">
        <f ca="1">IFERROR(__xludf.DUMMYFUNCTION("D413*GOOGLEFINANCE(""RUBKZT"")*1000/F413"),12958090.626356)</f>
        <v>12958090.626356</v>
      </c>
      <c r="V413" s="27">
        <f t="shared" ca="1" si="267"/>
        <v>0.32007951659592604</v>
      </c>
    </row>
    <row r="414" spans="1:22" ht="12.75" customHeight="1" x14ac:dyDescent="0.2">
      <c r="A414" s="6" t="s">
        <v>48</v>
      </c>
      <c r="B414" s="6" t="s">
        <v>49</v>
      </c>
      <c r="C414" s="7">
        <v>110519</v>
      </c>
      <c r="D414" s="8">
        <v>130646.39999999999</v>
      </c>
      <c r="E414" s="9" t="s">
        <v>16</v>
      </c>
      <c r="F414" s="36">
        <v>200</v>
      </c>
      <c r="G414" s="25"/>
      <c r="H414" s="14">
        <f t="shared" si="261"/>
        <v>0.55000000000000004</v>
      </c>
      <c r="I414" s="25">
        <f ca="1">IFERROR(__xludf.DUMMYFUNCTION("ROUND(D414*GOOGLEFINANCE(""RUBKZT"")*H414)"),560726)</f>
        <v>560726</v>
      </c>
      <c r="J414" s="26">
        <f ca="1">IFERROR(__xludf.DUMMYFUNCTION("ROUND(I414*GOOGLEFINANCE(""KZTEUR""))"),1174)</f>
        <v>1174</v>
      </c>
      <c r="K414" s="26">
        <f t="shared" ca="1" si="262"/>
        <v>5870</v>
      </c>
      <c r="L414" s="26">
        <f t="shared" ca="1" si="263"/>
        <v>1115.3</v>
      </c>
      <c r="M414" s="26">
        <f t="shared" ref="M414:N414" si="421">M$3</f>
        <v>500</v>
      </c>
      <c r="N414" s="26">
        <f t="shared" si="421"/>
        <v>500</v>
      </c>
      <c r="O414" s="26">
        <f ca="1">IFERROR(__xludf.DUMMYFUNCTION("ROUND(GOOGLEFINANCE(""Currency:EURKZT"")*K414)"),2803334)</f>
        <v>2803334</v>
      </c>
      <c r="P414" s="26">
        <f ca="1">IFERROR(__xludf.DUMMYFUNCTION("ROUND(GOOGLEFINANCE(""Currency:EURKZT"")*M414)"),238785)</f>
        <v>238785</v>
      </c>
      <c r="Q414" s="26">
        <f ca="1">IFERROR(__xludf.DUMMYFUNCTION("ROUND(GOOGLEFINANCE(""Currency:EURKZT"")*N414)"),238785)</f>
        <v>238785</v>
      </c>
      <c r="R414" s="26">
        <f t="shared" ca="1" si="265"/>
        <v>336400</v>
      </c>
      <c r="S414" s="26">
        <f t="shared" ca="1" si="266"/>
        <v>3617304</v>
      </c>
      <c r="T414" s="26">
        <f ca="1">IFERROR(__xludf.DUMMYFUNCTION("ROUND(GOOGLEFINANCE(""Currency:EURKZT"")*L414+S414)"),4149937)</f>
        <v>4149937</v>
      </c>
      <c r="U414" s="26">
        <f ca="1">IFERROR(__xludf.DUMMYFUNCTION("D414*GOOGLEFINANCE(""RUBKZT"")*1000/F414"),5097510.83965766)</f>
        <v>5097510.8396576596</v>
      </c>
      <c r="V414" s="27">
        <f t="shared" ca="1" si="267"/>
        <v>0.22833451198359389</v>
      </c>
    </row>
    <row r="415" spans="1:22" ht="12.75" customHeight="1" x14ac:dyDescent="0.2">
      <c r="A415" s="6" t="s">
        <v>17</v>
      </c>
      <c r="B415" s="6" t="s">
        <v>18</v>
      </c>
      <c r="C415" s="7">
        <v>110369</v>
      </c>
      <c r="D415" s="8">
        <v>147049.19999999998</v>
      </c>
      <c r="E415" s="9" t="s">
        <v>16</v>
      </c>
      <c r="F415" s="36">
        <v>180</v>
      </c>
      <c r="G415" s="25"/>
      <c r="H415" s="14">
        <f t="shared" si="261"/>
        <v>0.55000000000000004</v>
      </c>
      <c r="I415" s="25">
        <f ca="1">IFERROR(__xludf.DUMMYFUNCTION("ROUND(D415*GOOGLEFINANCE(""RUBKZT"")*H415)"),631126)</f>
        <v>631126</v>
      </c>
      <c r="J415" s="26">
        <f ca="1">IFERROR(__xludf.DUMMYFUNCTION("ROUND(I415*GOOGLEFINANCE(""KZTEUR""))"),1322)</f>
        <v>1322</v>
      </c>
      <c r="K415" s="26">
        <f t="shared" ca="1" si="262"/>
        <v>7344</v>
      </c>
      <c r="L415" s="26">
        <f t="shared" ca="1" si="263"/>
        <v>1395.3600000000001</v>
      </c>
      <c r="M415" s="26">
        <f t="shared" ref="M415:N415" si="422">M$3</f>
        <v>500</v>
      </c>
      <c r="N415" s="26">
        <f t="shared" si="422"/>
        <v>500</v>
      </c>
      <c r="O415" s="26">
        <f ca="1">IFERROR(__xludf.DUMMYFUNCTION("ROUND(GOOGLEFINANCE(""Currency:EURKZT"")*K415)"),3507271)</f>
        <v>3507271</v>
      </c>
      <c r="P415" s="26">
        <f ca="1">IFERROR(__xludf.DUMMYFUNCTION("ROUND(GOOGLEFINANCE(""Currency:EURKZT"")*M415)"),238785)</f>
        <v>238785</v>
      </c>
      <c r="Q415" s="26">
        <f ca="1">IFERROR(__xludf.DUMMYFUNCTION("ROUND(GOOGLEFINANCE(""Currency:EURKZT"")*N415)"),238785)</f>
        <v>238785</v>
      </c>
      <c r="R415" s="26">
        <f t="shared" ca="1" si="265"/>
        <v>420873</v>
      </c>
      <c r="S415" s="26">
        <f t="shared" ca="1" si="266"/>
        <v>4405714</v>
      </c>
      <c r="T415" s="26">
        <f ca="1">IFERROR(__xludf.DUMMYFUNCTION("ROUND(GOOGLEFINANCE(""Currency:EURKZT"")*L415+S415)"),5072096)</f>
        <v>5072096</v>
      </c>
      <c r="U415" s="26">
        <f ca="1">IFERROR(__xludf.DUMMYFUNCTION("D415*GOOGLEFINANCE(""RUBKZT"")*1000/F415"),6375009.95871288)</f>
        <v>6375009.9587128796</v>
      </c>
      <c r="V415" s="27">
        <f t="shared" ca="1" si="267"/>
        <v>0.2568788048792609</v>
      </c>
    </row>
    <row r="416" spans="1:22" ht="12.75" customHeight="1" x14ac:dyDescent="0.2">
      <c r="A416" s="6" t="s">
        <v>20</v>
      </c>
      <c r="B416" s="6" t="s">
        <v>18</v>
      </c>
      <c r="C416" s="7">
        <v>110378</v>
      </c>
      <c r="D416" s="8">
        <v>110509.2</v>
      </c>
      <c r="E416" s="9" t="s">
        <v>16</v>
      </c>
      <c r="F416" s="36">
        <v>180</v>
      </c>
      <c r="G416" s="25"/>
      <c r="H416" s="14">
        <f t="shared" si="261"/>
        <v>0.55000000000000004</v>
      </c>
      <c r="I416" s="25">
        <f ca="1">IFERROR(__xludf.DUMMYFUNCTION("ROUND(D416*GOOGLEFINANCE(""RUBKZT"")*H416)"),474299)</f>
        <v>474299</v>
      </c>
      <c r="J416" s="26">
        <f ca="1">IFERROR(__xludf.DUMMYFUNCTION("ROUND(I416*GOOGLEFINANCE(""KZTEUR""))"),993)</f>
        <v>993</v>
      </c>
      <c r="K416" s="26">
        <f t="shared" ca="1" si="262"/>
        <v>5517</v>
      </c>
      <c r="L416" s="26">
        <f t="shared" ca="1" si="263"/>
        <v>1048.23</v>
      </c>
      <c r="M416" s="26">
        <f t="shared" ref="M416:N416" si="423">M$3</f>
        <v>500</v>
      </c>
      <c r="N416" s="26">
        <f t="shared" si="423"/>
        <v>500</v>
      </c>
      <c r="O416" s="26">
        <f ca="1">IFERROR(__xludf.DUMMYFUNCTION("ROUND(GOOGLEFINANCE(""Currency:EURKZT"")*K416)"),2634752)</f>
        <v>2634752</v>
      </c>
      <c r="P416" s="26">
        <f ca="1">IFERROR(__xludf.DUMMYFUNCTION("ROUND(GOOGLEFINANCE(""Currency:EURKZT"")*M416)"),238785)</f>
        <v>238785</v>
      </c>
      <c r="Q416" s="26">
        <f ca="1">IFERROR(__xludf.DUMMYFUNCTION("ROUND(GOOGLEFINANCE(""Currency:EURKZT"")*N416)"),238785)</f>
        <v>238785</v>
      </c>
      <c r="R416" s="26">
        <f t="shared" ca="1" si="265"/>
        <v>316170</v>
      </c>
      <c r="S416" s="26">
        <f t="shared" ca="1" si="266"/>
        <v>3428492</v>
      </c>
      <c r="T416" s="26">
        <f ca="1">IFERROR(__xludf.DUMMYFUNCTION("ROUND(GOOGLEFINANCE(""Currency:EURKZT"")*L416+S416)"),3929095)</f>
        <v>3929095</v>
      </c>
      <c r="U416" s="26">
        <f ca="1">IFERROR(__xludf.DUMMYFUNCTION("D416*GOOGLEFINANCE(""RUBKZT"")*1000/F416"),4790894.81975688)</f>
        <v>4790894.8197568804</v>
      </c>
      <c r="V416" s="27">
        <f t="shared" ca="1" si="267"/>
        <v>0.21933799507440782</v>
      </c>
    </row>
    <row r="417" spans="1:22" ht="12.75" customHeight="1" x14ac:dyDescent="0.2">
      <c r="A417" s="6" t="s">
        <v>21</v>
      </c>
      <c r="B417" s="6" t="s">
        <v>18</v>
      </c>
      <c r="C417" s="7">
        <v>110382</v>
      </c>
      <c r="D417" s="8">
        <v>108960</v>
      </c>
      <c r="E417" s="9" t="s">
        <v>16</v>
      </c>
      <c r="F417" s="36">
        <v>180</v>
      </c>
      <c r="G417" s="25"/>
      <c r="H417" s="14">
        <f t="shared" si="261"/>
        <v>0.55000000000000004</v>
      </c>
      <c r="I417" s="25">
        <f ca="1">IFERROR(__xludf.DUMMYFUNCTION("ROUND(D417*GOOGLEFINANCE(""RUBKZT"")*H417)"),467650)</f>
        <v>467650</v>
      </c>
      <c r="J417" s="26">
        <f ca="1">IFERROR(__xludf.DUMMYFUNCTION("ROUND(I417*GOOGLEFINANCE(""KZTEUR""))"),979)</f>
        <v>979</v>
      </c>
      <c r="K417" s="26">
        <f t="shared" ca="1" si="262"/>
        <v>5439</v>
      </c>
      <c r="L417" s="26">
        <f t="shared" ca="1" si="263"/>
        <v>1033.4100000000001</v>
      </c>
      <c r="M417" s="26">
        <f t="shared" ref="M417:N417" si="424">M$3</f>
        <v>500</v>
      </c>
      <c r="N417" s="26">
        <f t="shared" si="424"/>
        <v>500</v>
      </c>
      <c r="O417" s="26">
        <f ca="1">IFERROR(__xludf.DUMMYFUNCTION("ROUND(GOOGLEFINANCE(""Currency:EURKZT"")*K417)"),2597501)</f>
        <v>2597501</v>
      </c>
      <c r="P417" s="26">
        <f ca="1">IFERROR(__xludf.DUMMYFUNCTION("ROUND(GOOGLEFINANCE(""Currency:EURKZT"")*M417)"),238785)</f>
        <v>238785</v>
      </c>
      <c r="Q417" s="26">
        <f ca="1">IFERROR(__xludf.DUMMYFUNCTION("ROUND(GOOGLEFINANCE(""Currency:EURKZT"")*N417)"),238785)</f>
        <v>238785</v>
      </c>
      <c r="R417" s="26">
        <f t="shared" ca="1" si="265"/>
        <v>311700</v>
      </c>
      <c r="S417" s="26">
        <f t="shared" ca="1" si="266"/>
        <v>3386771</v>
      </c>
      <c r="T417" s="26">
        <f ca="1">IFERROR(__xludf.DUMMYFUNCTION("ROUND(GOOGLEFINANCE(""Currency:EURKZT"")*L417+S417)"),3880296)</f>
        <v>3880296</v>
      </c>
      <c r="U417" s="26">
        <f ca="1">IFERROR(__xludf.DUMMYFUNCTION("D417*GOOGLEFINANCE(""RUBKZT"")*1000/F417"),4723732.499744)</f>
        <v>4723732.4997439999</v>
      </c>
      <c r="V417" s="27">
        <f t="shared" ca="1" si="267"/>
        <v>0.21736395876603226</v>
      </c>
    </row>
    <row r="418" spans="1:22" ht="12.75" customHeight="1" x14ac:dyDescent="0.2">
      <c r="A418" s="6" t="s">
        <v>24</v>
      </c>
      <c r="B418" s="6" t="s">
        <v>18</v>
      </c>
      <c r="C418" s="7">
        <v>110394</v>
      </c>
      <c r="D418" s="8">
        <v>122137.2</v>
      </c>
      <c r="E418" s="9" t="s">
        <v>16</v>
      </c>
      <c r="F418" s="36">
        <v>180</v>
      </c>
      <c r="G418" s="25"/>
      <c r="H418" s="14">
        <f t="shared" si="261"/>
        <v>0.55000000000000004</v>
      </c>
      <c r="I418" s="25">
        <f ca="1">IFERROR(__xludf.DUMMYFUNCTION("ROUND(D418*GOOGLEFINANCE(""RUBKZT"")*H418)"),524205)</f>
        <v>524205</v>
      </c>
      <c r="J418" s="26">
        <f ca="1">IFERROR(__xludf.DUMMYFUNCTION("ROUND(I418*GOOGLEFINANCE(""KZTEUR""))"),1098)</f>
        <v>1098</v>
      </c>
      <c r="K418" s="26">
        <f t="shared" ca="1" si="262"/>
        <v>6100</v>
      </c>
      <c r="L418" s="26">
        <f t="shared" ca="1" si="263"/>
        <v>1159</v>
      </c>
      <c r="M418" s="26">
        <f t="shared" ref="M418:N418" si="425">M$3</f>
        <v>500</v>
      </c>
      <c r="N418" s="26">
        <f t="shared" si="425"/>
        <v>500</v>
      </c>
      <c r="O418" s="26">
        <f ca="1">IFERROR(__xludf.DUMMYFUNCTION("ROUND(GOOGLEFINANCE(""Currency:EURKZT"")*K418)"),2913175)</f>
        <v>2913175</v>
      </c>
      <c r="P418" s="26">
        <f ca="1">IFERROR(__xludf.DUMMYFUNCTION("ROUND(GOOGLEFINANCE(""Currency:EURKZT"")*M418)"),238785)</f>
        <v>238785</v>
      </c>
      <c r="Q418" s="26">
        <f ca="1">IFERROR(__xludf.DUMMYFUNCTION("ROUND(GOOGLEFINANCE(""Currency:EURKZT"")*N418)"),238785)</f>
        <v>238785</v>
      </c>
      <c r="R418" s="26">
        <f t="shared" ca="1" si="265"/>
        <v>349581</v>
      </c>
      <c r="S418" s="26">
        <f t="shared" ca="1" si="266"/>
        <v>3740326</v>
      </c>
      <c r="T418" s="26">
        <f ca="1">IFERROR(__xludf.DUMMYFUNCTION("ROUND(GOOGLEFINANCE(""Currency:EURKZT"")*L418+S418)"),4293829)</f>
        <v>4293829</v>
      </c>
      <c r="U418" s="26">
        <f ca="1">IFERROR(__xludf.DUMMYFUNCTION("D418*GOOGLEFINANCE(""RUBKZT"")*1000/F418"),5295002.39599608)</f>
        <v>5295002.3959960798</v>
      </c>
      <c r="V418" s="27">
        <f t="shared" ca="1" si="267"/>
        <v>0.23316564213341515</v>
      </c>
    </row>
    <row r="419" spans="1:22" ht="12.75" customHeight="1" x14ac:dyDescent="0.2">
      <c r="A419" s="6" t="s">
        <v>23</v>
      </c>
      <c r="B419" s="6" t="s">
        <v>18</v>
      </c>
      <c r="C419" s="7">
        <v>112826</v>
      </c>
      <c r="D419" s="8">
        <v>131293.19999999998</v>
      </c>
      <c r="E419" s="9" t="s">
        <v>16</v>
      </c>
      <c r="F419" s="36">
        <v>180</v>
      </c>
      <c r="G419" s="25"/>
      <c r="H419" s="14">
        <f t="shared" si="261"/>
        <v>0.55000000000000004</v>
      </c>
      <c r="I419" s="25">
        <f ca="1">IFERROR(__xludf.DUMMYFUNCTION("ROUND(D419*GOOGLEFINANCE(""RUBKZT"")*H419)"),563502)</f>
        <v>563502</v>
      </c>
      <c r="J419" s="26">
        <f ca="1">IFERROR(__xludf.DUMMYFUNCTION("ROUND(I419*GOOGLEFINANCE(""KZTEUR""))"),1180)</f>
        <v>1180</v>
      </c>
      <c r="K419" s="26">
        <f t="shared" ca="1" si="262"/>
        <v>6556</v>
      </c>
      <c r="L419" s="26">
        <f t="shared" ca="1" si="263"/>
        <v>1245.6400000000001</v>
      </c>
      <c r="M419" s="26">
        <f t="shared" ref="M419:N419" si="426">M$3</f>
        <v>500</v>
      </c>
      <c r="N419" s="26">
        <f t="shared" si="426"/>
        <v>500</v>
      </c>
      <c r="O419" s="26">
        <f ca="1">IFERROR(__xludf.DUMMYFUNCTION("ROUND(GOOGLEFINANCE(""Currency:EURKZT"")*K419)"),3130946)</f>
        <v>3130946</v>
      </c>
      <c r="P419" s="26">
        <f ca="1">IFERROR(__xludf.DUMMYFUNCTION("ROUND(GOOGLEFINANCE(""Currency:EURKZT"")*M419)"),238785)</f>
        <v>238785</v>
      </c>
      <c r="Q419" s="26">
        <f ca="1">IFERROR(__xludf.DUMMYFUNCTION("ROUND(GOOGLEFINANCE(""Currency:EURKZT"")*N419)"),238785)</f>
        <v>238785</v>
      </c>
      <c r="R419" s="26">
        <f t="shared" ca="1" si="265"/>
        <v>375714</v>
      </c>
      <c r="S419" s="26">
        <f t="shared" ca="1" si="266"/>
        <v>3984230</v>
      </c>
      <c r="T419" s="26">
        <f ca="1">IFERROR(__xludf.DUMMYFUNCTION("ROUND(GOOGLEFINANCE(""Currency:EURKZT"")*L419+S419)"),4579110)</f>
        <v>4579110</v>
      </c>
      <c r="U419" s="26">
        <f ca="1">IFERROR(__xludf.DUMMYFUNCTION("D419*GOOGLEFINANCE(""RUBKZT"")*1000/F419"),5691941.59173447)</f>
        <v>5691941.5917344699</v>
      </c>
      <c r="V419" s="27">
        <f t="shared" ca="1" si="267"/>
        <v>0.24302355517436136</v>
      </c>
    </row>
    <row r="420" spans="1:22" ht="12.75" customHeight="1" x14ac:dyDescent="0.2">
      <c r="A420" s="6" t="s">
        <v>161</v>
      </c>
      <c r="B420" s="6" t="s">
        <v>18</v>
      </c>
      <c r="C420" s="7">
        <v>140000</v>
      </c>
      <c r="D420" s="8">
        <v>116539.2</v>
      </c>
      <c r="E420" s="9" t="s">
        <v>7</v>
      </c>
      <c r="F420" s="36">
        <v>180</v>
      </c>
      <c r="G420" s="25"/>
      <c r="H420" s="14">
        <f t="shared" si="261"/>
        <v>0.55000000000000004</v>
      </c>
      <c r="I420" s="25">
        <f ca="1">IFERROR(__xludf.DUMMYFUNCTION("ROUND(D420*GOOGLEFINANCE(""RUBKZT"")*H420)"),500179)</f>
        <v>500179</v>
      </c>
      <c r="J420" s="26">
        <f ca="1">IFERROR(__xludf.DUMMYFUNCTION("ROUND(I420*GOOGLEFINANCE(""KZTEUR""))"),1048)</f>
        <v>1048</v>
      </c>
      <c r="K420" s="26">
        <f t="shared" ca="1" si="262"/>
        <v>5822</v>
      </c>
      <c r="L420" s="26">
        <f t="shared" ca="1" si="263"/>
        <v>1106.18</v>
      </c>
      <c r="M420" s="26">
        <f t="shared" ref="M420:N420" si="427">M$3</f>
        <v>500</v>
      </c>
      <c r="N420" s="26">
        <f t="shared" si="427"/>
        <v>500</v>
      </c>
      <c r="O420" s="26">
        <f ca="1">IFERROR(__xludf.DUMMYFUNCTION("ROUND(GOOGLEFINANCE(""Currency:EURKZT"")*K420)"),2780410)</f>
        <v>2780410</v>
      </c>
      <c r="P420" s="26">
        <f ca="1">IFERROR(__xludf.DUMMYFUNCTION("ROUND(GOOGLEFINANCE(""Currency:EURKZT"")*M420)"),238785)</f>
        <v>238785</v>
      </c>
      <c r="Q420" s="26">
        <f ca="1">IFERROR(__xludf.DUMMYFUNCTION("ROUND(GOOGLEFINANCE(""Currency:EURKZT"")*N420)"),238785)</f>
        <v>238785</v>
      </c>
      <c r="R420" s="26">
        <f t="shared" ca="1" si="265"/>
        <v>333649</v>
      </c>
      <c r="S420" s="26">
        <f t="shared" ca="1" si="266"/>
        <v>3591629</v>
      </c>
      <c r="T420" s="26">
        <f ca="1">IFERROR(__xludf.DUMMYFUNCTION("ROUND(GOOGLEFINANCE(""Currency:EURKZT"")*L420+S420)"),4119907)</f>
        <v>4119907</v>
      </c>
      <c r="U420" s="26">
        <f ca="1">IFERROR(__xludf.DUMMYFUNCTION("D420*GOOGLEFINANCE(""RUBKZT"")*1000/F420"),5052312.83529888)</f>
        <v>5052312.83529888</v>
      </c>
      <c r="V420" s="27">
        <f t="shared" ca="1" si="267"/>
        <v>0.22631720456284085</v>
      </c>
    </row>
    <row r="421" spans="1:22" ht="12.75" customHeight="1" x14ac:dyDescent="0.2">
      <c r="A421" s="6" t="s">
        <v>165</v>
      </c>
      <c r="B421" s="6" t="s">
        <v>18</v>
      </c>
      <c r="C421" s="7">
        <v>140060</v>
      </c>
      <c r="D421" s="8">
        <v>110509.2</v>
      </c>
      <c r="E421" s="9" t="s">
        <v>16</v>
      </c>
      <c r="F421" s="36">
        <v>180</v>
      </c>
      <c r="G421" s="25"/>
      <c r="H421" s="14">
        <f t="shared" si="261"/>
        <v>0.55000000000000004</v>
      </c>
      <c r="I421" s="25">
        <f ca="1">IFERROR(__xludf.DUMMYFUNCTION("ROUND(D421*GOOGLEFINANCE(""RUBKZT"")*H421)"),474299)</f>
        <v>474299</v>
      </c>
      <c r="J421" s="26">
        <f ca="1">IFERROR(__xludf.DUMMYFUNCTION("ROUND(I421*GOOGLEFINANCE(""KZTEUR""))"),993)</f>
        <v>993</v>
      </c>
      <c r="K421" s="26">
        <f t="shared" ca="1" si="262"/>
        <v>5517</v>
      </c>
      <c r="L421" s="26">
        <f t="shared" ca="1" si="263"/>
        <v>1048.23</v>
      </c>
      <c r="M421" s="26">
        <f t="shared" ref="M421:N421" si="428">M$3</f>
        <v>500</v>
      </c>
      <c r="N421" s="26">
        <f t="shared" si="428"/>
        <v>500</v>
      </c>
      <c r="O421" s="26">
        <f ca="1">IFERROR(__xludf.DUMMYFUNCTION("ROUND(GOOGLEFINANCE(""Currency:EURKZT"")*K421)"),2634752)</f>
        <v>2634752</v>
      </c>
      <c r="P421" s="26">
        <f ca="1">IFERROR(__xludf.DUMMYFUNCTION("ROUND(GOOGLEFINANCE(""Currency:EURKZT"")*M421)"),238785)</f>
        <v>238785</v>
      </c>
      <c r="Q421" s="26">
        <f ca="1">IFERROR(__xludf.DUMMYFUNCTION("ROUND(GOOGLEFINANCE(""Currency:EURKZT"")*N421)"),238785)</f>
        <v>238785</v>
      </c>
      <c r="R421" s="26">
        <f t="shared" ca="1" si="265"/>
        <v>316170</v>
      </c>
      <c r="S421" s="26">
        <f t="shared" ca="1" si="266"/>
        <v>3428492</v>
      </c>
      <c r="T421" s="26">
        <f ca="1">IFERROR(__xludf.DUMMYFUNCTION("ROUND(GOOGLEFINANCE(""Currency:EURKZT"")*L421+S421)"),3929095)</f>
        <v>3929095</v>
      </c>
      <c r="U421" s="26">
        <f ca="1">IFERROR(__xludf.DUMMYFUNCTION("D421*GOOGLEFINANCE(""RUBKZT"")*1000/F421"),4790894.81975688)</f>
        <v>4790894.8197568804</v>
      </c>
      <c r="V421" s="27">
        <f t="shared" ca="1" si="267"/>
        <v>0.21933799507440782</v>
      </c>
    </row>
    <row r="422" spans="1:22" ht="12.75" customHeight="1" x14ac:dyDescent="0.2">
      <c r="A422" s="6" t="s">
        <v>168</v>
      </c>
      <c r="B422" s="6" t="s">
        <v>18</v>
      </c>
      <c r="C422" s="7">
        <v>140082</v>
      </c>
      <c r="D422" s="8">
        <v>146752.79999999999</v>
      </c>
      <c r="E422" s="9" t="s">
        <v>16</v>
      </c>
      <c r="F422" s="36">
        <v>180</v>
      </c>
      <c r="G422" s="25"/>
      <c r="H422" s="14">
        <f t="shared" si="261"/>
        <v>0.55000000000000004</v>
      </c>
      <c r="I422" s="25">
        <f ca="1">IFERROR(__xludf.DUMMYFUNCTION("ROUND(D422*GOOGLEFINANCE(""RUBKZT"")*H422)"),629854)</f>
        <v>629854</v>
      </c>
      <c r="J422" s="26">
        <f ca="1">IFERROR(__xludf.DUMMYFUNCTION("ROUND(I422*GOOGLEFINANCE(""KZTEUR""))"),1319)</f>
        <v>1319</v>
      </c>
      <c r="K422" s="26">
        <f t="shared" ca="1" si="262"/>
        <v>7328</v>
      </c>
      <c r="L422" s="26">
        <f t="shared" ca="1" si="263"/>
        <v>1392.32</v>
      </c>
      <c r="M422" s="26">
        <f t="shared" ref="M422:N422" si="429">M$3</f>
        <v>500</v>
      </c>
      <c r="N422" s="26">
        <f t="shared" si="429"/>
        <v>500</v>
      </c>
      <c r="O422" s="26">
        <f ca="1">IFERROR(__xludf.DUMMYFUNCTION("ROUND(GOOGLEFINANCE(""Currency:EURKZT"")*K422)"),3499630)</f>
        <v>3499630</v>
      </c>
      <c r="P422" s="26">
        <f ca="1">IFERROR(__xludf.DUMMYFUNCTION("ROUND(GOOGLEFINANCE(""Currency:EURKZT"")*M422)"),238785)</f>
        <v>238785</v>
      </c>
      <c r="Q422" s="26">
        <f ca="1">IFERROR(__xludf.DUMMYFUNCTION("ROUND(GOOGLEFINANCE(""Currency:EURKZT"")*N422)"),238785)</f>
        <v>238785</v>
      </c>
      <c r="R422" s="26">
        <f t="shared" ca="1" si="265"/>
        <v>419956</v>
      </c>
      <c r="S422" s="26">
        <f t="shared" ca="1" si="266"/>
        <v>4397156</v>
      </c>
      <c r="T422" s="26">
        <f ca="1">IFERROR(__xludf.DUMMYFUNCTION("ROUND(GOOGLEFINANCE(""Currency:EURKZT"")*L422+S422)"),5062086)</f>
        <v>5062086</v>
      </c>
      <c r="U422" s="26">
        <f ca="1">IFERROR(__xludf.DUMMYFUNCTION("D422*GOOGLEFINANCE(""RUBKZT"")*1000/F422"),6362160.15774991)</f>
        <v>6362160.1577499099</v>
      </c>
      <c r="V422" s="27">
        <f t="shared" ca="1" si="267"/>
        <v>0.25682577454233491</v>
      </c>
    </row>
    <row r="423" spans="1:22" ht="12.75" customHeight="1" x14ac:dyDescent="0.2">
      <c r="A423" s="6" t="s">
        <v>78</v>
      </c>
      <c r="B423" s="6" t="s">
        <v>18</v>
      </c>
      <c r="C423" s="7">
        <v>140096</v>
      </c>
      <c r="D423" s="8">
        <v>112292.4</v>
      </c>
      <c r="E423" s="9" t="s">
        <v>16</v>
      </c>
      <c r="F423" s="36">
        <v>180</v>
      </c>
      <c r="G423" s="25"/>
      <c r="H423" s="14">
        <f t="shared" si="261"/>
        <v>0.55000000000000004</v>
      </c>
      <c r="I423" s="25">
        <f ca="1">IFERROR(__xludf.DUMMYFUNCTION("ROUND(D423*GOOGLEFINANCE(""RUBKZT"")*H423)"),481952)</f>
        <v>481952</v>
      </c>
      <c r="J423" s="26">
        <f ca="1">IFERROR(__xludf.DUMMYFUNCTION("ROUND(I423*GOOGLEFINANCE(""KZTEUR""))"),1009)</f>
        <v>1009</v>
      </c>
      <c r="K423" s="26">
        <f t="shared" ca="1" si="262"/>
        <v>5606</v>
      </c>
      <c r="L423" s="26">
        <f t="shared" ca="1" si="263"/>
        <v>1065.1400000000001</v>
      </c>
      <c r="M423" s="26">
        <f t="shared" ref="M423:N423" si="430">M$3</f>
        <v>500</v>
      </c>
      <c r="N423" s="26">
        <f t="shared" si="430"/>
        <v>500</v>
      </c>
      <c r="O423" s="26">
        <f ca="1">IFERROR(__xludf.DUMMYFUNCTION("ROUND(GOOGLEFINANCE(""Currency:EURKZT"")*K423)"),2677255)</f>
        <v>2677255</v>
      </c>
      <c r="P423" s="26">
        <f ca="1">IFERROR(__xludf.DUMMYFUNCTION("ROUND(GOOGLEFINANCE(""Currency:EURKZT"")*M423)"),238785)</f>
        <v>238785</v>
      </c>
      <c r="Q423" s="26">
        <f ca="1">IFERROR(__xludf.DUMMYFUNCTION("ROUND(GOOGLEFINANCE(""Currency:EURKZT"")*N423)"),238785)</f>
        <v>238785</v>
      </c>
      <c r="R423" s="26">
        <f t="shared" ca="1" si="265"/>
        <v>321271</v>
      </c>
      <c r="S423" s="26">
        <f t="shared" ca="1" si="266"/>
        <v>3476096</v>
      </c>
      <c r="T423" s="26">
        <f ca="1">IFERROR(__xludf.DUMMYFUNCTION("ROUND(GOOGLEFINANCE(""Currency:EURKZT"")*L423+S423)"),3984774)</f>
        <v>3984774</v>
      </c>
      <c r="U423" s="26">
        <f ca="1">IFERROR(__xludf.DUMMYFUNCTION("D423*GOOGLEFINANCE(""RUBKZT"")*1000/F423"),4868201.71947736)</f>
        <v>4868201.7194773601</v>
      </c>
      <c r="V423" s="27">
        <f t="shared" ca="1" si="267"/>
        <v>0.22170083409432007</v>
      </c>
    </row>
    <row r="424" spans="1:22" ht="12.75" customHeight="1" x14ac:dyDescent="0.2">
      <c r="A424" s="6" t="s">
        <v>25</v>
      </c>
      <c r="B424" s="6" t="s">
        <v>18</v>
      </c>
      <c r="C424" s="7">
        <v>140106</v>
      </c>
      <c r="D424" s="8">
        <v>173763.6</v>
      </c>
      <c r="E424" s="9" t="s">
        <v>16</v>
      </c>
      <c r="F424" s="36">
        <v>180</v>
      </c>
      <c r="G424" s="25"/>
      <c r="H424" s="14">
        <f t="shared" si="261"/>
        <v>0.55000000000000004</v>
      </c>
      <c r="I424" s="25">
        <f ca="1">IFERROR(__xludf.DUMMYFUNCTION("ROUND(D424*GOOGLEFINANCE(""RUBKZT"")*H424)"),745783)</f>
        <v>745783</v>
      </c>
      <c r="J424" s="26">
        <f ca="1">IFERROR(__xludf.DUMMYFUNCTION("ROUND(I424*GOOGLEFINANCE(""KZTEUR""))"),1562)</f>
        <v>1562</v>
      </c>
      <c r="K424" s="26">
        <f t="shared" ca="1" si="262"/>
        <v>8678</v>
      </c>
      <c r="L424" s="26">
        <f t="shared" ca="1" si="263"/>
        <v>1648.82</v>
      </c>
      <c r="M424" s="26">
        <f t="shared" ref="M424:N424" si="431">M$3</f>
        <v>500</v>
      </c>
      <c r="N424" s="26">
        <f t="shared" si="431"/>
        <v>500</v>
      </c>
      <c r="O424" s="26">
        <f ca="1">IFERROR(__xludf.DUMMYFUNCTION("ROUND(GOOGLEFINANCE(""Currency:EURKZT"")*K424)"),4144349)</f>
        <v>4144349</v>
      </c>
      <c r="P424" s="26">
        <f ca="1">IFERROR(__xludf.DUMMYFUNCTION("ROUND(GOOGLEFINANCE(""Currency:EURKZT"")*M424)"),238785)</f>
        <v>238785</v>
      </c>
      <c r="Q424" s="26">
        <f ca="1">IFERROR(__xludf.DUMMYFUNCTION("ROUND(GOOGLEFINANCE(""Currency:EURKZT"")*N424)"),238785)</f>
        <v>238785</v>
      </c>
      <c r="R424" s="26">
        <f t="shared" ca="1" si="265"/>
        <v>497322</v>
      </c>
      <c r="S424" s="26">
        <f t="shared" ca="1" si="266"/>
        <v>5119241</v>
      </c>
      <c r="T424" s="26">
        <f ca="1">IFERROR(__xludf.DUMMYFUNCTION("ROUND(GOOGLEFINANCE(""Currency:EURKZT"")*L424+S424)"),5906667)</f>
        <v>5906667</v>
      </c>
      <c r="U424" s="26">
        <f ca="1">IFERROR(__xludf.DUMMYFUNCTION("D424*GOOGLEFINANCE(""RUBKZT"")*1000/F424"),7533156.79692104)</f>
        <v>7533156.7969210399</v>
      </c>
      <c r="V424" s="27">
        <f t="shared" ca="1" si="267"/>
        <v>0.27536507423239537</v>
      </c>
    </row>
    <row r="425" spans="1:22" ht="12.75" customHeight="1" x14ac:dyDescent="0.2">
      <c r="A425" s="6" t="s">
        <v>162</v>
      </c>
      <c r="B425" s="6" t="s">
        <v>18</v>
      </c>
      <c r="C425" s="7">
        <v>140168</v>
      </c>
      <c r="D425" s="8">
        <v>111079.2</v>
      </c>
      <c r="E425" s="9" t="s">
        <v>7</v>
      </c>
      <c r="F425" s="36">
        <v>180</v>
      </c>
      <c r="G425" s="25"/>
      <c r="H425" s="14">
        <f t="shared" si="261"/>
        <v>0.55000000000000004</v>
      </c>
      <c r="I425" s="25">
        <f ca="1">IFERROR(__xludf.DUMMYFUNCTION("ROUND(D425*GOOGLEFINANCE(""RUBKZT"")*H425)"),476745)</f>
        <v>476745</v>
      </c>
      <c r="J425" s="26">
        <f ca="1">IFERROR(__xludf.DUMMYFUNCTION("ROUND(I425*GOOGLEFINANCE(""KZTEUR""))"),998)</f>
        <v>998</v>
      </c>
      <c r="K425" s="26">
        <f t="shared" ca="1" si="262"/>
        <v>5544</v>
      </c>
      <c r="L425" s="26">
        <f t="shared" ca="1" si="263"/>
        <v>1053.3599999999999</v>
      </c>
      <c r="M425" s="26">
        <f t="shared" ref="M425:N425" si="432">M$3</f>
        <v>500</v>
      </c>
      <c r="N425" s="26">
        <f t="shared" si="432"/>
        <v>500</v>
      </c>
      <c r="O425" s="26">
        <f ca="1">IFERROR(__xludf.DUMMYFUNCTION("ROUND(GOOGLEFINANCE(""Currency:EURKZT"")*K425)"),2647646)</f>
        <v>2647646</v>
      </c>
      <c r="P425" s="26">
        <f ca="1">IFERROR(__xludf.DUMMYFUNCTION("ROUND(GOOGLEFINANCE(""Currency:EURKZT"")*M425)"),238785)</f>
        <v>238785</v>
      </c>
      <c r="Q425" s="26">
        <f ca="1">IFERROR(__xludf.DUMMYFUNCTION("ROUND(GOOGLEFINANCE(""Currency:EURKZT"")*N425)"),238785)</f>
        <v>238785</v>
      </c>
      <c r="R425" s="26">
        <f t="shared" ca="1" si="265"/>
        <v>317718</v>
      </c>
      <c r="S425" s="26">
        <f t="shared" ca="1" si="266"/>
        <v>3442934</v>
      </c>
      <c r="T425" s="26">
        <f ca="1">IFERROR(__xludf.DUMMYFUNCTION("ROUND(GOOGLEFINANCE(""Currency:EURKZT"")*L425+S425)"),3945987)</f>
        <v>3945987</v>
      </c>
      <c r="U425" s="26">
        <f ca="1">IFERROR(__xludf.DUMMYFUNCTION("D425*GOOGLEFINANCE(""RUBKZT"")*1000/F425"),4815605.97545488)</f>
        <v>4815605.9754548799</v>
      </c>
      <c r="V425" s="27">
        <f t="shared" ca="1" si="267"/>
        <v>0.22038059817604061</v>
      </c>
    </row>
    <row r="426" spans="1:22" ht="12.75" customHeight="1" x14ac:dyDescent="0.2">
      <c r="A426" s="6" t="s">
        <v>172</v>
      </c>
      <c r="B426" s="6" t="s">
        <v>18</v>
      </c>
      <c r="C426" s="7">
        <v>140191</v>
      </c>
      <c r="D426" s="8">
        <v>160694.39999999999</v>
      </c>
      <c r="E426" s="9" t="s">
        <v>16</v>
      </c>
      <c r="F426" s="36">
        <v>180</v>
      </c>
      <c r="G426" s="25"/>
      <c r="H426" s="14">
        <f t="shared" si="261"/>
        <v>0.55000000000000004</v>
      </c>
      <c r="I426" s="25">
        <f ca="1">IFERROR(__xludf.DUMMYFUNCTION("ROUND(D426*GOOGLEFINANCE(""RUBKZT"")*H426)"),689690)</f>
        <v>689690</v>
      </c>
      <c r="J426" s="26">
        <f ca="1">IFERROR(__xludf.DUMMYFUNCTION("ROUND(I426*GOOGLEFINANCE(""KZTEUR""))"),1444)</f>
        <v>1444</v>
      </c>
      <c r="K426" s="26">
        <f t="shared" ca="1" si="262"/>
        <v>8022</v>
      </c>
      <c r="L426" s="26">
        <f t="shared" ca="1" si="263"/>
        <v>1524.18</v>
      </c>
      <c r="M426" s="26">
        <f t="shared" ref="M426:N426" si="433">M$3</f>
        <v>500</v>
      </c>
      <c r="N426" s="26">
        <f t="shared" si="433"/>
        <v>500</v>
      </c>
      <c r="O426" s="26">
        <f ca="1">IFERROR(__xludf.DUMMYFUNCTION("ROUND(GOOGLEFINANCE(""Currency:EURKZT"")*K426)"),3831063)</f>
        <v>3831063</v>
      </c>
      <c r="P426" s="26">
        <f ca="1">IFERROR(__xludf.DUMMYFUNCTION("ROUND(GOOGLEFINANCE(""Currency:EURKZT"")*M426)"),238785)</f>
        <v>238785</v>
      </c>
      <c r="Q426" s="26">
        <f ca="1">IFERROR(__xludf.DUMMYFUNCTION("ROUND(GOOGLEFINANCE(""Currency:EURKZT"")*N426)"),238785)</f>
        <v>238785</v>
      </c>
      <c r="R426" s="26">
        <f t="shared" ca="1" si="265"/>
        <v>459728</v>
      </c>
      <c r="S426" s="26">
        <f t="shared" ca="1" si="266"/>
        <v>4768361</v>
      </c>
      <c r="T426" s="26">
        <f ca="1">IFERROR(__xludf.DUMMYFUNCTION("ROUND(GOOGLEFINANCE(""Currency:EURKZT"")*L426+S426)"),5496263)</f>
        <v>5496263</v>
      </c>
      <c r="U426" s="26">
        <f ca="1">IFERROR(__xludf.DUMMYFUNCTION("D426*GOOGLEFINANCE(""RUBKZT"")*1000/F426"),6966569.01438016)</f>
        <v>6966569.0143801598</v>
      </c>
      <c r="V426" s="27">
        <f t="shared" ca="1" si="267"/>
        <v>0.26751012722283485</v>
      </c>
    </row>
    <row r="427" spans="1:22" ht="12.75" customHeight="1" x14ac:dyDescent="0.2">
      <c r="A427" s="6" t="s">
        <v>174</v>
      </c>
      <c r="B427" s="6" t="s">
        <v>18</v>
      </c>
      <c r="C427" s="7">
        <v>140202</v>
      </c>
      <c r="D427" s="8">
        <v>252178.8</v>
      </c>
      <c r="E427" s="9" t="s">
        <v>16</v>
      </c>
      <c r="F427" s="36">
        <v>180</v>
      </c>
      <c r="G427" s="25"/>
      <c r="H427" s="14">
        <f t="shared" si="261"/>
        <v>0.55000000000000004</v>
      </c>
      <c r="I427" s="25">
        <f ca="1">IFERROR(__xludf.DUMMYFUNCTION("ROUND(D427*GOOGLEFINANCE(""RUBKZT"")*H427)"),1082336)</f>
        <v>1082336</v>
      </c>
      <c r="J427" s="26">
        <f ca="1">IFERROR(__xludf.DUMMYFUNCTION("ROUND(I427*GOOGLEFINANCE(""KZTEUR""))"),2267)</f>
        <v>2267</v>
      </c>
      <c r="K427" s="26">
        <f t="shared" ca="1" si="262"/>
        <v>12594</v>
      </c>
      <c r="L427" s="26">
        <f t="shared" ca="1" si="263"/>
        <v>2392.86</v>
      </c>
      <c r="M427" s="26">
        <f t="shared" ref="M427:N427" si="434">M$3</f>
        <v>500</v>
      </c>
      <c r="N427" s="26">
        <f t="shared" si="434"/>
        <v>500</v>
      </c>
      <c r="O427" s="26">
        <f ca="1">IFERROR(__xludf.DUMMYFUNCTION("ROUND(GOOGLEFINANCE(""Currency:EURKZT"")*K427)"),6014512)</f>
        <v>6014512</v>
      </c>
      <c r="P427" s="26">
        <f ca="1">IFERROR(__xludf.DUMMYFUNCTION("ROUND(GOOGLEFINANCE(""Currency:EURKZT"")*M427)"),238785)</f>
        <v>238785</v>
      </c>
      <c r="Q427" s="26">
        <f ca="1">IFERROR(__xludf.DUMMYFUNCTION("ROUND(GOOGLEFINANCE(""Currency:EURKZT"")*N427)"),238785)</f>
        <v>238785</v>
      </c>
      <c r="R427" s="26">
        <f t="shared" ca="1" si="265"/>
        <v>721741</v>
      </c>
      <c r="S427" s="26">
        <f t="shared" ca="1" si="266"/>
        <v>7213823</v>
      </c>
      <c r="T427" s="26">
        <f ca="1">IFERROR(__xludf.DUMMYFUNCTION("ROUND(GOOGLEFINANCE(""Currency:EURKZT"")*L427+S427)"),8356580)</f>
        <v>8356580</v>
      </c>
      <c r="U427" s="26">
        <f ca="1">IFERROR(__xludf.DUMMYFUNCTION("D427*GOOGLEFINANCE(""RUBKZT"")*1000/F427"),10932683.4921663)</f>
        <v>10932683.492166299</v>
      </c>
      <c r="V427" s="27">
        <f t="shared" ca="1" si="267"/>
        <v>0.30827246219940446</v>
      </c>
    </row>
    <row r="428" spans="1:22" ht="12.75" customHeight="1" x14ac:dyDescent="0.2">
      <c r="A428" s="6" t="s">
        <v>171</v>
      </c>
      <c r="B428" s="6" t="s">
        <v>18</v>
      </c>
      <c r="C428" s="7">
        <v>146190</v>
      </c>
      <c r="D428" s="8">
        <v>132939.6</v>
      </c>
      <c r="E428" s="9" t="s">
        <v>16</v>
      </c>
      <c r="F428" s="36">
        <v>180</v>
      </c>
      <c r="G428" s="25"/>
      <c r="H428" s="14">
        <f t="shared" si="261"/>
        <v>0.55000000000000004</v>
      </c>
      <c r="I428" s="25">
        <f ca="1">IFERROR(__xludf.DUMMYFUNCTION("ROUND(D428*GOOGLEFINANCE(""RUBKZT"")*H428)"),570568)</f>
        <v>570568</v>
      </c>
      <c r="J428" s="26">
        <f ca="1">IFERROR(__xludf.DUMMYFUNCTION("ROUND(I428*GOOGLEFINANCE(""KZTEUR""))"),1195)</f>
        <v>1195</v>
      </c>
      <c r="K428" s="26">
        <f t="shared" ca="1" si="262"/>
        <v>6639</v>
      </c>
      <c r="L428" s="26">
        <f t="shared" ca="1" si="263"/>
        <v>1261.4100000000001</v>
      </c>
      <c r="M428" s="26">
        <f t="shared" ref="M428:N428" si="435">M$3</f>
        <v>500</v>
      </c>
      <c r="N428" s="26">
        <f t="shared" si="435"/>
        <v>500</v>
      </c>
      <c r="O428" s="26">
        <f ca="1">IFERROR(__xludf.DUMMYFUNCTION("ROUND(GOOGLEFINANCE(""Currency:EURKZT"")*K428)"),3170585)</f>
        <v>3170585</v>
      </c>
      <c r="P428" s="26">
        <f ca="1">IFERROR(__xludf.DUMMYFUNCTION("ROUND(GOOGLEFINANCE(""Currency:EURKZT"")*M428)"),238785)</f>
        <v>238785</v>
      </c>
      <c r="Q428" s="26">
        <f ca="1">IFERROR(__xludf.DUMMYFUNCTION("ROUND(GOOGLEFINANCE(""Currency:EURKZT"")*N428)"),238785)</f>
        <v>238785</v>
      </c>
      <c r="R428" s="26">
        <f t="shared" ca="1" si="265"/>
        <v>380470</v>
      </c>
      <c r="S428" s="26">
        <f t="shared" ca="1" si="266"/>
        <v>4028625</v>
      </c>
      <c r="T428" s="26">
        <f ca="1">IFERROR(__xludf.DUMMYFUNCTION("ROUND(GOOGLEFINANCE(""Currency:EURKZT"")*L428+S428)"),4631036)</f>
        <v>4631036</v>
      </c>
      <c r="U428" s="26">
        <f ca="1">IFERROR(__xludf.DUMMYFUNCTION("D428*GOOGLEFINANCE(""RUBKZT"")*1000/F428"),5763317.81408744)</f>
        <v>5763317.8140874403</v>
      </c>
      <c r="V428" s="27">
        <f t="shared" ca="1" si="267"/>
        <v>0.2444985990364662</v>
      </c>
    </row>
    <row r="429" spans="1:22" ht="12.75" customHeight="1" x14ac:dyDescent="0.2">
      <c r="A429" s="6" t="s">
        <v>182</v>
      </c>
      <c r="B429" s="6" t="s">
        <v>18</v>
      </c>
      <c r="C429" s="7">
        <v>147892</v>
      </c>
      <c r="D429" s="8">
        <v>132344.4</v>
      </c>
      <c r="E429" s="9" t="s">
        <v>16</v>
      </c>
      <c r="F429" s="36">
        <v>180</v>
      </c>
      <c r="G429" s="25"/>
      <c r="H429" s="14">
        <f t="shared" si="261"/>
        <v>0.55000000000000004</v>
      </c>
      <c r="I429" s="25">
        <f ca="1">IFERROR(__xludf.DUMMYFUNCTION("ROUND(D429*GOOGLEFINANCE(""RUBKZT"")*H429)"),568014)</f>
        <v>568014</v>
      </c>
      <c r="J429" s="26">
        <f ca="1">IFERROR(__xludf.DUMMYFUNCTION("ROUND(I429*GOOGLEFINANCE(""KZTEUR""))"),1190)</f>
        <v>1190</v>
      </c>
      <c r="K429" s="26">
        <f t="shared" ca="1" si="262"/>
        <v>6611</v>
      </c>
      <c r="L429" s="26">
        <f t="shared" ca="1" si="263"/>
        <v>1256.0899999999999</v>
      </c>
      <c r="M429" s="26">
        <f t="shared" ref="M429:N429" si="436">M$3</f>
        <v>500</v>
      </c>
      <c r="N429" s="26">
        <f t="shared" si="436"/>
        <v>500</v>
      </c>
      <c r="O429" s="26">
        <f ca="1">IFERROR(__xludf.DUMMYFUNCTION("ROUND(GOOGLEFINANCE(""Currency:EURKZT"")*K429)"),3157213)</f>
        <v>3157213</v>
      </c>
      <c r="P429" s="26">
        <f ca="1">IFERROR(__xludf.DUMMYFUNCTION("ROUND(GOOGLEFINANCE(""Currency:EURKZT"")*M429)"),238785)</f>
        <v>238785</v>
      </c>
      <c r="Q429" s="26">
        <f ca="1">IFERROR(__xludf.DUMMYFUNCTION("ROUND(GOOGLEFINANCE(""Currency:EURKZT"")*N429)"),238785)</f>
        <v>238785</v>
      </c>
      <c r="R429" s="26">
        <f t="shared" ca="1" si="265"/>
        <v>378866</v>
      </c>
      <c r="S429" s="26">
        <f t="shared" ca="1" si="266"/>
        <v>4013649</v>
      </c>
      <c r="T429" s="26">
        <f ca="1">IFERROR(__xludf.DUMMYFUNCTION("ROUND(GOOGLEFINANCE(""Currency:EURKZT"")*L429+S429)"),4613519)</f>
        <v>4613519</v>
      </c>
      <c r="U429" s="26">
        <f ca="1">IFERROR(__xludf.DUMMYFUNCTION("D429*GOOGLEFINANCE(""RUBKZT"")*1000/F429"),5737514.16519015)</f>
        <v>5737514.16519015</v>
      </c>
      <c r="V429" s="27">
        <f t="shared" ca="1" si="267"/>
        <v>0.24363076540708947</v>
      </c>
    </row>
    <row r="430" spans="1:22" ht="12.75" customHeight="1" x14ac:dyDescent="0.2">
      <c r="A430" s="6" t="s">
        <v>183</v>
      </c>
      <c r="B430" s="6" t="s">
        <v>18</v>
      </c>
      <c r="C430" s="7">
        <v>147898</v>
      </c>
      <c r="D430" s="8">
        <v>165319.19999999998</v>
      </c>
      <c r="E430" s="9" t="s">
        <v>16</v>
      </c>
      <c r="F430" s="36">
        <v>180</v>
      </c>
      <c r="G430" s="25"/>
      <c r="H430" s="14">
        <f t="shared" si="261"/>
        <v>0.55000000000000004</v>
      </c>
      <c r="I430" s="25">
        <f ca="1">IFERROR(__xludf.DUMMYFUNCTION("ROUND(D430*GOOGLEFINANCE(""RUBKZT"")*H430)"),709540)</f>
        <v>709540</v>
      </c>
      <c r="J430" s="26">
        <f ca="1">IFERROR(__xludf.DUMMYFUNCTION("ROUND(I430*GOOGLEFINANCE(""KZTEUR""))"),1486)</f>
        <v>1486</v>
      </c>
      <c r="K430" s="26">
        <f t="shared" ca="1" si="262"/>
        <v>8256</v>
      </c>
      <c r="L430" s="26">
        <f t="shared" ca="1" si="263"/>
        <v>1568.64</v>
      </c>
      <c r="M430" s="26">
        <f t="shared" ref="M430:N430" si="437">M$3</f>
        <v>500</v>
      </c>
      <c r="N430" s="26">
        <f t="shared" si="437"/>
        <v>500</v>
      </c>
      <c r="O430" s="26">
        <f ca="1">IFERROR(__xludf.DUMMYFUNCTION("ROUND(GOOGLEFINANCE(""Currency:EURKZT"")*K430)"),3942815)</f>
        <v>3942815</v>
      </c>
      <c r="P430" s="26">
        <f ca="1">IFERROR(__xludf.DUMMYFUNCTION("ROUND(GOOGLEFINANCE(""Currency:EURKZT"")*M430)"),238785)</f>
        <v>238785</v>
      </c>
      <c r="Q430" s="26">
        <f ca="1">IFERROR(__xludf.DUMMYFUNCTION("ROUND(GOOGLEFINANCE(""Currency:EURKZT"")*N430)"),238785)</f>
        <v>238785</v>
      </c>
      <c r="R430" s="26">
        <f t="shared" ca="1" si="265"/>
        <v>473138</v>
      </c>
      <c r="S430" s="26">
        <f t="shared" ca="1" si="266"/>
        <v>4893523</v>
      </c>
      <c r="T430" s="26">
        <f ca="1">IFERROR(__xludf.DUMMYFUNCTION("ROUND(GOOGLEFINANCE(""Currency:EURKZT"")*L430+S430)"),5642658)</f>
        <v>5642658</v>
      </c>
      <c r="U430" s="26">
        <f ca="1">IFERROR(__xludf.DUMMYFUNCTION("D430*GOOGLEFINANCE(""RUBKZT"")*1000/F430"),7167067.52819087)</f>
        <v>7167067.5281908698</v>
      </c>
      <c r="V430" s="27">
        <f t="shared" ca="1" si="267"/>
        <v>0.27015805816883992</v>
      </c>
    </row>
    <row r="431" spans="1:22" ht="12.75" customHeight="1" x14ac:dyDescent="0.2">
      <c r="A431" s="6" t="s">
        <v>206</v>
      </c>
      <c r="B431" s="6" t="s">
        <v>18</v>
      </c>
      <c r="C431" s="7">
        <v>152100</v>
      </c>
      <c r="D431" s="8">
        <v>151549.19999999998</v>
      </c>
      <c r="E431" s="9" t="s">
        <v>16</v>
      </c>
      <c r="F431" s="36">
        <v>180</v>
      </c>
      <c r="G431" s="25"/>
      <c r="H431" s="14">
        <f t="shared" si="261"/>
        <v>0.55000000000000004</v>
      </c>
      <c r="I431" s="25">
        <f ca="1">IFERROR(__xludf.DUMMYFUNCTION("ROUND(D431*GOOGLEFINANCE(""RUBKZT"")*H431)"),650440)</f>
        <v>650440</v>
      </c>
      <c r="J431" s="26">
        <f ca="1">IFERROR(__xludf.DUMMYFUNCTION("ROUND(I431*GOOGLEFINANCE(""KZTEUR""))"),1362)</f>
        <v>1362</v>
      </c>
      <c r="K431" s="26">
        <f t="shared" ca="1" si="262"/>
        <v>7567</v>
      </c>
      <c r="L431" s="26">
        <f t="shared" ca="1" si="263"/>
        <v>1437.73</v>
      </c>
      <c r="M431" s="26">
        <f t="shared" ref="M431:N431" si="438">M$3</f>
        <v>500</v>
      </c>
      <c r="N431" s="26">
        <f t="shared" si="438"/>
        <v>500</v>
      </c>
      <c r="O431" s="26">
        <f ca="1">IFERROR(__xludf.DUMMYFUNCTION("ROUND(GOOGLEFINANCE(""Currency:EURKZT"")*K431)"),3613769)</f>
        <v>3613769</v>
      </c>
      <c r="P431" s="26">
        <f ca="1">IFERROR(__xludf.DUMMYFUNCTION("ROUND(GOOGLEFINANCE(""Currency:EURKZT"")*M431)"),238785)</f>
        <v>238785</v>
      </c>
      <c r="Q431" s="26">
        <f ca="1">IFERROR(__xludf.DUMMYFUNCTION("ROUND(GOOGLEFINANCE(""Currency:EURKZT"")*N431)"),238785)</f>
        <v>238785</v>
      </c>
      <c r="R431" s="26">
        <f t="shared" ca="1" si="265"/>
        <v>433652</v>
      </c>
      <c r="S431" s="26">
        <f t="shared" ca="1" si="266"/>
        <v>4524991</v>
      </c>
      <c r="T431" s="26">
        <f ca="1">IFERROR(__xludf.DUMMYFUNCTION("ROUND(GOOGLEFINANCE(""Currency:EURKZT"")*L431+S431)"),5211607)</f>
        <v>5211607</v>
      </c>
      <c r="U431" s="26">
        <f ca="1">IFERROR(__xludf.DUMMYFUNCTION("D431*GOOGLEFINANCE(""RUBKZT"")*1000/F431"),6570098.03001287)</f>
        <v>6570098.0300128702</v>
      </c>
      <c r="V431" s="27">
        <f t="shared" ca="1" si="267"/>
        <v>0.26066643743721857</v>
      </c>
    </row>
    <row r="432" spans="1:22" ht="12.75" customHeight="1" x14ac:dyDescent="0.2">
      <c r="A432" s="6" t="s">
        <v>211</v>
      </c>
      <c r="B432" s="6" t="s">
        <v>18</v>
      </c>
      <c r="C432" s="7">
        <v>155147</v>
      </c>
      <c r="D432" s="8">
        <v>133681.19999999998</v>
      </c>
      <c r="E432" s="9" t="s">
        <v>16</v>
      </c>
      <c r="F432" s="36">
        <v>180</v>
      </c>
      <c r="G432" s="25"/>
      <c r="H432" s="14">
        <f t="shared" si="261"/>
        <v>0.55000000000000004</v>
      </c>
      <c r="I432" s="25">
        <f ca="1">IFERROR(__xludf.DUMMYFUNCTION("ROUND(D432*GOOGLEFINANCE(""RUBKZT"")*H432)"),573751)</f>
        <v>573751</v>
      </c>
      <c r="J432" s="26">
        <f ca="1">IFERROR(__xludf.DUMMYFUNCTION("ROUND(I432*GOOGLEFINANCE(""KZTEUR""))"),1202)</f>
        <v>1202</v>
      </c>
      <c r="K432" s="26">
        <f t="shared" ca="1" si="262"/>
        <v>6678</v>
      </c>
      <c r="L432" s="26">
        <f t="shared" ca="1" si="263"/>
        <v>1268.82</v>
      </c>
      <c r="M432" s="26">
        <f t="shared" ref="M432:N432" si="439">M$3</f>
        <v>500</v>
      </c>
      <c r="N432" s="26">
        <f t="shared" si="439"/>
        <v>500</v>
      </c>
      <c r="O432" s="26">
        <f ca="1">IFERROR(__xludf.DUMMYFUNCTION("ROUND(GOOGLEFINANCE(""Currency:EURKZT"")*K432)"),3189210)</f>
        <v>3189210</v>
      </c>
      <c r="P432" s="26">
        <f ca="1">IFERROR(__xludf.DUMMYFUNCTION("ROUND(GOOGLEFINANCE(""Currency:EURKZT"")*M432)"),238785)</f>
        <v>238785</v>
      </c>
      <c r="Q432" s="26">
        <f ca="1">IFERROR(__xludf.DUMMYFUNCTION("ROUND(GOOGLEFINANCE(""Currency:EURKZT"")*N432)"),238785)</f>
        <v>238785</v>
      </c>
      <c r="R432" s="26">
        <f t="shared" ca="1" si="265"/>
        <v>382705</v>
      </c>
      <c r="S432" s="26">
        <f t="shared" ca="1" si="266"/>
        <v>4049485</v>
      </c>
      <c r="T432" s="26">
        <f ca="1">IFERROR(__xludf.DUMMYFUNCTION("ROUND(GOOGLEFINANCE(""Currency:EURKZT"")*L432+S432)"),4655435)</f>
        <v>4655435</v>
      </c>
      <c r="U432" s="26">
        <f ca="1">IFERROR(__xludf.DUMMYFUNCTION("D432*GOOGLEFINANCE(""RUBKZT"")*1000/F432"),5795468.32823768)</f>
        <v>5795468.3282376798</v>
      </c>
      <c r="V432" s="27">
        <f t="shared" ca="1" si="267"/>
        <v>0.24488223511609114</v>
      </c>
    </row>
    <row r="433" spans="1:22" ht="12.75" customHeight="1" x14ac:dyDescent="0.2">
      <c r="A433" s="6" t="s">
        <v>184</v>
      </c>
      <c r="B433" s="6" t="s">
        <v>18</v>
      </c>
      <c r="C433" s="7">
        <v>157463</v>
      </c>
      <c r="D433" s="8">
        <v>147571.19999999998</v>
      </c>
      <c r="E433" s="9" t="s">
        <v>16</v>
      </c>
      <c r="F433" s="36">
        <v>180</v>
      </c>
      <c r="G433" s="25"/>
      <c r="H433" s="14">
        <f t="shared" si="261"/>
        <v>0.55000000000000004</v>
      </c>
      <c r="I433" s="25">
        <f ca="1">IFERROR(__xludf.DUMMYFUNCTION("ROUND(D433*GOOGLEFINANCE(""RUBKZT"")*H433)"),633366)</f>
        <v>633366</v>
      </c>
      <c r="J433" s="26">
        <f ca="1">IFERROR(__xludf.DUMMYFUNCTION("ROUND(I433*GOOGLEFINANCE(""KZTEUR""))"),1326)</f>
        <v>1326</v>
      </c>
      <c r="K433" s="26">
        <f t="shared" ca="1" si="262"/>
        <v>7367</v>
      </c>
      <c r="L433" s="26">
        <f t="shared" ca="1" si="263"/>
        <v>1399.73</v>
      </c>
      <c r="M433" s="26">
        <f t="shared" ref="M433:N433" si="440">M$3</f>
        <v>500</v>
      </c>
      <c r="N433" s="26">
        <f t="shared" si="440"/>
        <v>500</v>
      </c>
      <c r="O433" s="26">
        <f ca="1">IFERROR(__xludf.DUMMYFUNCTION("ROUND(GOOGLEFINANCE(""Currency:EURKZT"")*K433)"),3518255)</f>
        <v>3518255</v>
      </c>
      <c r="P433" s="26">
        <f ca="1">IFERROR(__xludf.DUMMYFUNCTION("ROUND(GOOGLEFINANCE(""Currency:EURKZT"")*M433)"),238785)</f>
        <v>238785</v>
      </c>
      <c r="Q433" s="26">
        <f ca="1">IFERROR(__xludf.DUMMYFUNCTION("ROUND(GOOGLEFINANCE(""Currency:EURKZT"")*N433)"),238785)</f>
        <v>238785</v>
      </c>
      <c r="R433" s="26">
        <f t="shared" ca="1" si="265"/>
        <v>422191</v>
      </c>
      <c r="S433" s="26">
        <f t="shared" ca="1" si="266"/>
        <v>4418016</v>
      </c>
      <c r="T433" s="26">
        <f ca="1">IFERROR(__xludf.DUMMYFUNCTION("ROUND(GOOGLEFINANCE(""Currency:EURKZT"")*L433+S433)"),5086485)</f>
        <v>5086485</v>
      </c>
      <c r="U433" s="26">
        <f ca="1">IFERROR(__xludf.DUMMYFUNCTION("D433*GOOGLEFINANCE(""RUBKZT"")*1000/F433"),6397640.17498368)</f>
        <v>6397640.1749836802</v>
      </c>
      <c r="V433" s="27">
        <f t="shared" ca="1" si="267"/>
        <v>0.2577723467155964</v>
      </c>
    </row>
    <row r="434" spans="1:22" ht="12.75" customHeight="1" x14ac:dyDescent="0.2">
      <c r="A434" s="6" t="s">
        <v>281</v>
      </c>
      <c r="B434" s="6" t="s">
        <v>18</v>
      </c>
      <c r="C434" s="7">
        <v>176269</v>
      </c>
      <c r="D434" s="8">
        <v>138136.79999999999</v>
      </c>
      <c r="E434" s="9" t="s">
        <v>16</v>
      </c>
      <c r="F434" s="36">
        <v>180</v>
      </c>
      <c r="G434" s="25"/>
      <c r="H434" s="14">
        <f t="shared" si="261"/>
        <v>0.55000000000000004</v>
      </c>
      <c r="I434" s="25">
        <f ca="1">IFERROR(__xludf.DUMMYFUNCTION("ROUND(D434*GOOGLEFINANCE(""RUBKZT"")*H434)"),592875)</f>
        <v>592875</v>
      </c>
      <c r="J434" s="26">
        <f ca="1">IFERROR(__xludf.DUMMYFUNCTION("ROUND(I434*GOOGLEFINANCE(""KZTEUR""))"),1242)</f>
        <v>1242</v>
      </c>
      <c r="K434" s="26">
        <f t="shared" ca="1" si="262"/>
        <v>6900</v>
      </c>
      <c r="L434" s="26">
        <f t="shared" ca="1" si="263"/>
        <v>1311</v>
      </c>
      <c r="M434" s="26">
        <f t="shared" ref="M434:N434" si="441">M$3</f>
        <v>500</v>
      </c>
      <c r="N434" s="26">
        <f t="shared" si="441"/>
        <v>500</v>
      </c>
      <c r="O434" s="26">
        <f ca="1">IFERROR(__xludf.DUMMYFUNCTION("ROUND(GOOGLEFINANCE(""Currency:EURKZT"")*K434)"),3295230)</f>
        <v>3295230</v>
      </c>
      <c r="P434" s="26">
        <f ca="1">IFERROR(__xludf.DUMMYFUNCTION("ROUND(GOOGLEFINANCE(""Currency:EURKZT"")*M434)"),238785)</f>
        <v>238785</v>
      </c>
      <c r="Q434" s="26">
        <f ca="1">IFERROR(__xludf.DUMMYFUNCTION("ROUND(GOOGLEFINANCE(""Currency:EURKZT"")*N434)"),238785)</f>
        <v>238785</v>
      </c>
      <c r="R434" s="26">
        <f t="shared" ca="1" si="265"/>
        <v>395428</v>
      </c>
      <c r="S434" s="26">
        <f t="shared" ca="1" si="266"/>
        <v>4168228</v>
      </c>
      <c r="T434" s="26">
        <f ca="1">IFERROR(__xludf.DUMMYFUNCTION("ROUND(GOOGLEFINANCE(""Currency:EURKZT"")*L434+S434)"),4794322)</f>
        <v>4794322</v>
      </c>
      <c r="U434" s="26">
        <f ca="1">IFERROR(__xludf.DUMMYFUNCTION("D434*GOOGLEFINANCE(""RUBKZT"")*1000/F434"),5988631.53056752)</f>
        <v>5988631.5305675203</v>
      </c>
      <c r="V434" s="27">
        <f t="shared" ca="1" si="267"/>
        <v>0.2491091609131636</v>
      </c>
    </row>
    <row r="435" spans="1:22" ht="12.75" customHeight="1" x14ac:dyDescent="0.2">
      <c r="A435" s="6" t="s">
        <v>289</v>
      </c>
      <c r="B435" s="6" t="s">
        <v>18</v>
      </c>
      <c r="C435" s="7">
        <v>182158</v>
      </c>
      <c r="D435" s="8">
        <v>140538</v>
      </c>
      <c r="E435" s="9" t="s">
        <v>16</v>
      </c>
      <c r="F435" s="36">
        <v>180</v>
      </c>
      <c r="G435" s="25"/>
      <c r="H435" s="14">
        <f t="shared" si="261"/>
        <v>0.55000000000000004</v>
      </c>
      <c r="I435" s="25">
        <f ca="1">IFERROR(__xludf.DUMMYFUNCTION("ROUND(D435*GOOGLEFINANCE(""RUBKZT"")*H435)"),603180)</f>
        <v>603180</v>
      </c>
      <c r="J435" s="26">
        <f ca="1">IFERROR(__xludf.DUMMYFUNCTION("ROUND(I435*GOOGLEFINANCE(""KZTEUR""))"),1263)</f>
        <v>1263</v>
      </c>
      <c r="K435" s="26">
        <f t="shared" ca="1" si="262"/>
        <v>7017</v>
      </c>
      <c r="L435" s="26">
        <f t="shared" ca="1" si="263"/>
        <v>1333.23</v>
      </c>
      <c r="M435" s="26">
        <f t="shared" ref="M435:N435" si="442">M$3</f>
        <v>500</v>
      </c>
      <c r="N435" s="26">
        <f t="shared" si="442"/>
        <v>500</v>
      </c>
      <c r="O435" s="26">
        <f ca="1">IFERROR(__xludf.DUMMYFUNCTION("ROUND(GOOGLEFINANCE(""Currency:EURKZT"")*K435)"),3351106)</f>
        <v>3351106</v>
      </c>
      <c r="P435" s="26">
        <f ca="1">IFERROR(__xludf.DUMMYFUNCTION("ROUND(GOOGLEFINANCE(""Currency:EURKZT"")*M435)"),238785)</f>
        <v>238785</v>
      </c>
      <c r="Q435" s="26">
        <f ca="1">IFERROR(__xludf.DUMMYFUNCTION("ROUND(GOOGLEFINANCE(""Currency:EURKZT"")*N435)"),238785)</f>
        <v>238785</v>
      </c>
      <c r="R435" s="26">
        <f t="shared" ca="1" si="265"/>
        <v>402133</v>
      </c>
      <c r="S435" s="26">
        <f t="shared" ca="1" si="266"/>
        <v>4230809</v>
      </c>
      <c r="T435" s="26">
        <f ca="1">IFERROR(__xludf.DUMMYFUNCTION("ROUND(GOOGLEFINANCE(""Currency:EURKZT"")*L435+S435)"),4867519)</f>
        <v>4867519</v>
      </c>
      <c r="U435" s="26">
        <f ca="1">IFERROR(__xludf.DUMMYFUNCTION("D435*GOOGLEFINANCE(""RUBKZT"")*1000/F435"),6092730.5254132)</f>
        <v>6092730.5254132003</v>
      </c>
      <c r="V435" s="27">
        <f t="shared" ca="1" si="267"/>
        <v>0.2517117088630163</v>
      </c>
    </row>
    <row r="436" spans="1:22" ht="12.75" customHeight="1" x14ac:dyDescent="0.2">
      <c r="A436" s="6" t="s">
        <v>258</v>
      </c>
      <c r="B436" s="6" t="s">
        <v>18</v>
      </c>
      <c r="C436" s="7">
        <v>183447</v>
      </c>
      <c r="D436" s="8">
        <v>142592.4</v>
      </c>
      <c r="E436" s="9" t="s">
        <v>16</v>
      </c>
      <c r="F436" s="36">
        <v>180</v>
      </c>
      <c r="G436" s="25"/>
      <c r="H436" s="14">
        <f t="shared" si="261"/>
        <v>0.55000000000000004</v>
      </c>
      <c r="I436" s="25">
        <f ca="1">IFERROR(__xludf.DUMMYFUNCTION("ROUND(D436*GOOGLEFINANCE(""RUBKZT"")*H436)"),611998)</f>
        <v>611998</v>
      </c>
      <c r="J436" s="26">
        <f ca="1">IFERROR(__xludf.DUMMYFUNCTION("ROUND(I436*GOOGLEFINANCE(""KZTEUR""))"),1282)</f>
        <v>1282</v>
      </c>
      <c r="K436" s="26">
        <f t="shared" ca="1" si="262"/>
        <v>7122</v>
      </c>
      <c r="L436" s="26">
        <f t="shared" ca="1" si="263"/>
        <v>1353.18</v>
      </c>
      <c r="M436" s="26">
        <f t="shared" ref="M436:N436" si="443">M$3</f>
        <v>500</v>
      </c>
      <c r="N436" s="26">
        <f t="shared" si="443"/>
        <v>500</v>
      </c>
      <c r="O436" s="26">
        <f ca="1">IFERROR(__xludf.DUMMYFUNCTION("ROUND(GOOGLEFINANCE(""Currency:EURKZT"")*K436)"),3401251)</f>
        <v>3401251</v>
      </c>
      <c r="P436" s="26">
        <f ca="1">IFERROR(__xludf.DUMMYFUNCTION("ROUND(GOOGLEFINANCE(""Currency:EURKZT"")*M436)"),238785)</f>
        <v>238785</v>
      </c>
      <c r="Q436" s="26">
        <f ca="1">IFERROR(__xludf.DUMMYFUNCTION("ROUND(GOOGLEFINANCE(""Currency:EURKZT"")*N436)"),238785)</f>
        <v>238785</v>
      </c>
      <c r="R436" s="26">
        <f t="shared" ca="1" si="265"/>
        <v>408150</v>
      </c>
      <c r="S436" s="26">
        <f t="shared" ca="1" si="266"/>
        <v>4286971</v>
      </c>
      <c r="T436" s="26">
        <f ca="1">IFERROR(__xludf.DUMMYFUNCTION("ROUND(GOOGLEFINANCE(""Currency:EURKZT"")*L436+S436)"),4933209)</f>
        <v>4933209</v>
      </c>
      <c r="U436" s="26">
        <f ca="1">IFERROR(__xludf.DUMMYFUNCTION("D436*GOOGLEFINANCE(""RUBKZT"")*1000/F436"),6181794.73289736)</f>
        <v>6181794.7328973599</v>
      </c>
      <c r="V436" s="27">
        <f t="shared" ca="1" si="267"/>
        <v>0.25309808137002909</v>
      </c>
    </row>
    <row r="437" spans="1:22" ht="12.75" customHeight="1" x14ac:dyDescent="0.2">
      <c r="A437" s="6" t="s">
        <v>316</v>
      </c>
      <c r="B437" s="6" t="s">
        <v>18</v>
      </c>
      <c r="C437" s="7">
        <v>188254</v>
      </c>
      <c r="D437" s="8">
        <v>271818</v>
      </c>
      <c r="E437" s="9" t="s">
        <v>16</v>
      </c>
      <c r="F437" s="36">
        <v>180</v>
      </c>
      <c r="G437" s="25"/>
      <c r="H437" s="14">
        <f t="shared" si="261"/>
        <v>0.55000000000000004</v>
      </c>
      <c r="I437" s="25">
        <f ca="1">IFERROR(__xludf.DUMMYFUNCTION("ROUND(D437*GOOGLEFINANCE(""RUBKZT"")*H437)"),1166626)</f>
        <v>1166626</v>
      </c>
      <c r="J437" s="26">
        <f ca="1">IFERROR(__xludf.DUMMYFUNCTION("ROUND(I437*GOOGLEFINANCE(""KZTEUR""))"),2443)</f>
        <v>2443</v>
      </c>
      <c r="K437" s="26">
        <f t="shared" ca="1" si="262"/>
        <v>13572</v>
      </c>
      <c r="L437" s="26">
        <f t="shared" ca="1" si="263"/>
        <v>2578.6799999999998</v>
      </c>
      <c r="M437" s="26">
        <f t="shared" ref="M437:N437" si="444">M$3</f>
        <v>500</v>
      </c>
      <c r="N437" s="26">
        <f t="shared" si="444"/>
        <v>500</v>
      </c>
      <c r="O437" s="26">
        <f ca="1">IFERROR(__xludf.DUMMYFUNCTION("ROUND(GOOGLEFINANCE(""Currency:EURKZT"")*K437)"),6481575)</f>
        <v>6481575</v>
      </c>
      <c r="P437" s="26">
        <f ca="1">IFERROR(__xludf.DUMMYFUNCTION("ROUND(GOOGLEFINANCE(""Currency:EURKZT"")*M437)"),238785)</f>
        <v>238785</v>
      </c>
      <c r="Q437" s="26">
        <f ca="1">IFERROR(__xludf.DUMMYFUNCTION("ROUND(GOOGLEFINANCE(""Currency:EURKZT"")*N437)"),238785)</f>
        <v>238785</v>
      </c>
      <c r="R437" s="26">
        <f t="shared" ca="1" si="265"/>
        <v>777789</v>
      </c>
      <c r="S437" s="26">
        <f t="shared" ca="1" si="266"/>
        <v>7736934</v>
      </c>
      <c r="T437" s="26">
        <f ca="1">IFERROR(__xludf.DUMMYFUNCTION("ROUND(GOOGLEFINANCE(""Currency:EURKZT"")*L437+S437)"),8968433)</f>
        <v>8968433</v>
      </c>
      <c r="U437" s="26">
        <f ca="1">IFERROR(__xludf.DUMMYFUNCTION("D437*GOOGLEFINANCE(""RUBKZT"")*1000/F437"),11784099.8588052)</f>
        <v>11784099.8588052</v>
      </c>
      <c r="V437" s="27">
        <f t="shared" ca="1" si="267"/>
        <v>0.31395304606782481</v>
      </c>
    </row>
    <row r="438" spans="1:22" ht="12.75" customHeight="1" x14ac:dyDescent="0.2">
      <c r="A438" s="6" t="s">
        <v>321</v>
      </c>
      <c r="B438" s="6" t="s">
        <v>18</v>
      </c>
      <c r="C438" s="7">
        <v>188518</v>
      </c>
      <c r="D438" s="8">
        <v>262959.59999999998</v>
      </c>
      <c r="E438" s="9" t="s">
        <v>16</v>
      </c>
      <c r="F438" s="36">
        <v>180</v>
      </c>
      <c r="G438" s="25"/>
      <c r="H438" s="14">
        <f t="shared" si="261"/>
        <v>0.55000000000000004</v>
      </c>
      <c r="I438" s="25">
        <f ca="1">IFERROR(__xludf.DUMMYFUNCTION("ROUND(D438*GOOGLEFINANCE(""RUBKZT"")*H438)"),1128606)</f>
        <v>1128606</v>
      </c>
      <c r="J438" s="26">
        <f ca="1">IFERROR(__xludf.DUMMYFUNCTION("ROUND(I438*GOOGLEFINANCE(""KZTEUR""))"),2364)</f>
        <v>2364</v>
      </c>
      <c r="K438" s="26">
        <f t="shared" ca="1" si="262"/>
        <v>13133</v>
      </c>
      <c r="L438" s="26">
        <f t="shared" ca="1" si="263"/>
        <v>2495.27</v>
      </c>
      <c r="M438" s="26">
        <f t="shared" ref="M438:N438" si="445">M$3</f>
        <v>500</v>
      </c>
      <c r="N438" s="26">
        <f t="shared" si="445"/>
        <v>500</v>
      </c>
      <c r="O438" s="26">
        <f ca="1">IFERROR(__xludf.DUMMYFUNCTION("ROUND(GOOGLEFINANCE(""Currency:EURKZT"")*K438)"),6271922)</f>
        <v>6271922</v>
      </c>
      <c r="P438" s="26">
        <f ca="1">IFERROR(__xludf.DUMMYFUNCTION("ROUND(GOOGLEFINANCE(""Currency:EURKZT"")*M438)"),238785)</f>
        <v>238785</v>
      </c>
      <c r="Q438" s="26">
        <f ca="1">IFERROR(__xludf.DUMMYFUNCTION("ROUND(GOOGLEFINANCE(""Currency:EURKZT"")*N438)"),238785)</f>
        <v>238785</v>
      </c>
      <c r="R438" s="26">
        <f t="shared" ca="1" si="265"/>
        <v>752631</v>
      </c>
      <c r="S438" s="26">
        <f t="shared" ca="1" si="266"/>
        <v>7502123</v>
      </c>
      <c r="T438" s="26">
        <f ca="1">IFERROR(__xludf.DUMMYFUNCTION("ROUND(GOOGLEFINANCE(""Currency:EURKZT"")*L438+S438)"),8693788)</f>
        <v>8693788</v>
      </c>
      <c r="U438" s="26">
        <f ca="1">IFERROR(__xludf.DUMMYFUNCTION("D438*GOOGLEFINANCE(""RUBKZT"")*1000/F438"),11400062.4875154)</f>
        <v>11400062.487515399</v>
      </c>
      <c r="V438" s="27">
        <f t="shared" ca="1" si="267"/>
        <v>0.31128830005003566</v>
      </c>
    </row>
    <row r="439" spans="1:22" ht="12.75" customHeight="1" x14ac:dyDescent="0.2">
      <c r="A439" s="6" t="s">
        <v>322</v>
      </c>
      <c r="B439" s="6" t="s">
        <v>18</v>
      </c>
      <c r="C439" s="7">
        <v>188580</v>
      </c>
      <c r="D439" s="8">
        <v>236112</v>
      </c>
      <c r="E439" s="9" t="s">
        <v>16</v>
      </c>
      <c r="F439" s="36">
        <v>180</v>
      </c>
      <c r="G439" s="25"/>
      <c r="H439" s="14">
        <f t="shared" si="261"/>
        <v>0.55000000000000004</v>
      </c>
      <c r="I439" s="25">
        <f ca="1">IFERROR(__xludf.DUMMYFUNCTION("ROUND(D439*GOOGLEFINANCE(""RUBKZT"")*H439)"),1013378)</f>
        <v>1013378</v>
      </c>
      <c r="J439" s="26">
        <f ca="1">IFERROR(__xludf.DUMMYFUNCTION("ROUND(I439*GOOGLEFINANCE(""KZTEUR""))"),2122)</f>
        <v>2122</v>
      </c>
      <c r="K439" s="26">
        <f t="shared" ca="1" si="262"/>
        <v>11789</v>
      </c>
      <c r="L439" s="26">
        <f t="shared" ca="1" si="263"/>
        <v>2239.91</v>
      </c>
      <c r="M439" s="26">
        <f t="shared" ref="M439:N439" si="446">M$3</f>
        <v>500</v>
      </c>
      <c r="N439" s="26">
        <f t="shared" si="446"/>
        <v>500</v>
      </c>
      <c r="O439" s="26">
        <f ca="1">IFERROR(__xludf.DUMMYFUNCTION("ROUND(GOOGLEFINANCE(""Currency:EURKZT"")*K439)"),5630068)</f>
        <v>5630068</v>
      </c>
      <c r="P439" s="26">
        <f ca="1">IFERROR(__xludf.DUMMYFUNCTION("ROUND(GOOGLEFINANCE(""Currency:EURKZT"")*M439)"),238785)</f>
        <v>238785</v>
      </c>
      <c r="Q439" s="26">
        <f ca="1">IFERROR(__xludf.DUMMYFUNCTION("ROUND(GOOGLEFINANCE(""Currency:EURKZT"")*N439)"),238785)</f>
        <v>238785</v>
      </c>
      <c r="R439" s="26">
        <f t="shared" ca="1" si="265"/>
        <v>675608</v>
      </c>
      <c r="S439" s="26">
        <f t="shared" ca="1" si="266"/>
        <v>6783246</v>
      </c>
      <c r="T439" s="26">
        <f ca="1">IFERROR(__xludf.DUMMYFUNCTION("ROUND(GOOGLEFINANCE(""Currency:EURKZT"")*L439+S439)"),7852959)</f>
        <v>7852959</v>
      </c>
      <c r="U439" s="26">
        <f ca="1">IFERROR(__xludf.DUMMYFUNCTION("D439*GOOGLEFINANCE(""RUBKZT"")*1000/F439"),10236141.0423968)</f>
        <v>10236141.042396801</v>
      </c>
      <c r="V439" s="27">
        <f t="shared" ca="1" si="267"/>
        <v>0.30347567616191562</v>
      </c>
    </row>
    <row r="440" spans="1:22" ht="12.75" customHeight="1" x14ac:dyDescent="0.2">
      <c r="A440" s="6" t="s">
        <v>347</v>
      </c>
      <c r="B440" s="6" t="s">
        <v>18</v>
      </c>
      <c r="C440" s="7">
        <v>190641</v>
      </c>
      <c r="D440" s="8">
        <v>141301.19999999998</v>
      </c>
      <c r="E440" s="9" t="s">
        <v>16</v>
      </c>
      <c r="F440" s="36">
        <v>180</v>
      </c>
      <c r="G440" s="25"/>
      <c r="H440" s="14">
        <f t="shared" si="261"/>
        <v>0.55000000000000004</v>
      </c>
      <c r="I440" s="25">
        <f ca="1">IFERROR(__xludf.DUMMYFUNCTION("ROUND(D440*GOOGLEFINANCE(""RUBKZT"")*H440)"),606456)</f>
        <v>606456</v>
      </c>
      <c r="J440" s="26">
        <f ca="1">IFERROR(__xludf.DUMMYFUNCTION("ROUND(I440*GOOGLEFINANCE(""KZTEUR""))"),1270)</f>
        <v>1270</v>
      </c>
      <c r="K440" s="26">
        <f t="shared" ca="1" si="262"/>
        <v>7056</v>
      </c>
      <c r="L440" s="26">
        <f t="shared" ca="1" si="263"/>
        <v>1340.64</v>
      </c>
      <c r="M440" s="26">
        <f t="shared" ref="M440:N440" si="447">M$3</f>
        <v>500</v>
      </c>
      <c r="N440" s="26">
        <f t="shared" si="447"/>
        <v>500</v>
      </c>
      <c r="O440" s="26">
        <f ca="1">IFERROR(__xludf.DUMMYFUNCTION("ROUND(GOOGLEFINANCE(""Currency:EURKZT"")*K440)"),3369731)</f>
        <v>3369731</v>
      </c>
      <c r="P440" s="26">
        <f ca="1">IFERROR(__xludf.DUMMYFUNCTION("ROUND(GOOGLEFINANCE(""Currency:EURKZT"")*M440)"),238785)</f>
        <v>238785</v>
      </c>
      <c r="Q440" s="26">
        <f ca="1">IFERROR(__xludf.DUMMYFUNCTION("ROUND(GOOGLEFINANCE(""Currency:EURKZT"")*N440)"),238785)</f>
        <v>238785</v>
      </c>
      <c r="R440" s="26">
        <f t="shared" ca="1" si="265"/>
        <v>404368</v>
      </c>
      <c r="S440" s="26">
        <f t="shared" ca="1" si="266"/>
        <v>4251669</v>
      </c>
      <c r="T440" s="26">
        <f ca="1">IFERROR(__xludf.DUMMYFUNCTION("ROUND(GOOGLEFINANCE(""Currency:EURKZT"")*L440+S440)"),4891918)</f>
        <v>4891918</v>
      </c>
      <c r="U440" s="26">
        <f ca="1">IFERROR(__xludf.DUMMYFUNCTION("D440*GOOGLEFINANCE(""RUBKZT"")*1000/F440"),6125817.46230568)</f>
        <v>6125817.4623056799</v>
      </c>
      <c r="V440" s="27">
        <f t="shared" ca="1" si="267"/>
        <v>0.2522322455743698</v>
      </c>
    </row>
    <row r="441" spans="1:22" ht="12.75" customHeight="1" x14ac:dyDescent="0.2">
      <c r="A441" s="6" t="s">
        <v>376</v>
      </c>
      <c r="B441" s="6" t="s">
        <v>18</v>
      </c>
      <c r="C441" s="7">
        <v>197276</v>
      </c>
      <c r="D441" s="8">
        <v>145044</v>
      </c>
      <c r="E441" s="9" t="s">
        <v>16</v>
      </c>
      <c r="F441" s="36">
        <v>180</v>
      </c>
      <c r="G441" s="25"/>
      <c r="H441" s="14">
        <f t="shared" si="261"/>
        <v>0.55000000000000004</v>
      </c>
      <c r="I441" s="25">
        <f ca="1">IFERROR(__xludf.DUMMYFUNCTION("ROUND(D441*GOOGLEFINANCE(""RUBKZT"")*H441)"),622520)</f>
        <v>622520</v>
      </c>
      <c r="J441" s="26">
        <f ca="1">IFERROR(__xludf.DUMMYFUNCTION("ROUND(I441*GOOGLEFINANCE(""KZTEUR""))"),1304)</f>
        <v>1304</v>
      </c>
      <c r="K441" s="26">
        <f t="shared" ca="1" si="262"/>
        <v>7244</v>
      </c>
      <c r="L441" s="26">
        <f t="shared" ca="1" si="263"/>
        <v>1376.3600000000001</v>
      </c>
      <c r="M441" s="26">
        <f t="shared" ref="M441:N441" si="448">M$3</f>
        <v>500</v>
      </c>
      <c r="N441" s="26">
        <f t="shared" si="448"/>
        <v>500</v>
      </c>
      <c r="O441" s="26">
        <f ca="1">IFERROR(__xludf.DUMMYFUNCTION("ROUND(GOOGLEFINANCE(""Currency:EURKZT"")*K441)"),3459514)</f>
        <v>3459514</v>
      </c>
      <c r="P441" s="26">
        <f ca="1">IFERROR(__xludf.DUMMYFUNCTION("ROUND(GOOGLEFINANCE(""Currency:EURKZT"")*M441)"),238785)</f>
        <v>238785</v>
      </c>
      <c r="Q441" s="26">
        <f ca="1">IFERROR(__xludf.DUMMYFUNCTION("ROUND(GOOGLEFINANCE(""Currency:EURKZT"")*N441)"),238785)</f>
        <v>238785</v>
      </c>
      <c r="R441" s="26">
        <f t="shared" ca="1" si="265"/>
        <v>415142</v>
      </c>
      <c r="S441" s="26">
        <f t="shared" ca="1" si="266"/>
        <v>4352226</v>
      </c>
      <c r="T441" s="26">
        <f ca="1">IFERROR(__xludf.DUMMYFUNCTION("ROUND(GOOGLEFINANCE(""Currency:EURKZT"")*L441+S441)"),5009534)</f>
        <v>5009534</v>
      </c>
      <c r="U441" s="26">
        <f ca="1">IFERROR(__xludf.DUMMYFUNCTION("D441*GOOGLEFINANCE(""RUBKZT"")*1000/F441"),6288078.7141416)</f>
        <v>6288078.7141415998</v>
      </c>
      <c r="V441" s="27">
        <f t="shared" ca="1" si="267"/>
        <v>0.25522228497532901</v>
      </c>
    </row>
    <row r="442" spans="1:22" ht="12.75" customHeight="1" x14ac:dyDescent="0.2">
      <c r="A442" s="6" t="s">
        <v>391</v>
      </c>
      <c r="B442" s="6" t="s">
        <v>18</v>
      </c>
      <c r="C442" s="7">
        <v>199419</v>
      </c>
      <c r="D442" s="8">
        <v>199884</v>
      </c>
      <c r="E442" s="9" t="s">
        <v>16</v>
      </c>
      <c r="F442" s="36">
        <v>180</v>
      </c>
      <c r="G442" s="25"/>
      <c r="H442" s="14">
        <f t="shared" si="261"/>
        <v>0.55000000000000004</v>
      </c>
      <c r="I442" s="25">
        <f ca="1">IFERROR(__xludf.DUMMYFUNCTION("ROUND(D442*GOOGLEFINANCE(""RUBKZT"")*H442)"),857890)</f>
        <v>857890</v>
      </c>
      <c r="J442" s="26">
        <f ca="1">IFERROR(__xludf.DUMMYFUNCTION("ROUND(I442*GOOGLEFINANCE(""KZTEUR""))"),1797)</f>
        <v>1797</v>
      </c>
      <c r="K442" s="26">
        <f t="shared" ca="1" si="262"/>
        <v>9983</v>
      </c>
      <c r="L442" s="26">
        <f t="shared" ca="1" si="263"/>
        <v>1896.77</v>
      </c>
      <c r="M442" s="26">
        <f t="shared" ref="M442:N442" si="449">M$3</f>
        <v>500</v>
      </c>
      <c r="N442" s="26">
        <f t="shared" si="449"/>
        <v>500</v>
      </c>
      <c r="O442" s="26">
        <f ca="1">IFERROR(__xludf.DUMMYFUNCTION("ROUND(GOOGLEFINANCE(""Currency:EURKZT"")*K442)"),4767577)</f>
        <v>4767577</v>
      </c>
      <c r="P442" s="26">
        <f ca="1">IFERROR(__xludf.DUMMYFUNCTION("ROUND(GOOGLEFINANCE(""Currency:EURKZT"")*M442)"),238785)</f>
        <v>238785</v>
      </c>
      <c r="Q442" s="26">
        <f ca="1">IFERROR(__xludf.DUMMYFUNCTION("ROUND(GOOGLEFINANCE(""Currency:EURKZT"")*N442)"),238785)</f>
        <v>238785</v>
      </c>
      <c r="R442" s="26">
        <f t="shared" ca="1" si="265"/>
        <v>572109</v>
      </c>
      <c r="S442" s="26">
        <f t="shared" ca="1" si="266"/>
        <v>5817256</v>
      </c>
      <c r="T442" s="26">
        <f ca="1">IFERROR(__xludf.DUMMYFUNCTION("ROUND(GOOGLEFINANCE(""Currency:EURKZT"")*L442+S442)"),6723096)</f>
        <v>6723096</v>
      </c>
      <c r="U442" s="26">
        <f ca="1">IFERROR(__xludf.DUMMYFUNCTION("D442*GOOGLEFINANCE(""RUBKZT"")*1000/F442"),8665552.0097176)</f>
        <v>8665552.0097176004</v>
      </c>
      <c r="V442" s="27">
        <f t="shared" ca="1" si="267"/>
        <v>0.28892284294580955</v>
      </c>
    </row>
    <row r="443" spans="1:22" ht="12.75" customHeight="1" x14ac:dyDescent="0.2">
      <c r="A443" s="6" t="s">
        <v>17</v>
      </c>
      <c r="B443" s="6" t="s">
        <v>18</v>
      </c>
      <c r="C443" s="7">
        <v>188854</v>
      </c>
      <c r="D443" s="8">
        <v>147049.19999999998</v>
      </c>
      <c r="E443" s="9" t="s">
        <v>16</v>
      </c>
      <c r="F443" s="36">
        <v>180</v>
      </c>
      <c r="G443" s="25"/>
      <c r="H443" s="14">
        <f t="shared" si="261"/>
        <v>0.55000000000000004</v>
      </c>
      <c r="I443" s="25">
        <f ca="1">IFERROR(__xludf.DUMMYFUNCTION("ROUND(D443*GOOGLEFINANCE(""RUBKZT"")*H443)"),631126)</f>
        <v>631126</v>
      </c>
      <c r="J443" s="26">
        <f ca="1">IFERROR(__xludf.DUMMYFUNCTION("ROUND(I443*GOOGLEFINANCE(""KZTEUR""))"),1322)</f>
        <v>1322</v>
      </c>
      <c r="K443" s="26">
        <f t="shared" ca="1" si="262"/>
        <v>7344</v>
      </c>
      <c r="L443" s="26">
        <f t="shared" ca="1" si="263"/>
        <v>1395.3600000000001</v>
      </c>
      <c r="M443" s="26">
        <f t="shared" ref="M443:N443" si="450">M$3</f>
        <v>500</v>
      </c>
      <c r="N443" s="26">
        <f t="shared" si="450"/>
        <v>500</v>
      </c>
      <c r="O443" s="26">
        <f ca="1">IFERROR(__xludf.DUMMYFUNCTION("ROUND(GOOGLEFINANCE(""Currency:EURKZT"")*K443)"),3507271)</f>
        <v>3507271</v>
      </c>
      <c r="P443" s="26">
        <f ca="1">IFERROR(__xludf.DUMMYFUNCTION("ROUND(GOOGLEFINANCE(""Currency:EURKZT"")*M443)"),238785)</f>
        <v>238785</v>
      </c>
      <c r="Q443" s="26">
        <f ca="1">IFERROR(__xludf.DUMMYFUNCTION("ROUND(GOOGLEFINANCE(""Currency:EURKZT"")*N443)"),238785)</f>
        <v>238785</v>
      </c>
      <c r="R443" s="26">
        <f t="shared" ca="1" si="265"/>
        <v>420873</v>
      </c>
      <c r="S443" s="26">
        <f t="shared" ca="1" si="266"/>
        <v>4405714</v>
      </c>
      <c r="T443" s="26">
        <f ca="1">IFERROR(__xludf.DUMMYFUNCTION("ROUND(GOOGLEFINANCE(""Currency:EURKZT"")*L443+S443)"),5072096)</f>
        <v>5072096</v>
      </c>
      <c r="U443" s="26">
        <f ca="1">IFERROR(__xludf.DUMMYFUNCTION("D443*GOOGLEFINANCE(""RUBKZT"")*1000/F443"),6375009.95871288)</f>
        <v>6375009.9587128796</v>
      </c>
      <c r="V443" s="27">
        <f t="shared" ca="1" si="267"/>
        <v>0.2568788048792609</v>
      </c>
    </row>
    <row r="444" spans="1:22" ht="12.75" customHeight="1" x14ac:dyDescent="0.2">
      <c r="A444" s="6" t="s">
        <v>20</v>
      </c>
      <c r="B444" s="6" t="s">
        <v>18</v>
      </c>
      <c r="C444" s="7">
        <v>190717</v>
      </c>
      <c r="D444" s="8">
        <v>110509.2</v>
      </c>
      <c r="E444" s="9" t="s">
        <v>16</v>
      </c>
      <c r="F444" s="36">
        <v>180</v>
      </c>
      <c r="G444" s="25"/>
      <c r="H444" s="14">
        <f t="shared" si="261"/>
        <v>0.55000000000000004</v>
      </c>
      <c r="I444" s="25">
        <f ca="1">IFERROR(__xludf.DUMMYFUNCTION("ROUND(D444*GOOGLEFINANCE(""RUBKZT"")*H444)"),474299)</f>
        <v>474299</v>
      </c>
      <c r="J444" s="26">
        <f ca="1">IFERROR(__xludf.DUMMYFUNCTION("ROUND(I444*GOOGLEFINANCE(""KZTEUR""))"),993)</f>
        <v>993</v>
      </c>
      <c r="K444" s="26">
        <f t="shared" ca="1" si="262"/>
        <v>5517</v>
      </c>
      <c r="L444" s="26">
        <f t="shared" ca="1" si="263"/>
        <v>1048.23</v>
      </c>
      <c r="M444" s="26">
        <f t="shared" ref="M444:N444" si="451">M$3</f>
        <v>500</v>
      </c>
      <c r="N444" s="26">
        <f t="shared" si="451"/>
        <v>500</v>
      </c>
      <c r="O444" s="26">
        <f ca="1">IFERROR(__xludf.DUMMYFUNCTION("ROUND(GOOGLEFINANCE(""Currency:EURKZT"")*K444)"),2634752)</f>
        <v>2634752</v>
      </c>
      <c r="P444" s="26">
        <f ca="1">IFERROR(__xludf.DUMMYFUNCTION("ROUND(GOOGLEFINANCE(""Currency:EURKZT"")*M444)"),238785)</f>
        <v>238785</v>
      </c>
      <c r="Q444" s="26">
        <f ca="1">IFERROR(__xludf.DUMMYFUNCTION("ROUND(GOOGLEFINANCE(""Currency:EURKZT"")*N444)"),238785)</f>
        <v>238785</v>
      </c>
      <c r="R444" s="26">
        <f t="shared" ca="1" si="265"/>
        <v>316170</v>
      </c>
      <c r="S444" s="26">
        <f t="shared" ca="1" si="266"/>
        <v>3428492</v>
      </c>
      <c r="T444" s="26">
        <f ca="1">IFERROR(__xludf.DUMMYFUNCTION("ROUND(GOOGLEFINANCE(""Currency:EURKZT"")*L444+S444)"),3929095)</f>
        <v>3929095</v>
      </c>
      <c r="U444" s="26">
        <f ca="1">IFERROR(__xludf.DUMMYFUNCTION("D444*GOOGLEFINANCE(""RUBKZT"")*1000/F444"),4790894.81975688)</f>
        <v>4790894.8197568804</v>
      </c>
      <c r="V444" s="27">
        <f t="shared" ca="1" si="267"/>
        <v>0.21933799507440782</v>
      </c>
    </row>
    <row r="445" spans="1:22" ht="12.75" customHeight="1" x14ac:dyDescent="0.2">
      <c r="A445" s="6" t="s">
        <v>21</v>
      </c>
      <c r="B445" s="6" t="s">
        <v>18</v>
      </c>
      <c r="C445" s="7">
        <v>190718</v>
      </c>
      <c r="D445" s="8">
        <v>108960</v>
      </c>
      <c r="E445" s="9" t="s">
        <v>16</v>
      </c>
      <c r="F445" s="36">
        <v>180</v>
      </c>
      <c r="G445" s="25"/>
      <c r="H445" s="14">
        <f t="shared" si="261"/>
        <v>0.55000000000000004</v>
      </c>
      <c r="I445" s="25">
        <f ca="1">IFERROR(__xludf.DUMMYFUNCTION("ROUND(D445*GOOGLEFINANCE(""RUBKZT"")*H445)"),467650)</f>
        <v>467650</v>
      </c>
      <c r="J445" s="26">
        <f ca="1">IFERROR(__xludf.DUMMYFUNCTION("ROUND(I445*GOOGLEFINANCE(""KZTEUR""))"),979)</f>
        <v>979</v>
      </c>
      <c r="K445" s="26">
        <f t="shared" ca="1" si="262"/>
        <v>5439</v>
      </c>
      <c r="L445" s="26">
        <f t="shared" ca="1" si="263"/>
        <v>1033.4100000000001</v>
      </c>
      <c r="M445" s="26">
        <f t="shared" ref="M445:N445" si="452">M$3</f>
        <v>500</v>
      </c>
      <c r="N445" s="26">
        <f t="shared" si="452"/>
        <v>500</v>
      </c>
      <c r="O445" s="26">
        <f ca="1">IFERROR(__xludf.DUMMYFUNCTION("ROUND(GOOGLEFINANCE(""Currency:EURKZT"")*K445)"),2597501)</f>
        <v>2597501</v>
      </c>
      <c r="P445" s="26">
        <f ca="1">IFERROR(__xludf.DUMMYFUNCTION("ROUND(GOOGLEFINANCE(""Currency:EURKZT"")*M445)"),238785)</f>
        <v>238785</v>
      </c>
      <c r="Q445" s="26">
        <f ca="1">IFERROR(__xludf.DUMMYFUNCTION("ROUND(GOOGLEFINANCE(""Currency:EURKZT"")*N445)"),238785)</f>
        <v>238785</v>
      </c>
      <c r="R445" s="26">
        <f t="shared" ca="1" si="265"/>
        <v>311700</v>
      </c>
      <c r="S445" s="26">
        <f t="shared" ca="1" si="266"/>
        <v>3386771</v>
      </c>
      <c r="T445" s="26">
        <f ca="1">IFERROR(__xludf.DUMMYFUNCTION("ROUND(GOOGLEFINANCE(""Currency:EURKZT"")*L445+S445)"),3880296)</f>
        <v>3880296</v>
      </c>
      <c r="U445" s="26">
        <f ca="1">IFERROR(__xludf.DUMMYFUNCTION("D445*GOOGLEFINANCE(""RUBKZT"")*1000/F445"),4723732.499744)</f>
        <v>4723732.4997439999</v>
      </c>
      <c r="V445" s="27">
        <f t="shared" ca="1" si="267"/>
        <v>0.21736395876603226</v>
      </c>
    </row>
    <row r="446" spans="1:22" ht="12.75" customHeight="1" x14ac:dyDescent="0.2">
      <c r="A446" s="6" t="s">
        <v>24</v>
      </c>
      <c r="B446" s="6" t="s">
        <v>18</v>
      </c>
      <c r="C446" s="7">
        <v>168555</v>
      </c>
      <c r="D446" s="8">
        <v>122137.2</v>
      </c>
      <c r="E446" s="9" t="s">
        <v>16</v>
      </c>
      <c r="F446" s="36">
        <v>180</v>
      </c>
      <c r="G446" s="25"/>
      <c r="H446" s="14">
        <f t="shared" si="261"/>
        <v>0.55000000000000004</v>
      </c>
      <c r="I446" s="25">
        <f ca="1">IFERROR(__xludf.DUMMYFUNCTION("ROUND(D446*GOOGLEFINANCE(""RUBKZT"")*H446)"),524205)</f>
        <v>524205</v>
      </c>
      <c r="J446" s="26">
        <f ca="1">IFERROR(__xludf.DUMMYFUNCTION("ROUND(I446*GOOGLEFINANCE(""KZTEUR""))"),1098)</f>
        <v>1098</v>
      </c>
      <c r="K446" s="26">
        <f t="shared" ca="1" si="262"/>
        <v>6100</v>
      </c>
      <c r="L446" s="26">
        <f t="shared" ca="1" si="263"/>
        <v>1159</v>
      </c>
      <c r="M446" s="26">
        <f t="shared" ref="M446:N446" si="453">M$3</f>
        <v>500</v>
      </c>
      <c r="N446" s="26">
        <f t="shared" si="453"/>
        <v>500</v>
      </c>
      <c r="O446" s="26">
        <f ca="1">IFERROR(__xludf.DUMMYFUNCTION("ROUND(GOOGLEFINANCE(""Currency:EURKZT"")*K446)"),2913175)</f>
        <v>2913175</v>
      </c>
      <c r="P446" s="26">
        <f ca="1">IFERROR(__xludf.DUMMYFUNCTION("ROUND(GOOGLEFINANCE(""Currency:EURKZT"")*M446)"),238785)</f>
        <v>238785</v>
      </c>
      <c r="Q446" s="26">
        <f ca="1">IFERROR(__xludf.DUMMYFUNCTION("ROUND(GOOGLEFINANCE(""Currency:EURKZT"")*N446)"),238785)</f>
        <v>238785</v>
      </c>
      <c r="R446" s="26">
        <f t="shared" ca="1" si="265"/>
        <v>349581</v>
      </c>
      <c r="S446" s="26">
        <f t="shared" ca="1" si="266"/>
        <v>3740326</v>
      </c>
      <c r="T446" s="26">
        <f ca="1">IFERROR(__xludf.DUMMYFUNCTION("ROUND(GOOGLEFINANCE(""Currency:EURKZT"")*L446+S446)"),4293829)</f>
        <v>4293829</v>
      </c>
      <c r="U446" s="26">
        <f ca="1">IFERROR(__xludf.DUMMYFUNCTION("D446*GOOGLEFINANCE(""RUBKZT"")*1000/F446"),5295002.39599608)</f>
        <v>5295002.3959960798</v>
      </c>
      <c r="V446" s="27">
        <f t="shared" ca="1" si="267"/>
        <v>0.23316564213341515</v>
      </c>
    </row>
    <row r="447" spans="1:22" ht="12.75" customHeight="1" x14ac:dyDescent="0.2">
      <c r="A447" s="6" t="s">
        <v>23</v>
      </c>
      <c r="B447" s="6" t="s">
        <v>18</v>
      </c>
      <c r="C447" s="7">
        <v>190719</v>
      </c>
      <c r="D447" s="8">
        <v>131293.19999999998</v>
      </c>
      <c r="E447" s="9" t="s">
        <v>16</v>
      </c>
      <c r="F447" s="36">
        <v>180</v>
      </c>
      <c r="G447" s="25"/>
      <c r="H447" s="14">
        <f t="shared" si="261"/>
        <v>0.55000000000000004</v>
      </c>
      <c r="I447" s="25">
        <f ca="1">IFERROR(__xludf.DUMMYFUNCTION("ROUND(D447*GOOGLEFINANCE(""RUBKZT"")*H447)"),563502)</f>
        <v>563502</v>
      </c>
      <c r="J447" s="26">
        <f ca="1">IFERROR(__xludf.DUMMYFUNCTION("ROUND(I447*GOOGLEFINANCE(""KZTEUR""))"),1180)</f>
        <v>1180</v>
      </c>
      <c r="K447" s="26">
        <f t="shared" ca="1" si="262"/>
        <v>6556</v>
      </c>
      <c r="L447" s="26">
        <f t="shared" ca="1" si="263"/>
        <v>1245.6400000000001</v>
      </c>
      <c r="M447" s="26">
        <f t="shared" ref="M447:N447" si="454">M$3</f>
        <v>500</v>
      </c>
      <c r="N447" s="26">
        <f t="shared" si="454"/>
        <v>500</v>
      </c>
      <c r="O447" s="26">
        <f ca="1">IFERROR(__xludf.DUMMYFUNCTION("ROUND(GOOGLEFINANCE(""Currency:EURKZT"")*K447)"),3130946)</f>
        <v>3130946</v>
      </c>
      <c r="P447" s="26">
        <f ca="1">IFERROR(__xludf.DUMMYFUNCTION("ROUND(GOOGLEFINANCE(""Currency:EURKZT"")*M447)"),238785)</f>
        <v>238785</v>
      </c>
      <c r="Q447" s="26">
        <f ca="1">IFERROR(__xludf.DUMMYFUNCTION("ROUND(GOOGLEFINANCE(""Currency:EURKZT"")*N447)"),238785)</f>
        <v>238785</v>
      </c>
      <c r="R447" s="26">
        <f t="shared" ca="1" si="265"/>
        <v>375714</v>
      </c>
      <c r="S447" s="26">
        <f t="shared" ca="1" si="266"/>
        <v>3984230</v>
      </c>
      <c r="T447" s="26">
        <f ca="1">IFERROR(__xludf.DUMMYFUNCTION("ROUND(GOOGLEFINANCE(""Currency:EURKZT"")*L447+S447)"),4579110)</f>
        <v>4579110</v>
      </c>
      <c r="U447" s="26">
        <f ca="1">IFERROR(__xludf.DUMMYFUNCTION("D447*GOOGLEFINANCE(""RUBKZT"")*1000/F447"),5691941.59173447)</f>
        <v>5691941.5917344699</v>
      </c>
      <c r="V447" s="27">
        <f t="shared" ca="1" si="267"/>
        <v>0.24302355517436136</v>
      </c>
    </row>
    <row r="448" spans="1:22" ht="12.75" customHeight="1" x14ac:dyDescent="0.2">
      <c r="A448" s="6" t="s">
        <v>165</v>
      </c>
      <c r="B448" s="6" t="s">
        <v>18</v>
      </c>
      <c r="C448" s="7">
        <v>195062</v>
      </c>
      <c r="D448" s="8">
        <v>110509.2</v>
      </c>
      <c r="E448" s="9" t="s">
        <v>16</v>
      </c>
      <c r="F448" s="36">
        <v>180</v>
      </c>
      <c r="G448" s="25"/>
      <c r="H448" s="14">
        <f t="shared" si="261"/>
        <v>0.55000000000000004</v>
      </c>
      <c r="I448" s="25">
        <f ca="1">IFERROR(__xludf.DUMMYFUNCTION("ROUND(D448*GOOGLEFINANCE(""RUBKZT"")*H448)"),474299)</f>
        <v>474299</v>
      </c>
      <c r="J448" s="26">
        <f ca="1">IFERROR(__xludf.DUMMYFUNCTION("ROUND(I448*GOOGLEFINANCE(""KZTEUR""))"),993)</f>
        <v>993</v>
      </c>
      <c r="K448" s="26">
        <f t="shared" ca="1" si="262"/>
        <v>5517</v>
      </c>
      <c r="L448" s="26">
        <f t="shared" ca="1" si="263"/>
        <v>1048.23</v>
      </c>
      <c r="M448" s="26">
        <f t="shared" ref="M448:N448" si="455">M$3</f>
        <v>500</v>
      </c>
      <c r="N448" s="26">
        <f t="shared" si="455"/>
        <v>500</v>
      </c>
      <c r="O448" s="26">
        <f ca="1">IFERROR(__xludf.DUMMYFUNCTION("ROUND(GOOGLEFINANCE(""Currency:EURKZT"")*K448)"),2634752)</f>
        <v>2634752</v>
      </c>
      <c r="P448" s="26">
        <f ca="1">IFERROR(__xludf.DUMMYFUNCTION("ROUND(GOOGLEFINANCE(""Currency:EURKZT"")*M448)"),238785)</f>
        <v>238785</v>
      </c>
      <c r="Q448" s="26">
        <f ca="1">IFERROR(__xludf.DUMMYFUNCTION("ROUND(GOOGLEFINANCE(""Currency:EURKZT"")*N448)"),238785)</f>
        <v>238785</v>
      </c>
      <c r="R448" s="26">
        <f t="shared" ca="1" si="265"/>
        <v>316170</v>
      </c>
      <c r="S448" s="26">
        <f t="shared" ca="1" si="266"/>
        <v>3428492</v>
      </c>
      <c r="T448" s="26">
        <f ca="1">IFERROR(__xludf.DUMMYFUNCTION("ROUND(GOOGLEFINANCE(""Currency:EURKZT"")*L448+S448)"),3929095)</f>
        <v>3929095</v>
      </c>
      <c r="U448" s="26">
        <f ca="1">IFERROR(__xludf.DUMMYFUNCTION("D448*GOOGLEFINANCE(""RUBKZT"")*1000/F448"),4790894.81975688)</f>
        <v>4790894.8197568804</v>
      </c>
      <c r="V448" s="27">
        <f t="shared" ca="1" si="267"/>
        <v>0.21933799507440782</v>
      </c>
    </row>
    <row r="449" spans="1:22" ht="12.75" customHeight="1" x14ac:dyDescent="0.2">
      <c r="A449" s="6" t="s">
        <v>78</v>
      </c>
      <c r="B449" s="6" t="s">
        <v>18</v>
      </c>
      <c r="C449" s="7">
        <v>204234</v>
      </c>
      <c r="D449" s="8">
        <v>112292.4</v>
      </c>
      <c r="E449" s="9" t="s">
        <v>16</v>
      </c>
      <c r="F449" s="36">
        <v>180</v>
      </c>
      <c r="G449" s="25"/>
      <c r="H449" s="14">
        <f t="shared" si="261"/>
        <v>0.55000000000000004</v>
      </c>
      <c r="I449" s="25">
        <f ca="1">IFERROR(__xludf.DUMMYFUNCTION("ROUND(D449*GOOGLEFINANCE(""RUBKZT"")*H449)"),481952)</f>
        <v>481952</v>
      </c>
      <c r="J449" s="26">
        <f ca="1">IFERROR(__xludf.DUMMYFUNCTION("ROUND(I449*GOOGLEFINANCE(""KZTEUR""))"),1009)</f>
        <v>1009</v>
      </c>
      <c r="K449" s="26">
        <f t="shared" ca="1" si="262"/>
        <v>5606</v>
      </c>
      <c r="L449" s="26">
        <f t="shared" ca="1" si="263"/>
        <v>1065.1400000000001</v>
      </c>
      <c r="M449" s="26">
        <f t="shared" ref="M449:N449" si="456">M$3</f>
        <v>500</v>
      </c>
      <c r="N449" s="26">
        <f t="shared" si="456"/>
        <v>500</v>
      </c>
      <c r="O449" s="26">
        <f ca="1">IFERROR(__xludf.DUMMYFUNCTION("ROUND(GOOGLEFINANCE(""Currency:EURKZT"")*K449)"),2677255)</f>
        <v>2677255</v>
      </c>
      <c r="P449" s="26">
        <f ca="1">IFERROR(__xludf.DUMMYFUNCTION("ROUND(GOOGLEFINANCE(""Currency:EURKZT"")*M449)"),238785)</f>
        <v>238785</v>
      </c>
      <c r="Q449" s="26">
        <f ca="1">IFERROR(__xludf.DUMMYFUNCTION("ROUND(GOOGLEFINANCE(""Currency:EURKZT"")*N449)"),238785)</f>
        <v>238785</v>
      </c>
      <c r="R449" s="26">
        <f t="shared" ca="1" si="265"/>
        <v>321271</v>
      </c>
      <c r="S449" s="26">
        <f t="shared" ca="1" si="266"/>
        <v>3476096</v>
      </c>
      <c r="T449" s="26">
        <f ca="1">IFERROR(__xludf.DUMMYFUNCTION("ROUND(GOOGLEFINANCE(""Currency:EURKZT"")*L449+S449)"),3984774)</f>
        <v>3984774</v>
      </c>
      <c r="U449" s="26">
        <f ca="1">IFERROR(__xludf.DUMMYFUNCTION("D449*GOOGLEFINANCE(""RUBKZT"")*1000/F449"),4868201.71947736)</f>
        <v>4868201.7194773601</v>
      </c>
      <c r="V449" s="27">
        <f t="shared" ca="1" si="267"/>
        <v>0.22170083409432007</v>
      </c>
    </row>
    <row r="450" spans="1:22" ht="12.75" customHeight="1" x14ac:dyDescent="0.2">
      <c r="A450" s="6" t="s">
        <v>182</v>
      </c>
      <c r="B450" s="6" t="s">
        <v>18</v>
      </c>
      <c r="C450" s="7">
        <v>209684</v>
      </c>
      <c r="D450" s="8">
        <v>132344.4</v>
      </c>
      <c r="E450" s="9" t="s">
        <v>16</v>
      </c>
      <c r="F450" s="36">
        <v>180</v>
      </c>
      <c r="G450" s="25"/>
      <c r="H450" s="14">
        <f t="shared" si="261"/>
        <v>0.55000000000000004</v>
      </c>
      <c r="I450" s="25">
        <f ca="1">IFERROR(__xludf.DUMMYFUNCTION("ROUND(D450*GOOGLEFINANCE(""RUBKZT"")*H450)"),568014)</f>
        <v>568014</v>
      </c>
      <c r="J450" s="26">
        <f ca="1">IFERROR(__xludf.DUMMYFUNCTION("ROUND(I450*GOOGLEFINANCE(""KZTEUR""))"),1190)</f>
        <v>1190</v>
      </c>
      <c r="K450" s="26">
        <f t="shared" ca="1" si="262"/>
        <v>6611</v>
      </c>
      <c r="L450" s="26">
        <f t="shared" ca="1" si="263"/>
        <v>1256.0899999999999</v>
      </c>
      <c r="M450" s="26">
        <f t="shared" ref="M450:N450" si="457">M$3</f>
        <v>500</v>
      </c>
      <c r="N450" s="26">
        <f t="shared" si="457"/>
        <v>500</v>
      </c>
      <c r="O450" s="26">
        <f ca="1">IFERROR(__xludf.DUMMYFUNCTION("ROUND(GOOGLEFINANCE(""Currency:EURKZT"")*K450)"),3157213)</f>
        <v>3157213</v>
      </c>
      <c r="P450" s="26">
        <f ca="1">IFERROR(__xludf.DUMMYFUNCTION("ROUND(GOOGLEFINANCE(""Currency:EURKZT"")*M450)"),238785)</f>
        <v>238785</v>
      </c>
      <c r="Q450" s="26">
        <f ca="1">IFERROR(__xludf.DUMMYFUNCTION("ROUND(GOOGLEFINANCE(""Currency:EURKZT"")*N450)"),238785)</f>
        <v>238785</v>
      </c>
      <c r="R450" s="26">
        <f t="shared" ca="1" si="265"/>
        <v>378866</v>
      </c>
      <c r="S450" s="26">
        <f t="shared" ca="1" si="266"/>
        <v>4013649</v>
      </c>
      <c r="T450" s="26">
        <f ca="1">IFERROR(__xludf.DUMMYFUNCTION("ROUND(GOOGLEFINANCE(""Currency:EURKZT"")*L450+S450)"),4613519)</f>
        <v>4613519</v>
      </c>
      <c r="U450" s="26">
        <f ca="1">IFERROR(__xludf.DUMMYFUNCTION("D450*GOOGLEFINANCE(""RUBKZT"")*1000/F450"),5737514.16519015)</f>
        <v>5737514.16519015</v>
      </c>
      <c r="V450" s="27">
        <f t="shared" ca="1" si="267"/>
        <v>0.24363076540708947</v>
      </c>
    </row>
    <row r="451" spans="1:22" ht="12.75" customHeight="1" x14ac:dyDescent="0.2">
      <c r="A451" s="6" t="s">
        <v>305</v>
      </c>
      <c r="B451" s="6" t="s">
        <v>306</v>
      </c>
      <c r="C451" s="7">
        <v>186780</v>
      </c>
      <c r="D451" s="8">
        <v>188569.19999999998</v>
      </c>
      <c r="E451" s="9" t="s">
        <v>16</v>
      </c>
      <c r="F451" s="36">
        <v>180</v>
      </c>
      <c r="G451" s="25"/>
      <c r="H451" s="14">
        <f t="shared" si="261"/>
        <v>0.55000000000000004</v>
      </c>
      <c r="I451" s="25">
        <f ca="1">IFERROR(__xludf.DUMMYFUNCTION("ROUND(D451*GOOGLEFINANCE(""RUBKZT"")*H451)"),809327)</f>
        <v>809327</v>
      </c>
      <c r="J451" s="26">
        <f ca="1">IFERROR(__xludf.DUMMYFUNCTION("ROUND(I451*GOOGLEFINANCE(""KZTEUR""))"),1695)</f>
        <v>1695</v>
      </c>
      <c r="K451" s="26">
        <f t="shared" ca="1" si="262"/>
        <v>9417</v>
      </c>
      <c r="L451" s="26">
        <f t="shared" ca="1" si="263"/>
        <v>1789.23</v>
      </c>
      <c r="M451" s="26">
        <f t="shared" ref="M451:N451" si="458">M$3</f>
        <v>500</v>
      </c>
      <c r="N451" s="26">
        <f t="shared" si="458"/>
        <v>500</v>
      </c>
      <c r="O451" s="26">
        <f ca="1">IFERROR(__xludf.DUMMYFUNCTION("ROUND(GOOGLEFINANCE(""Currency:EURKZT"")*K451)"),4497273)</f>
        <v>4497273</v>
      </c>
      <c r="P451" s="26">
        <f ca="1">IFERROR(__xludf.DUMMYFUNCTION("ROUND(GOOGLEFINANCE(""Currency:EURKZT"")*M451)"),238785)</f>
        <v>238785</v>
      </c>
      <c r="Q451" s="26">
        <f ca="1">IFERROR(__xludf.DUMMYFUNCTION("ROUND(GOOGLEFINANCE(""Currency:EURKZT"")*N451)"),238785)</f>
        <v>238785</v>
      </c>
      <c r="R451" s="26">
        <f t="shared" ca="1" si="265"/>
        <v>539673</v>
      </c>
      <c r="S451" s="26">
        <f t="shared" ca="1" si="266"/>
        <v>5514516</v>
      </c>
      <c r="T451" s="26">
        <f ca="1">IFERROR(__xludf.DUMMYFUNCTION("ROUND(GOOGLEFINANCE(""Currency:EURKZT"")*L451+S451)"),6368998)</f>
        <v>6368998</v>
      </c>
      <c r="U451" s="26">
        <f ca="1">IFERROR(__xludf.DUMMYFUNCTION("D451*GOOGLEFINANCE(""RUBKZT"")*1000/F451"),8175022.56324088)</f>
        <v>8175022.5632408801</v>
      </c>
      <c r="V451" s="27">
        <f t="shared" ca="1" si="267"/>
        <v>0.28356494431948009</v>
      </c>
    </row>
    <row r="452" spans="1:22" ht="12.75" customHeight="1" x14ac:dyDescent="0.2">
      <c r="A452" s="6" t="s">
        <v>310</v>
      </c>
      <c r="B452" s="6" t="s">
        <v>306</v>
      </c>
      <c r="C452" s="7">
        <v>187965</v>
      </c>
      <c r="D452" s="8">
        <v>177157.19999999998</v>
      </c>
      <c r="E452" s="9" t="s">
        <v>16</v>
      </c>
      <c r="F452" s="36">
        <v>180</v>
      </c>
      <c r="G452" s="25"/>
      <c r="H452" s="14">
        <f t="shared" si="261"/>
        <v>0.55000000000000004</v>
      </c>
      <c r="I452" s="25">
        <f ca="1">IFERROR(__xludf.DUMMYFUNCTION("ROUND(D452*GOOGLEFINANCE(""RUBKZT"")*H452)"),760348)</f>
        <v>760348</v>
      </c>
      <c r="J452" s="26">
        <f ca="1">IFERROR(__xludf.DUMMYFUNCTION("ROUND(I452*GOOGLEFINANCE(""KZTEUR""))"),1592)</f>
        <v>1592</v>
      </c>
      <c r="K452" s="26">
        <f t="shared" ca="1" si="262"/>
        <v>8844</v>
      </c>
      <c r="L452" s="26">
        <f t="shared" ca="1" si="263"/>
        <v>1680.3600000000001</v>
      </c>
      <c r="M452" s="26">
        <f t="shared" ref="M452:N452" si="459">M$3</f>
        <v>500</v>
      </c>
      <c r="N452" s="26">
        <f t="shared" si="459"/>
        <v>500</v>
      </c>
      <c r="O452" s="26">
        <f ca="1">IFERROR(__xludf.DUMMYFUNCTION("ROUND(GOOGLEFINANCE(""Currency:EURKZT"")*K452)"),4223626)</f>
        <v>4223626</v>
      </c>
      <c r="P452" s="26">
        <f ca="1">IFERROR(__xludf.DUMMYFUNCTION("ROUND(GOOGLEFINANCE(""Currency:EURKZT"")*M452)"),238785)</f>
        <v>238785</v>
      </c>
      <c r="Q452" s="26">
        <f ca="1">IFERROR(__xludf.DUMMYFUNCTION("ROUND(GOOGLEFINANCE(""Currency:EURKZT"")*N452)"),238785)</f>
        <v>238785</v>
      </c>
      <c r="R452" s="26">
        <f t="shared" ca="1" si="265"/>
        <v>506835</v>
      </c>
      <c r="S452" s="26">
        <f t="shared" ca="1" si="266"/>
        <v>5208031</v>
      </c>
      <c r="T452" s="26">
        <f ca="1">IFERROR(__xludf.DUMMYFUNCTION("ROUND(GOOGLEFINANCE(""Currency:EURKZT"")*L452+S452)"),6010520)</f>
        <v>6010520</v>
      </c>
      <c r="U452" s="26">
        <f ca="1">IFERROR(__xludf.DUMMYFUNCTION("D452*GOOGLEFINANCE(""RUBKZT"")*1000/F452"),7680279.21442408)</f>
        <v>7680279.2144240802</v>
      </c>
      <c r="V452" s="27">
        <f t="shared" ca="1" si="267"/>
        <v>0.27780611568118568</v>
      </c>
    </row>
    <row r="453" spans="1:22" ht="12.75" customHeight="1" x14ac:dyDescent="0.2">
      <c r="A453" s="6" t="s">
        <v>314</v>
      </c>
      <c r="B453" s="6" t="s">
        <v>306</v>
      </c>
      <c r="C453" s="7">
        <v>188226</v>
      </c>
      <c r="D453" s="8">
        <v>169658.4</v>
      </c>
      <c r="E453" s="9" t="s">
        <v>16</v>
      </c>
      <c r="F453" s="36">
        <v>180</v>
      </c>
      <c r="G453" s="25"/>
      <c r="H453" s="14">
        <f t="shared" si="261"/>
        <v>0.55000000000000004</v>
      </c>
      <c r="I453" s="25">
        <f ca="1">IFERROR(__xludf.DUMMYFUNCTION("ROUND(D453*GOOGLEFINANCE(""RUBKZT"")*H453)"),728163)</f>
        <v>728163</v>
      </c>
      <c r="J453" s="26">
        <f ca="1">IFERROR(__xludf.DUMMYFUNCTION("ROUND(I453*GOOGLEFINANCE(""KZTEUR""))"),1525)</f>
        <v>1525</v>
      </c>
      <c r="K453" s="26">
        <f t="shared" ca="1" si="262"/>
        <v>8472</v>
      </c>
      <c r="L453" s="26">
        <f t="shared" ca="1" si="263"/>
        <v>1609.68</v>
      </c>
      <c r="M453" s="26">
        <f t="shared" ref="M453:N453" si="460">M$3</f>
        <v>500</v>
      </c>
      <c r="N453" s="26">
        <f t="shared" si="460"/>
        <v>500</v>
      </c>
      <c r="O453" s="26">
        <f ca="1">IFERROR(__xludf.DUMMYFUNCTION("ROUND(GOOGLEFINANCE(""Currency:EURKZT"")*K453)"),4045970)</f>
        <v>4045970</v>
      </c>
      <c r="P453" s="26">
        <f ca="1">IFERROR(__xludf.DUMMYFUNCTION("ROUND(GOOGLEFINANCE(""Currency:EURKZT"")*M453)"),238785)</f>
        <v>238785</v>
      </c>
      <c r="Q453" s="26">
        <f ca="1">IFERROR(__xludf.DUMMYFUNCTION("ROUND(GOOGLEFINANCE(""Currency:EURKZT"")*N453)"),238785)</f>
        <v>238785</v>
      </c>
      <c r="R453" s="26">
        <f t="shared" ca="1" si="265"/>
        <v>485516</v>
      </c>
      <c r="S453" s="26">
        <f t="shared" ca="1" si="266"/>
        <v>5009056</v>
      </c>
      <c r="T453" s="26">
        <f ca="1">IFERROR(__xludf.DUMMYFUNCTION("ROUND(GOOGLEFINANCE(""Currency:EURKZT"")*L453+S453)"),5777790)</f>
        <v>5777790</v>
      </c>
      <c r="U453" s="26">
        <f ca="1">IFERROR(__xludf.DUMMYFUNCTION("D453*GOOGLEFINANCE(""RUBKZT"")*1000/F453"),7355184.45240976)</f>
        <v>7355184.4524097601</v>
      </c>
      <c r="V453" s="27">
        <f t="shared" ca="1" si="267"/>
        <v>0.27301000078053372</v>
      </c>
    </row>
    <row r="454" spans="1:22" ht="12.75" customHeight="1" x14ac:dyDescent="0.2">
      <c r="A454" s="6" t="s">
        <v>282</v>
      </c>
      <c r="B454" s="6" t="s">
        <v>306</v>
      </c>
      <c r="C454" s="7">
        <v>188809</v>
      </c>
      <c r="D454" s="8">
        <v>176276.4</v>
      </c>
      <c r="E454" s="9" t="s">
        <v>16</v>
      </c>
      <c r="F454" s="36">
        <v>180</v>
      </c>
      <c r="G454" s="25"/>
      <c r="H454" s="14">
        <f t="shared" si="261"/>
        <v>0.55000000000000004</v>
      </c>
      <c r="I454" s="25">
        <f ca="1">IFERROR(__xludf.DUMMYFUNCTION("ROUND(D454*GOOGLEFINANCE(""RUBKZT"")*H454)"),756567)</f>
        <v>756567</v>
      </c>
      <c r="J454" s="26">
        <f ca="1">IFERROR(__xludf.DUMMYFUNCTION("ROUND(I454*GOOGLEFINANCE(""KZTEUR""))"),1584)</f>
        <v>1584</v>
      </c>
      <c r="K454" s="26">
        <f t="shared" ca="1" si="262"/>
        <v>8800</v>
      </c>
      <c r="L454" s="26">
        <f t="shared" ca="1" si="263"/>
        <v>1672</v>
      </c>
      <c r="M454" s="26">
        <f t="shared" ref="M454:N454" si="461">M$3</f>
        <v>500</v>
      </c>
      <c r="N454" s="26">
        <f t="shared" si="461"/>
        <v>500</v>
      </c>
      <c r="O454" s="26">
        <f ca="1">IFERROR(__xludf.DUMMYFUNCTION("ROUND(GOOGLEFINANCE(""Currency:EURKZT"")*K454)"),4202613)</f>
        <v>4202613</v>
      </c>
      <c r="P454" s="26">
        <f ca="1">IFERROR(__xludf.DUMMYFUNCTION("ROUND(GOOGLEFINANCE(""Currency:EURKZT"")*M454)"),238785)</f>
        <v>238785</v>
      </c>
      <c r="Q454" s="26">
        <f ca="1">IFERROR(__xludf.DUMMYFUNCTION("ROUND(GOOGLEFINANCE(""Currency:EURKZT"")*N454)"),238785)</f>
        <v>238785</v>
      </c>
      <c r="R454" s="26">
        <f t="shared" ca="1" si="265"/>
        <v>504314</v>
      </c>
      <c r="S454" s="26">
        <f t="shared" ca="1" si="266"/>
        <v>5184497</v>
      </c>
      <c r="T454" s="26">
        <f ca="1">IFERROR(__xludf.DUMMYFUNCTION("ROUND(GOOGLEFINANCE(""Currency:EURKZT"")*L454+S454)"),5982993)</f>
        <v>5982993</v>
      </c>
      <c r="U454" s="26">
        <f ca="1">IFERROR(__xludf.DUMMYFUNCTION("D454*GOOGLEFINANCE(""RUBKZT"")*1000/F454"),7642093.97593496)</f>
        <v>7642093.9759349599</v>
      </c>
      <c r="V454" s="27">
        <f t="shared" ca="1" si="267"/>
        <v>0.27730284423447593</v>
      </c>
    </row>
    <row r="455" spans="1:22" ht="12.75" customHeight="1" x14ac:dyDescent="0.2">
      <c r="A455" s="6" t="s">
        <v>329</v>
      </c>
      <c r="B455" s="6" t="s">
        <v>306</v>
      </c>
      <c r="C455" s="7">
        <v>190490</v>
      </c>
      <c r="D455" s="8">
        <v>281623.2</v>
      </c>
      <c r="E455" s="9" t="s">
        <v>16</v>
      </c>
      <c r="F455" s="36">
        <v>180</v>
      </c>
      <c r="G455" s="25"/>
      <c r="H455" s="14">
        <f t="shared" si="261"/>
        <v>0.55000000000000004</v>
      </c>
      <c r="I455" s="25">
        <f ca="1">IFERROR(__xludf.DUMMYFUNCTION("ROUND(D455*GOOGLEFINANCE(""RUBKZT"")*H455)"),1208709)</f>
        <v>1208709</v>
      </c>
      <c r="J455" s="26">
        <f ca="1">IFERROR(__xludf.DUMMYFUNCTION("ROUND(I455*GOOGLEFINANCE(""KZTEUR""))"),2531)</f>
        <v>2531</v>
      </c>
      <c r="K455" s="26">
        <f t="shared" ca="1" si="262"/>
        <v>14061</v>
      </c>
      <c r="L455" s="26">
        <f t="shared" ca="1" si="263"/>
        <v>2671.59</v>
      </c>
      <c r="M455" s="26">
        <f t="shared" ref="M455:N455" si="462">M$3</f>
        <v>500</v>
      </c>
      <c r="N455" s="26">
        <f t="shared" si="462"/>
        <v>500</v>
      </c>
      <c r="O455" s="26">
        <f ca="1">IFERROR(__xludf.DUMMYFUNCTION("ROUND(GOOGLEFINANCE(""Currency:EURKZT"")*K455)"),6715106)</f>
        <v>6715106</v>
      </c>
      <c r="P455" s="26">
        <f ca="1">IFERROR(__xludf.DUMMYFUNCTION("ROUND(GOOGLEFINANCE(""Currency:EURKZT"")*M455)"),238785)</f>
        <v>238785</v>
      </c>
      <c r="Q455" s="26">
        <f ca="1">IFERROR(__xludf.DUMMYFUNCTION("ROUND(GOOGLEFINANCE(""Currency:EURKZT"")*N455)"),238785)</f>
        <v>238785</v>
      </c>
      <c r="R455" s="26">
        <f t="shared" ca="1" si="265"/>
        <v>805813</v>
      </c>
      <c r="S455" s="26">
        <f t="shared" ca="1" si="266"/>
        <v>7998489</v>
      </c>
      <c r="T455" s="26">
        <f ca="1">IFERROR(__xludf.DUMMYFUNCTION("ROUND(GOOGLEFINANCE(""Currency:EURKZT"")*L455+S455)"),9274359)</f>
        <v>9274359</v>
      </c>
      <c r="U455" s="26">
        <f ca="1">IFERROR(__xludf.DUMMYFUNCTION("D455*GOOGLEFINANCE(""RUBKZT"")*1000/F455"),12209183.7602964)</f>
        <v>12209183.760296401</v>
      </c>
      <c r="V455" s="27">
        <f t="shared" ca="1" si="267"/>
        <v>0.31644502442663697</v>
      </c>
    </row>
    <row r="456" spans="1:22" ht="12.75" customHeight="1" x14ac:dyDescent="0.2">
      <c r="A456" s="6" t="s">
        <v>330</v>
      </c>
      <c r="B456" s="6" t="s">
        <v>306</v>
      </c>
      <c r="C456" s="7">
        <v>190494</v>
      </c>
      <c r="D456" s="8">
        <v>274046.39999999997</v>
      </c>
      <c r="E456" s="9" t="s">
        <v>16</v>
      </c>
      <c r="F456" s="36">
        <v>180</v>
      </c>
      <c r="G456" s="25"/>
      <c r="H456" s="14">
        <f t="shared" si="261"/>
        <v>0.55000000000000004</v>
      </c>
      <c r="I456" s="25">
        <f ca="1">IFERROR(__xludf.DUMMYFUNCTION("ROUND(D456*GOOGLEFINANCE(""RUBKZT"")*H456)"),1176190)</f>
        <v>1176190</v>
      </c>
      <c r="J456" s="26">
        <f ca="1">IFERROR(__xludf.DUMMYFUNCTION("ROUND(I456*GOOGLEFINANCE(""KZTEUR""))"),2463)</f>
        <v>2463</v>
      </c>
      <c r="K456" s="26">
        <f t="shared" ca="1" si="262"/>
        <v>13683</v>
      </c>
      <c r="L456" s="26">
        <f t="shared" ca="1" si="263"/>
        <v>2599.77</v>
      </c>
      <c r="M456" s="26">
        <f t="shared" ref="M456:N456" si="463">M$3</f>
        <v>500</v>
      </c>
      <c r="N456" s="26">
        <f t="shared" si="463"/>
        <v>500</v>
      </c>
      <c r="O456" s="26">
        <f ca="1">IFERROR(__xludf.DUMMYFUNCTION("ROUND(GOOGLEFINANCE(""Currency:EURKZT"")*K456)"),6534585)</f>
        <v>6534585</v>
      </c>
      <c r="P456" s="26">
        <f ca="1">IFERROR(__xludf.DUMMYFUNCTION("ROUND(GOOGLEFINANCE(""Currency:EURKZT"")*M456)"),238785)</f>
        <v>238785</v>
      </c>
      <c r="Q456" s="26">
        <f ca="1">IFERROR(__xludf.DUMMYFUNCTION("ROUND(GOOGLEFINANCE(""Currency:EURKZT"")*N456)"),238785)</f>
        <v>238785</v>
      </c>
      <c r="R456" s="26">
        <f t="shared" ca="1" si="265"/>
        <v>784150</v>
      </c>
      <c r="S456" s="26">
        <f t="shared" ca="1" si="266"/>
        <v>7796305</v>
      </c>
      <c r="T456" s="26">
        <f ca="1">IFERROR(__xludf.DUMMYFUNCTION("ROUND(GOOGLEFINANCE(""Currency:EURKZT"")*L456+S456)"),9037876)</f>
        <v>9037876</v>
      </c>
      <c r="U456" s="26">
        <f ca="1">IFERROR(__xludf.DUMMYFUNCTION("D456*GOOGLEFINANCE(""RUBKZT"")*1000/F456"),11880707.4717129)</f>
        <v>11880707.4717129</v>
      </c>
      <c r="V456" s="27">
        <f t="shared" ca="1" si="267"/>
        <v>0.31454641242177922</v>
      </c>
    </row>
    <row r="457" spans="1:22" ht="12.75" customHeight="1" x14ac:dyDescent="0.2">
      <c r="A457" s="6" t="s">
        <v>421</v>
      </c>
      <c r="B457" s="6" t="s">
        <v>306</v>
      </c>
      <c r="C457" s="7">
        <v>203230</v>
      </c>
      <c r="D457" s="8">
        <v>264660</v>
      </c>
      <c r="E457" s="9" t="s">
        <v>16</v>
      </c>
      <c r="F457" s="36">
        <v>180</v>
      </c>
      <c r="G457" s="25"/>
      <c r="H457" s="14">
        <f t="shared" si="261"/>
        <v>0.55000000000000004</v>
      </c>
      <c r="I457" s="25">
        <f ca="1">IFERROR(__xludf.DUMMYFUNCTION("ROUND(D457*GOOGLEFINANCE(""RUBKZT"")*H457)"),1135904)</f>
        <v>1135904</v>
      </c>
      <c r="J457" s="26">
        <f ca="1">IFERROR(__xludf.DUMMYFUNCTION("ROUND(I457*GOOGLEFINANCE(""KZTEUR""))"),2379)</f>
        <v>2379</v>
      </c>
      <c r="K457" s="26">
        <f t="shared" ca="1" si="262"/>
        <v>13217</v>
      </c>
      <c r="L457" s="26">
        <f t="shared" ca="1" si="263"/>
        <v>2511.23</v>
      </c>
      <c r="M457" s="26">
        <f t="shared" ref="M457:N457" si="464">M$3</f>
        <v>500</v>
      </c>
      <c r="N457" s="26">
        <f t="shared" si="464"/>
        <v>500</v>
      </c>
      <c r="O457" s="26">
        <f ca="1">IFERROR(__xludf.DUMMYFUNCTION("ROUND(GOOGLEFINANCE(""Currency:EURKZT"")*K457)"),6312038)</f>
        <v>6312038</v>
      </c>
      <c r="P457" s="26">
        <f ca="1">IFERROR(__xludf.DUMMYFUNCTION("ROUND(GOOGLEFINANCE(""Currency:EURKZT"")*M457)"),238785)</f>
        <v>238785</v>
      </c>
      <c r="Q457" s="26">
        <f ca="1">IFERROR(__xludf.DUMMYFUNCTION("ROUND(GOOGLEFINANCE(""Currency:EURKZT"")*N457)"),238785)</f>
        <v>238785</v>
      </c>
      <c r="R457" s="26">
        <f t="shared" ca="1" si="265"/>
        <v>757445</v>
      </c>
      <c r="S457" s="26">
        <f t="shared" ca="1" si="266"/>
        <v>7547053</v>
      </c>
      <c r="T457" s="26">
        <f ca="1">IFERROR(__xludf.DUMMYFUNCTION("ROUND(GOOGLEFINANCE(""Currency:EURKZT"")*L457+S457)"),8746340)</f>
        <v>8746340</v>
      </c>
      <c r="U457" s="26">
        <f ca="1">IFERROR(__xludf.DUMMYFUNCTION("D457*GOOGLEFINANCE(""RUBKZT"")*1000/F457"),11473779.766724)</f>
        <v>11473779.766724</v>
      </c>
      <c r="V457" s="27">
        <f t="shared" ca="1" si="267"/>
        <v>0.31183783922463565</v>
      </c>
    </row>
    <row r="458" spans="1:22" ht="12.75" customHeight="1" x14ac:dyDescent="0.2">
      <c r="A458" s="6" t="s">
        <v>17</v>
      </c>
      <c r="B458" s="6" t="s">
        <v>306</v>
      </c>
      <c r="C458" s="7">
        <v>207553</v>
      </c>
      <c r="D458" s="8">
        <v>142249.19999999998</v>
      </c>
      <c r="E458" s="9" t="s">
        <v>16</v>
      </c>
      <c r="F458" s="36">
        <v>180</v>
      </c>
      <c r="G458" s="25"/>
      <c r="H458" s="14">
        <f t="shared" si="261"/>
        <v>0.55000000000000004</v>
      </c>
      <c r="I458" s="25">
        <f ca="1">IFERROR(__xludf.DUMMYFUNCTION("ROUND(D458*GOOGLEFINANCE(""RUBKZT"")*H458)"),610525)</f>
        <v>610525</v>
      </c>
      <c r="J458" s="26">
        <f ca="1">IFERROR(__xludf.DUMMYFUNCTION("ROUND(I458*GOOGLEFINANCE(""KZTEUR""))"),1279)</f>
        <v>1279</v>
      </c>
      <c r="K458" s="26">
        <f t="shared" ca="1" si="262"/>
        <v>7106</v>
      </c>
      <c r="L458" s="26">
        <f t="shared" ca="1" si="263"/>
        <v>1350.14</v>
      </c>
      <c r="M458" s="26">
        <f t="shared" ref="M458:N458" si="465">M$3</f>
        <v>500</v>
      </c>
      <c r="N458" s="26">
        <f t="shared" si="465"/>
        <v>500</v>
      </c>
      <c r="O458" s="26">
        <f ca="1">IFERROR(__xludf.DUMMYFUNCTION("ROUND(GOOGLEFINANCE(""Currency:EURKZT"")*K458)"),3393610)</f>
        <v>3393610</v>
      </c>
      <c r="P458" s="26">
        <f ca="1">IFERROR(__xludf.DUMMYFUNCTION("ROUND(GOOGLEFINANCE(""Currency:EURKZT"")*M458)"),238785)</f>
        <v>238785</v>
      </c>
      <c r="Q458" s="26">
        <f ca="1">IFERROR(__xludf.DUMMYFUNCTION("ROUND(GOOGLEFINANCE(""Currency:EURKZT"")*N458)"),238785)</f>
        <v>238785</v>
      </c>
      <c r="R458" s="26">
        <f t="shared" ca="1" si="265"/>
        <v>407233</v>
      </c>
      <c r="S458" s="26">
        <f t="shared" ca="1" si="266"/>
        <v>4278413</v>
      </c>
      <c r="T458" s="26">
        <f ca="1">IFERROR(__xludf.DUMMYFUNCTION("ROUND(GOOGLEFINANCE(""Currency:EURKZT"")*L458+S458)"),4923199)</f>
        <v>4923199</v>
      </c>
      <c r="U458" s="26">
        <f ca="1">IFERROR(__xludf.DUMMYFUNCTION("D458*GOOGLEFINANCE(""RUBKZT"")*1000/F458"),6166916.01599288)</f>
        <v>6166916.0159928799</v>
      </c>
      <c r="V458" s="27">
        <f t="shared" ca="1" si="267"/>
        <v>0.25262375459388903</v>
      </c>
    </row>
    <row r="459" spans="1:22" ht="12.75" customHeight="1" x14ac:dyDescent="0.2">
      <c r="A459" s="6" t="s">
        <v>281</v>
      </c>
      <c r="B459" s="6" t="s">
        <v>306</v>
      </c>
      <c r="C459" s="7">
        <v>207567</v>
      </c>
      <c r="D459" s="8">
        <v>138136.79999999999</v>
      </c>
      <c r="E459" s="9" t="s">
        <v>16</v>
      </c>
      <c r="F459" s="36">
        <v>180</v>
      </c>
      <c r="G459" s="25"/>
      <c r="H459" s="14">
        <f t="shared" si="261"/>
        <v>0.55000000000000004</v>
      </c>
      <c r="I459" s="25">
        <f ca="1">IFERROR(__xludf.DUMMYFUNCTION("ROUND(D459*GOOGLEFINANCE(""RUBKZT"")*H459)"),592875)</f>
        <v>592875</v>
      </c>
      <c r="J459" s="26">
        <f ca="1">IFERROR(__xludf.DUMMYFUNCTION("ROUND(I459*GOOGLEFINANCE(""KZTEUR""))"),1242)</f>
        <v>1242</v>
      </c>
      <c r="K459" s="26">
        <f t="shared" ca="1" si="262"/>
        <v>6900</v>
      </c>
      <c r="L459" s="26">
        <f t="shared" ca="1" si="263"/>
        <v>1311</v>
      </c>
      <c r="M459" s="26">
        <f t="shared" ref="M459:N459" si="466">M$3</f>
        <v>500</v>
      </c>
      <c r="N459" s="26">
        <f t="shared" si="466"/>
        <v>500</v>
      </c>
      <c r="O459" s="26">
        <f ca="1">IFERROR(__xludf.DUMMYFUNCTION("ROUND(GOOGLEFINANCE(""Currency:EURKZT"")*K459)"),3295230)</f>
        <v>3295230</v>
      </c>
      <c r="P459" s="26">
        <f ca="1">IFERROR(__xludf.DUMMYFUNCTION("ROUND(GOOGLEFINANCE(""Currency:EURKZT"")*M459)"),238785)</f>
        <v>238785</v>
      </c>
      <c r="Q459" s="26">
        <f ca="1">IFERROR(__xludf.DUMMYFUNCTION("ROUND(GOOGLEFINANCE(""Currency:EURKZT"")*N459)"),238785)</f>
        <v>238785</v>
      </c>
      <c r="R459" s="26">
        <f t="shared" ca="1" si="265"/>
        <v>395428</v>
      </c>
      <c r="S459" s="26">
        <f t="shared" ca="1" si="266"/>
        <v>4168228</v>
      </c>
      <c r="T459" s="26">
        <f ca="1">IFERROR(__xludf.DUMMYFUNCTION("ROUND(GOOGLEFINANCE(""Currency:EURKZT"")*L459+S459)"),4794322)</f>
        <v>4794322</v>
      </c>
      <c r="U459" s="26">
        <f ca="1">IFERROR(__xludf.DUMMYFUNCTION("D459*GOOGLEFINANCE(""RUBKZT"")*1000/F459"),5988631.53056752)</f>
        <v>5988631.5305675203</v>
      </c>
      <c r="V459" s="27">
        <f t="shared" ca="1" si="267"/>
        <v>0.2491091609131636</v>
      </c>
    </row>
    <row r="460" spans="1:22" ht="12.75" customHeight="1" x14ac:dyDescent="0.2">
      <c r="A460" s="6" t="s">
        <v>289</v>
      </c>
      <c r="B460" s="6" t="s">
        <v>306</v>
      </c>
      <c r="C460" s="7">
        <v>207568</v>
      </c>
      <c r="D460" s="8">
        <v>138694.79999999999</v>
      </c>
      <c r="E460" s="9" t="s">
        <v>16</v>
      </c>
      <c r="F460" s="36">
        <v>180</v>
      </c>
      <c r="G460" s="25"/>
      <c r="H460" s="14">
        <f t="shared" si="261"/>
        <v>0.55000000000000004</v>
      </c>
      <c r="I460" s="25">
        <f ca="1">IFERROR(__xludf.DUMMYFUNCTION("ROUND(D460*GOOGLEFINANCE(""RUBKZT"")*H460)"),595269)</f>
        <v>595269</v>
      </c>
      <c r="J460" s="26">
        <f ca="1">IFERROR(__xludf.DUMMYFUNCTION("ROUND(I460*GOOGLEFINANCE(""KZTEUR""))"),1247)</f>
        <v>1247</v>
      </c>
      <c r="K460" s="26">
        <f t="shared" ca="1" si="262"/>
        <v>6928</v>
      </c>
      <c r="L460" s="26">
        <f t="shared" ca="1" si="263"/>
        <v>1316.32</v>
      </c>
      <c r="M460" s="26">
        <f t="shared" ref="M460:N460" si="467">M$3</f>
        <v>500</v>
      </c>
      <c r="N460" s="26">
        <f t="shared" si="467"/>
        <v>500</v>
      </c>
      <c r="O460" s="26">
        <f ca="1">IFERROR(__xludf.DUMMYFUNCTION("ROUND(GOOGLEFINANCE(""Currency:EURKZT"")*K460)"),3308602)</f>
        <v>3308602</v>
      </c>
      <c r="P460" s="26">
        <f ca="1">IFERROR(__xludf.DUMMYFUNCTION("ROUND(GOOGLEFINANCE(""Currency:EURKZT"")*M460)"),238785)</f>
        <v>238785</v>
      </c>
      <c r="Q460" s="26">
        <f ca="1">IFERROR(__xludf.DUMMYFUNCTION("ROUND(GOOGLEFINANCE(""Currency:EURKZT"")*N460)"),238785)</f>
        <v>238785</v>
      </c>
      <c r="R460" s="26">
        <f t="shared" ca="1" si="265"/>
        <v>397032</v>
      </c>
      <c r="S460" s="26">
        <f t="shared" ca="1" si="266"/>
        <v>4183204</v>
      </c>
      <c r="T460" s="26">
        <f ca="1">IFERROR(__xludf.DUMMYFUNCTION("ROUND(GOOGLEFINANCE(""Currency:EURKZT"")*L460+S460)"),4811838)</f>
        <v>4811838</v>
      </c>
      <c r="U460" s="26">
        <f ca="1">IFERROR(__xludf.DUMMYFUNCTION("D460*GOOGLEFINANCE(""RUBKZT"")*1000/F460"),6012822.45140872)</f>
        <v>6012822.4514087196</v>
      </c>
      <c r="V460" s="27">
        <f t="shared" ca="1" si="267"/>
        <v>0.24958954383101004</v>
      </c>
    </row>
    <row r="461" spans="1:22" ht="12.75" customHeight="1" x14ac:dyDescent="0.2">
      <c r="A461" s="6" t="s">
        <v>225</v>
      </c>
      <c r="B461" s="6" t="s">
        <v>226</v>
      </c>
      <c r="C461" s="7">
        <v>157634</v>
      </c>
      <c r="D461" s="8">
        <v>189351.6</v>
      </c>
      <c r="E461" s="9" t="s">
        <v>16</v>
      </c>
      <c r="F461" s="36">
        <v>170</v>
      </c>
      <c r="G461" s="25"/>
      <c r="H461" s="14">
        <f t="shared" si="261"/>
        <v>0.55000000000000004</v>
      </c>
      <c r="I461" s="25">
        <f ca="1">IFERROR(__xludf.DUMMYFUNCTION("ROUND(D461*GOOGLEFINANCE(""RUBKZT"")*H461)"),812685)</f>
        <v>812685</v>
      </c>
      <c r="J461" s="26">
        <f ca="1">IFERROR(__xludf.DUMMYFUNCTION("ROUND(I461*GOOGLEFINANCE(""KZTEUR""))"),1702)</f>
        <v>1702</v>
      </c>
      <c r="K461" s="26">
        <f t="shared" ca="1" si="262"/>
        <v>10012</v>
      </c>
      <c r="L461" s="26">
        <f t="shared" ca="1" si="263"/>
        <v>1902.28</v>
      </c>
      <c r="M461" s="26">
        <f t="shared" ref="M461:N461" si="468">M$3</f>
        <v>500</v>
      </c>
      <c r="N461" s="26">
        <f t="shared" si="468"/>
        <v>500</v>
      </c>
      <c r="O461" s="26">
        <f ca="1">IFERROR(__xludf.DUMMYFUNCTION("ROUND(GOOGLEFINANCE(""Currency:EURKZT"")*K461)"),4781427)</f>
        <v>4781427</v>
      </c>
      <c r="P461" s="26">
        <f ca="1">IFERROR(__xludf.DUMMYFUNCTION("ROUND(GOOGLEFINANCE(""Currency:EURKZT"")*M461)"),238785)</f>
        <v>238785</v>
      </c>
      <c r="Q461" s="26">
        <f ca="1">IFERROR(__xludf.DUMMYFUNCTION("ROUND(GOOGLEFINANCE(""Currency:EURKZT"")*N461)"),238785)</f>
        <v>238785</v>
      </c>
      <c r="R461" s="26">
        <f t="shared" ca="1" si="265"/>
        <v>573771</v>
      </c>
      <c r="S461" s="26">
        <f t="shared" ca="1" si="266"/>
        <v>5832768</v>
      </c>
      <c r="T461" s="26">
        <f ca="1">IFERROR(__xludf.DUMMYFUNCTION("ROUND(GOOGLEFINANCE(""Currency:EURKZT"")*L461+S461)"),6741239)</f>
        <v>6741239</v>
      </c>
      <c r="U461" s="26">
        <f ca="1">IFERROR(__xludf.DUMMYFUNCTION("D461*GOOGLEFINANCE(""RUBKZT"")*1000/F461"),8691820.80978096)</f>
        <v>8691820.8097809609</v>
      </c>
      <c r="V461" s="27">
        <f t="shared" ca="1" si="267"/>
        <v>0.28935063862606875</v>
      </c>
    </row>
    <row r="462" spans="1:22" ht="12.75" customHeight="1" x14ac:dyDescent="0.2">
      <c r="A462" s="6" t="s">
        <v>252</v>
      </c>
      <c r="B462" s="6" t="s">
        <v>226</v>
      </c>
      <c r="C462" s="7">
        <v>164578</v>
      </c>
      <c r="D462" s="8">
        <v>229167.6</v>
      </c>
      <c r="E462" s="9" t="s">
        <v>16</v>
      </c>
      <c r="F462" s="36">
        <v>170</v>
      </c>
      <c r="G462" s="25"/>
      <c r="H462" s="14">
        <f t="shared" si="261"/>
        <v>0.55000000000000004</v>
      </c>
      <c r="I462" s="25">
        <f ca="1">IFERROR(__xludf.DUMMYFUNCTION("ROUND(D462*GOOGLEFINANCE(""RUBKZT"")*H462)"),983573)</f>
        <v>983573</v>
      </c>
      <c r="J462" s="26">
        <f ca="1">IFERROR(__xludf.DUMMYFUNCTION("ROUND(I462*GOOGLEFINANCE(""KZTEUR""))"),2060)</f>
        <v>2060</v>
      </c>
      <c r="K462" s="26">
        <f t="shared" ca="1" si="262"/>
        <v>12118</v>
      </c>
      <c r="L462" s="26">
        <f t="shared" ca="1" si="263"/>
        <v>2302.42</v>
      </c>
      <c r="M462" s="26">
        <f t="shared" ref="M462:N462" si="469">M$3</f>
        <v>500</v>
      </c>
      <c r="N462" s="26">
        <f t="shared" si="469"/>
        <v>500</v>
      </c>
      <c r="O462" s="26">
        <f ca="1">IFERROR(__xludf.DUMMYFUNCTION("ROUND(GOOGLEFINANCE(""Currency:EURKZT"")*K462)"),5787189)</f>
        <v>5787189</v>
      </c>
      <c r="P462" s="26">
        <f ca="1">IFERROR(__xludf.DUMMYFUNCTION("ROUND(GOOGLEFINANCE(""Currency:EURKZT"")*M462)"),238785)</f>
        <v>238785</v>
      </c>
      <c r="Q462" s="26">
        <f ca="1">IFERROR(__xludf.DUMMYFUNCTION("ROUND(GOOGLEFINANCE(""Currency:EURKZT"")*N462)"),238785)</f>
        <v>238785</v>
      </c>
      <c r="R462" s="26">
        <f t="shared" ca="1" si="265"/>
        <v>694463</v>
      </c>
      <c r="S462" s="26">
        <f t="shared" ca="1" si="266"/>
        <v>6959222</v>
      </c>
      <c r="T462" s="26">
        <f ca="1">IFERROR(__xludf.DUMMYFUNCTION("ROUND(GOOGLEFINANCE(""Currency:EURKZT"")*L462+S462)"),8058788)</f>
        <v>8058788</v>
      </c>
      <c r="U462" s="26">
        <f ca="1">IFERROR(__xludf.DUMMYFUNCTION("D462*GOOGLEFINANCE(""RUBKZT"")*1000/F462"),10519497.6678705)</f>
        <v>10519497.667870499</v>
      </c>
      <c r="V462" s="27">
        <f t="shared" ca="1" si="267"/>
        <v>0.30534488162121887</v>
      </c>
    </row>
    <row r="463" spans="1:22" ht="12.75" customHeight="1" x14ac:dyDescent="0.2">
      <c r="A463" s="6" t="s">
        <v>267</v>
      </c>
      <c r="B463" s="6" t="s">
        <v>226</v>
      </c>
      <c r="C463" s="7">
        <v>170667</v>
      </c>
      <c r="D463" s="8">
        <v>275848.8</v>
      </c>
      <c r="E463" s="9" t="s">
        <v>16</v>
      </c>
      <c r="F463" s="36">
        <v>170</v>
      </c>
      <c r="G463" s="25"/>
      <c r="H463" s="14">
        <f t="shared" si="261"/>
        <v>0.55000000000000004</v>
      </c>
      <c r="I463" s="25">
        <f ca="1">IFERROR(__xludf.DUMMYFUNCTION("ROUND(D463*GOOGLEFINANCE(""RUBKZT"")*H463)"),1183926)</f>
        <v>1183926</v>
      </c>
      <c r="J463" s="26">
        <f ca="1">IFERROR(__xludf.DUMMYFUNCTION("ROUND(I463*GOOGLEFINANCE(""KZTEUR""))"),2480)</f>
        <v>2480</v>
      </c>
      <c r="K463" s="26">
        <f t="shared" ca="1" si="262"/>
        <v>14588</v>
      </c>
      <c r="L463" s="26">
        <f t="shared" ca="1" si="263"/>
        <v>2771.7200000000003</v>
      </c>
      <c r="M463" s="26">
        <f t="shared" ref="M463:N463" si="470">M$3</f>
        <v>500</v>
      </c>
      <c r="N463" s="26">
        <f t="shared" si="470"/>
        <v>500</v>
      </c>
      <c r="O463" s="26">
        <f ca="1">IFERROR(__xludf.DUMMYFUNCTION("ROUND(GOOGLEFINANCE(""Currency:EURKZT"")*K463)"),6966786)</f>
        <v>6966786</v>
      </c>
      <c r="P463" s="26">
        <f ca="1">IFERROR(__xludf.DUMMYFUNCTION("ROUND(GOOGLEFINANCE(""Currency:EURKZT"")*M463)"),238785)</f>
        <v>238785</v>
      </c>
      <c r="Q463" s="26">
        <f ca="1">IFERROR(__xludf.DUMMYFUNCTION("ROUND(GOOGLEFINANCE(""Currency:EURKZT"")*N463)"),238785)</f>
        <v>238785</v>
      </c>
      <c r="R463" s="26">
        <f t="shared" ca="1" si="265"/>
        <v>836014</v>
      </c>
      <c r="S463" s="26">
        <f t="shared" ca="1" si="266"/>
        <v>8280370</v>
      </c>
      <c r="T463" s="26">
        <f ca="1">IFERROR(__xludf.DUMMYFUNCTION("ROUND(GOOGLEFINANCE(""Currency:EURKZT"")*L463+S463)"),9604059)</f>
        <v>9604059</v>
      </c>
      <c r="U463" s="26">
        <f ca="1">IFERROR(__xludf.DUMMYFUNCTION("D463*GOOGLEFINANCE(""RUBKZT"")*1000/F463"),12662308.3205692)</f>
        <v>12662308.3205692</v>
      </c>
      <c r="V463" s="27">
        <f t="shared" ca="1" si="267"/>
        <v>0.31843300010643422</v>
      </c>
    </row>
    <row r="464" spans="1:22" ht="12.75" customHeight="1" x14ac:dyDescent="0.2">
      <c r="A464" s="6" t="s">
        <v>240</v>
      </c>
      <c r="B464" s="6" t="s">
        <v>226</v>
      </c>
      <c r="C464" s="7">
        <v>182499</v>
      </c>
      <c r="D464" s="8">
        <v>263118</v>
      </c>
      <c r="E464" s="9" t="s">
        <v>16</v>
      </c>
      <c r="F464" s="36">
        <v>170</v>
      </c>
      <c r="G464" s="25"/>
      <c r="H464" s="14">
        <f t="shared" si="261"/>
        <v>0.55000000000000004</v>
      </c>
      <c r="I464" s="25">
        <f ca="1">IFERROR(__xludf.DUMMYFUNCTION("ROUND(D464*GOOGLEFINANCE(""RUBKZT"")*H464)"),1129286)</f>
        <v>1129286</v>
      </c>
      <c r="J464" s="26">
        <f ca="1">IFERROR(__xludf.DUMMYFUNCTION("ROUND(I464*GOOGLEFINANCE(""KZTEUR""))"),2365)</f>
        <v>2365</v>
      </c>
      <c r="K464" s="26">
        <f t="shared" ca="1" si="262"/>
        <v>13912</v>
      </c>
      <c r="L464" s="26">
        <f t="shared" ca="1" si="263"/>
        <v>2643.28</v>
      </c>
      <c r="M464" s="26">
        <f t="shared" ref="M464:N464" si="471">M$3</f>
        <v>500</v>
      </c>
      <c r="N464" s="26">
        <f t="shared" si="471"/>
        <v>500</v>
      </c>
      <c r="O464" s="26">
        <f ca="1">IFERROR(__xludf.DUMMYFUNCTION("ROUND(GOOGLEFINANCE(""Currency:EURKZT"")*K464)"),6643948)</f>
        <v>6643948</v>
      </c>
      <c r="P464" s="26">
        <f ca="1">IFERROR(__xludf.DUMMYFUNCTION("ROUND(GOOGLEFINANCE(""Currency:EURKZT"")*M464)"),238785)</f>
        <v>238785</v>
      </c>
      <c r="Q464" s="26">
        <f ca="1">IFERROR(__xludf.DUMMYFUNCTION("ROUND(GOOGLEFINANCE(""Currency:EURKZT"")*N464)"),238785)</f>
        <v>238785</v>
      </c>
      <c r="R464" s="26">
        <f t="shared" ca="1" si="265"/>
        <v>797274</v>
      </c>
      <c r="S464" s="26">
        <f t="shared" ca="1" si="266"/>
        <v>7918792</v>
      </c>
      <c r="T464" s="26">
        <f ca="1">IFERROR(__xludf.DUMMYFUNCTION("ROUND(GOOGLEFINANCE(""Currency:EURKZT"")*L464+S464)"),9181142)</f>
        <v>9181142</v>
      </c>
      <c r="U464" s="26">
        <f ca="1">IFERROR(__xludf.DUMMYFUNCTION("D464*GOOGLEFINANCE(""RUBKZT"")*1000/F464"),12077925.4457208)</f>
        <v>12077925.445720799</v>
      </c>
      <c r="V464" s="27">
        <f t="shared" ca="1" si="267"/>
        <v>0.31551450197816344</v>
      </c>
    </row>
    <row r="465" spans="1:22" ht="12.75" customHeight="1" x14ac:dyDescent="0.2">
      <c r="A465" s="6" t="s">
        <v>238</v>
      </c>
      <c r="B465" s="6" t="s">
        <v>226</v>
      </c>
      <c r="C465" s="7">
        <v>182884</v>
      </c>
      <c r="D465" s="8">
        <v>263118</v>
      </c>
      <c r="E465" s="9" t="s">
        <v>16</v>
      </c>
      <c r="F465" s="36">
        <v>170</v>
      </c>
      <c r="G465" s="25"/>
      <c r="H465" s="14">
        <f t="shared" si="261"/>
        <v>0.55000000000000004</v>
      </c>
      <c r="I465" s="25">
        <f ca="1">IFERROR(__xludf.DUMMYFUNCTION("ROUND(D465*GOOGLEFINANCE(""RUBKZT"")*H465)"),1129286)</f>
        <v>1129286</v>
      </c>
      <c r="J465" s="26">
        <f ca="1">IFERROR(__xludf.DUMMYFUNCTION("ROUND(I465*GOOGLEFINANCE(""KZTEUR""))"),2365)</f>
        <v>2365</v>
      </c>
      <c r="K465" s="26">
        <f t="shared" ca="1" si="262"/>
        <v>13912</v>
      </c>
      <c r="L465" s="26">
        <f t="shared" ca="1" si="263"/>
        <v>2643.28</v>
      </c>
      <c r="M465" s="26">
        <f t="shared" ref="M465:N465" si="472">M$3</f>
        <v>500</v>
      </c>
      <c r="N465" s="26">
        <f t="shared" si="472"/>
        <v>500</v>
      </c>
      <c r="O465" s="26">
        <f ca="1">IFERROR(__xludf.DUMMYFUNCTION("ROUND(GOOGLEFINANCE(""Currency:EURKZT"")*K465)"),6643948)</f>
        <v>6643948</v>
      </c>
      <c r="P465" s="26">
        <f ca="1">IFERROR(__xludf.DUMMYFUNCTION("ROUND(GOOGLEFINANCE(""Currency:EURKZT"")*M465)"),238785)</f>
        <v>238785</v>
      </c>
      <c r="Q465" s="26">
        <f ca="1">IFERROR(__xludf.DUMMYFUNCTION("ROUND(GOOGLEFINANCE(""Currency:EURKZT"")*N465)"),238785)</f>
        <v>238785</v>
      </c>
      <c r="R465" s="26">
        <f t="shared" ca="1" si="265"/>
        <v>797274</v>
      </c>
      <c r="S465" s="26">
        <f t="shared" ca="1" si="266"/>
        <v>7918792</v>
      </c>
      <c r="T465" s="26">
        <f ca="1">IFERROR(__xludf.DUMMYFUNCTION("ROUND(GOOGLEFINANCE(""Currency:EURKZT"")*L465+S465)"),9181142)</f>
        <v>9181142</v>
      </c>
      <c r="U465" s="26">
        <f ca="1">IFERROR(__xludf.DUMMYFUNCTION("D465*GOOGLEFINANCE(""RUBKZT"")*1000/F465"),12077925.4457208)</f>
        <v>12077925.445720799</v>
      </c>
      <c r="V465" s="27">
        <f t="shared" ca="1" si="267"/>
        <v>0.31551450197816344</v>
      </c>
    </row>
  </sheetData>
  <autoFilter ref="A4:V465" xr:uid="{00000000-0009-0000-0000-000006000000}">
    <sortState xmlns:xlrd2="http://schemas.microsoft.com/office/spreadsheetml/2017/richdata2" ref="A4:V465">
      <sortCondition descending="1" ref="F4:F465"/>
      <sortCondition ref="B4:B465"/>
    </sortState>
  </autoFilter>
  <pageMargins left="0.70866141732283472" right="0.70866141732283472" top="0.74803149606299213" bottom="0.74803149606299213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V49"/>
  <sheetViews>
    <sheetView workbookViewId="0"/>
  </sheetViews>
  <sheetFormatPr baseColWidth="10" defaultColWidth="14.5" defaultRowHeight="15" customHeight="1" x14ac:dyDescent="0.2"/>
  <cols>
    <col min="1" max="1" width="31" customWidth="1"/>
    <col min="2" max="2" width="20.33203125" customWidth="1"/>
    <col min="3" max="3" width="9.6640625" customWidth="1"/>
    <col min="4" max="22" width="16.1640625" customWidth="1"/>
  </cols>
  <sheetData>
    <row r="1" spans="1:22" ht="37.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2" t="s">
        <v>689</v>
      </c>
      <c r="G1" s="11" t="s">
        <v>690</v>
      </c>
      <c r="H1" s="11" t="s">
        <v>691</v>
      </c>
      <c r="I1" s="11" t="s">
        <v>692</v>
      </c>
      <c r="J1" s="12" t="s">
        <v>693</v>
      </c>
      <c r="K1" s="12" t="s">
        <v>694</v>
      </c>
      <c r="L1" s="12" t="s">
        <v>695</v>
      </c>
      <c r="M1" s="12" t="s">
        <v>696</v>
      </c>
      <c r="N1" s="12" t="s">
        <v>697</v>
      </c>
      <c r="O1" s="12" t="s">
        <v>694</v>
      </c>
      <c r="P1" s="12" t="s">
        <v>696</v>
      </c>
      <c r="Q1" s="12" t="s">
        <v>697</v>
      </c>
      <c r="R1" s="12" t="s">
        <v>698</v>
      </c>
      <c r="S1" s="12" t="s">
        <v>699</v>
      </c>
      <c r="T1" s="12" t="s">
        <v>700</v>
      </c>
      <c r="U1" s="12" t="s">
        <v>701</v>
      </c>
      <c r="V1" s="12" t="s">
        <v>702</v>
      </c>
    </row>
    <row r="2" spans="1:22" ht="12.75" customHeight="1" x14ac:dyDescent="0.2">
      <c r="A2" s="6"/>
      <c r="B2" s="6"/>
      <c r="C2" s="7"/>
      <c r="D2" s="8"/>
      <c r="E2" s="9"/>
      <c r="F2" s="12" t="s">
        <v>703</v>
      </c>
      <c r="G2" s="11" t="s">
        <v>704</v>
      </c>
      <c r="H2" s="11" t="s">
        <v>704</v>
      </c>
      <c r="I2" s="11" t="s">
        <v>705</v>
      </c>
      <c r="J2" s="12" t="s">
        <v>706</v>
      </c>
      <c r="K2" s="12" t="s">
        <v>706</v>
      </c>
      <c r="L2" s="12" t="s">
        <v>706</v>
      </c>
      <c r="M2" s="12" t="s">
        <v>706</v>
      </c>
      <c r="N2" s="12" t="s">
        <v>706</v>
      </c>
      <c r="O2" s="12" t="s">
        <v>705</v>
      </c>
      <c r="P2" s="12" t="s">
        <v>705</v>
      </c>
      <c r="Q2" s="12" t="s">
        <v>705</v>
      </c>
      <c r="R2" s="12" t="s">
        <v>705</v>
      </c>
      <c r="S2" s="12" t="s">
        <v>705</v>
      </c>
      <c r="T2" s="12" t="s">
        <v>705</v>
      </c>
      <c r="U2" s="12" t="s">
        <v>705</v>
      </c>
      <c r="V2" s="12" t="s">
        <v>705</v>
      </c>
    </row>
    <row r="3" spans="1:22" ht="12.75" customHeight="1" x14ac:dyDescent="0.2">
      <c r="A3" s="6"/>
      <c r="B3" s="6"/>
      <c r="C3" s="7"/>
      <c r="D3" s="8"/>
      <c r="E3" s="9"/>
      <c r="F3" s="33"/>
      <c r="G3" s="14"/>
      <c r="H3" s="14">
        <v>0.55000000000000004</v>
      </c>
      <c r="I3" s="14"/>
      <c r="J3" s="15"/>
      <c r="K3" s="16"/>
      <c r="L3" s="17">
        <v>0.19</v>
      </c>
      <c r="M3" s="18">
        <v>500</v>
      </c>
      <c r="N3" s="18">
        <v>500</v>
      </c>
      <c r="O3" s="16"/>
      <c r="P3" s="16"/>
      <c r="Q3" s="16"/>
      <c r="R3" s="17">
        <v>0.12</v>
      </c>
      <c r="S3" s="16"/>
      <c r="T3" s="16"/>
      <c r="U3" s="16"/>
      <c r="V3" s="16"/>
    </row>
    <row r="4" spans="1:22" ht="13.5" customHeight="1" x14ac:dyDescent="0.2">
      <c r="A4" s="19"/>
      <c r="B4" s="19"/>
      <c r="C4" s="34"/>
      <c r="D4" s="20"/>
      <c r="E4" s="21"/>
      <c r="F4" s="35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2.75" customHeight="1" x14ac:dyDescent="0.2">
      <c r="A5" s="6" t="s">
        <v>60</v>
      </c>
      <c r="B5" s="6" t="s">
        <v>136</v>
      </c>
      <c r="C5" s="7">
        <v>112703</v>
      </c>
      <c r="D5" s="8">
        <v>358964.39999999997</v>
      </c>
      <c r="E5" s="9" t="s">
        <v>16</v>
      </c>
      <c r="F5" s="36">
        <v>1000</v>
      </c>
      <c r="G5" s="25"/>
      <c r="H5" s="14">
        <f t="shared" ref="H5:H49" si="0">H$3+G5</f>
        <v>0.55000000000000004</v>
      </c>
      <c r="I5" s="25">
        <f ca="1">IFERROR(__xludf.DUMMYFUNCTION("ROUND(D5*GOOGLEFINANCE(""RUBKZT"")*H5)"),1540653)</f>
        <v>1540653</v>
      </c>
      <c r="J5" s="26">
        <f ca="1">IFERROR(__xludf.DUMMYFUNCTION("ROUND(I5*GOOGLEFINANCE(""KZTEUR""))"),3227)</f>
        <v>3227</v>
      </c>
      <c r="K5" s="26">
        <f t="shared" ref="K5:K49" ca="1" si="1">ROUND(J5/F5*1000,0)</f>
        <v>3227</v>
      </c>
      <c r="L5" s="26">
        <f t="shared" ref="L5:L49" ca="1" si="2">K5*L$3</f>
        <v>613.13</v>
      </c>
      <c r="M5" s="26">
        <f t="shared" ref="M5:N5" si="3">M$3</f>
        <v>500</v>
      </c>
      <c r="N5" s="26">
        <f t="shared" si="3"/>
        <v>500</v>
      </c>
      <c r="O5" s="26">
        <f ca="1">IFERROR(__xludf.DUMMYFUNCTION("ROUND(GOOGLEFINANCE(""Currency:EURKZT"")*K5)"),1541117)</f>
        <v>1541117</v>
      </c>
      <c r="P5" s="26">
        <f ca="1">IFERROR(__xludf.DUMMYFUNCTION("ROUND(GOOGLEFINANCE(""Currency:EURKZT"")*M5)"),238785)</f>
        <v>238785</v>
      </c>
      <c r="Q5" s="26">
        <f ca="1">IFERROR(__xludf.DUMMYFUNCTION("ROUND(GOOGLEFINANCE(""Currency:EURKZT"")*N5)"),238785)</f>
        <v>238785</v>
      </c>
      <c r="R5" s="26">
        <f t="shared" ref="R5:R49" ca="1" si="4">ROUND(O5*R$3,0)</f>
        <v>184934</v>
      </c>
      <c r="S5" s="26">
        <f t="shared" ref="S5:S49" ca="1" si="5">SUM(O5:R5)</f>
        <v>2203621</v>
      </c>
      <c r="T5" s="26">
        <f ca="1">IFERROR(__xludf.DUMMYFUNCTION("ROUND(GOOGLEFINANCE(""Currency:EURKZT"")*L5+S5)"),2496433)</f>
        <v>2496433</v>
      </c>
      <c r="U5" s="26">
        <f ca="1">IFERROR(__xludf.DUMMYFUNCTION("D5*GOOGLEFINANCE(""RUBKZT"")*1000/F5"),2801186.89845446)</f>
        <v>2801186.8984544598</v>
      </c>
      <c r="V5" s="27">
        <f t="shared" ref="V5:V49" ca="1" si="6">(U5-T5)/T5</f>
        <v>0.12207573704339746</v>
      </c>
    </row>
    <row r="6" spans="1:22" ht="12.75" customHeight="1" x14ac:dyDescent="0.2">
      <c r="A6" s="6" t="s">
        <v>61</v>
      </c>
      <c r="B6" s="6" t="s">
        <v>136</v>
      </c>
      <c r="C6" s="7">
        <v>112704</v>
      </c>
      <c r="D6" s="8">
        <v>371970</v>
      </c>
      <c r="E6" s="9" t="s">
        <v>16</v>
      </c>
      <c r="F6" s="36">
        <v>1000</v>
      </c>
      <c r="G6" s="25"/>
      <c r="H6" s="14">
        <f t="shared" si="0"/>
        <v>0.55000000000000004</v>
      </c>
      <c r="I6" s="25">
        <f ca="1">IFERROR(__xludf.DUMMYFUNCTION("ROUND(D6*GOOGLEFINANCE(""RUBKZT"")*H6)"),1596472)</f>
        <v>1596472</v>
      </c>
      <c r="J6" s="26">
        <f ca="1">IFERROR(__xludf.DUMMYFUNCTION("ROUND(I6*GOOGLEFINANCE(""KZTEUR""))"),3344)</f>
        <v>3344</v>
      </c>
      <c r="K6" s="26">
        <f t="shared" ca="1" si="1"/>
        <v>3344</v>
      </c>
      <c r="L6" s="26">
        <f t="shared" ca="1" si="2"/>
        <v>635.36</v>
      </c>
      <c r="M6" s="26">
        <f t="shared" ref="M6:N6" si="7">M$3</f>
        <v>500</v>
      </c>
      <c r="N6" s="26">
        <f t="shared" si="7"/>
        <v>500</v>
      </c>
      <c r="O6" s="26">
        <f ca="1">IFERROR(__xludf.DUMMYFUNCTION("ROUND(GOOGLEFINANCE(""Currency:EURKZT"")*K6)"),1596993)</f>
        <v>1596993</v>
      </c>
      <c r="P6" s="26">
        <f ca="1">IFERROR(__xludf.DUMMYFUNCTION("ROUND(GOOGLEFINANCE(""Currency:EURKZT"")*M6)"),238785)</f>
        <v>238785</v>
      </c>
      <c r="Q6" s="26">
        <f ca="1">IFERROR(__xludf.DUMMYFUNCTION("ROUND(GOOGLEFINANCE(""Currency:EURKZT"")*N6)"),238785)</f>
        <v>238785</v>
      </c>
      <c r="R6" s="26">
        <f t="shared" ca="1" si="4"/>
        <v>191639</v>
      </c>
      <c r="S6" s="26">
        <f t="shared" ca="1" si="5"/>
        <v>2266202</v>
      </c>
      <c r="T6" s="26">
        <f ca="1">IFERROR(__xludf.DUMMYFUNCTION("ROUND(GOOGLEFINANCE(""Currency:EURKZT"")*L6+S6)"),2569631)</f>
        <v>2569631</v>
      </c>
      <c r="U6" s="26">
        <f ca="1">IFERROR(__xludf.DUMMYFUNCTION("D6*GOOGLEFINANCE(""RUBKZT"")*1000/F6"),2902676.39525844)</f>
        <v>2902676.3952584402</v>
      </c>
      <c r="V6" s="27">
        <f t="shared" ca="1" si="6"/>
        <v>0.12960825708377591</v>
      </c>
    </row>
    <row r="7" spans="1:22" ht="12.75" customHeight="1" x14ac:dyDescent="0.2">
      <c r="A7" s="6" t="s">
        <v>62</v>
      </c>
      <c r="B7" s="6" t="s">
        <v>136</v>
      </c>
      <c r="C7" s="7">
        <v>112705</v>
      </c>
      <c r="D7" s="8">
        <v>384501.6</v>
      </c>
      <c r="E7" s="9" t="s">
        <v>16</v>
      </c>
      <c r="F7" s="36">
        <v>1000</v>
      </c>
      <c r="G7" s="25"/>
      <c r="H7" s="14">
        <f t="shared" si="0"/>
        <v>0.55000000000000004</v>
      </c>
      <c r="I7" s="25">
        <f ca="1">IFERROR(__xludf.DUMMYFUNCTION("ROUND(D7*GOOGLEFINANCE(""RUBKZT"")*H7)"),1650257)</f>
        <v>1650257</v>
      </c>
      <c r="J7" s="26">
        <f ca="1">IFERROR(__xludf.DUMMYFUNCTION("ROUND(I7*GOOGLEFINANCE(""KZTEUR""))"),3456)</f>
        <v>3456</v>
      </c>
      <c r="K7" s="26">
        <f t="shared" ca="1" si="1"/>
        <v>3456</v>
      </c>
      <c r="L7" s="26">
        <f t="shared" ca="1" si="2"/>
        <v>656.64</v>
      </c>
      <c r="M7" s="26">
        <f t="shared" ref="M7:N7" si="8">M$3</f>
        <v>500</v>
      </c>
      <c r="N7" s="26">
        <f t="shared" si="8"/>
        <v>500</v>
      </c>
      <c r="O7" s="26">
        <f ca="1">IFERROR(__xludf.DUMMYFUNCTION("ROUND(GOOGLEFINANCE(""Currency:EURKZT"")*K7)"),1650481)</f>
        <v>1650481</v>
      </c>
      <c r="P7" s="26">
        <f ca="1">IFERROR(__xludf.DUMMYFUNCTION("ROUND(GOOGLEFINANCE(""Currency:EURKZT"")*M7)"),238785)</f>
        <v>238785</v>
      </c>
      <c r="Q7" s="26">
        <f ca="1">IFERROR(__xludf.DUMMYFUNCTION("ROUND(GOOGLEFINANCE(""Currency:EURKZT"")*N7)"),238785)</f>
        <v>238785</v>
      </c>
      <c r="R7" s="26">
        <f t="shared" ca="1" si="4"/>
        <v>198058</v>
      </c>
      <c r="S7" s="26">
        <f t="shared" ca="1" si="5"/>
        <v>2326109</v>
      </c>
      <c r="T7" s="26">
        <f ca="1">IFERROR(__xludf.DUMMYFUNCTION("ROUND(GOOGLEFINANCE(""Currency:EURKZT"")*L7+S7)"),2639700)</f>
        <v>2639700</v>
      </c>
      <c r="U7" s="26">
        <f ca="1">IFERROR(__xludf.DUMMYFUNCTION("D7*GOOGLEFINANCE(""RUBKZT"")*1000/F7"),3000467.02223056)</f>
        <v>3000467.02223056</v>
      </c>
      <c r="V7" s="27">
        <f t="shared" ca="1" si="6"/>
        <v>0.13666970573571238</v>
      </c>
    </row>
    <row r="8" spans="1:22" ht="12.75" customHeight="1" x14ac:dyDescent="0.2">
      <c r="A8" s="6" t="s">
        <v>98</v>
      </c>
      <c r="B8" s="6" t="s">
        <v>136</v>
      </c>
      <c r="C8" s="7">
        <v>112720</v>
      </c>
      <c r="D8" s="8">
        <v>822393.6</v>
      </c>
      <c r="E8" s="9" t="s">
        <v>16</v>
      </c>
      <c r="F8" s="36">
        <v>1000</v>
      </c>
      <c r="G8" s="25"/>
      <c r="H8" s="14">
        <f t="shared" si="0"/>
        <v>0.55000000000000004</v>
      </c>
      <c r="I8" s="25">
        <f ca="1">IFERROR(__xludf.DUMMYFUNCTION("ROUND(D8*GOOGLEFINANCE(""RUBKZT"")*H8)"),3529662)</f>
        <v>3529662</v>
      </c>
      <c r="J8" s="26">
        <f ca="1">IFERROR(__xludf.DUMMYFUNCTION("ROUND(I8*GOOGLEFINANCE(""KZTEUR""))"),7392)</f>
        <v>7392</v>
      </c>
      <c r="K8" s="26">
        <f t="shared" ca="1" si="1"/>
        <v>7392</v>
      </c>
      <c r="L8" s="26">
        <f t="shared" ca="1" si="2"/>
        <v>1404.48</v>
      </c>
      <c r="M8" s="26">
        <f t="shared" ref="M8:N8" si="9">M$3</f>
        <v>500</v>
      </c>
      <c r="N8" s="26">
        <f t="shared" si="9"/>
        <v>500</v>
      </c>
      <c r="O8" s="26">
        <f ca="1">IFERROR(__xludf.DUMMYFUNCTION("ROUND(GOOGLEFINANCE(""Currency:EURKZT"")*K8)"),3530195)</f>
        <v>3530195</v>
      </c>
      <c r="P8" s="26">
        <f ca="1">IFERROR(__xludf.DUMMYFUNCTION("ROUND(GOOGLEFINANCE(""Currency:EURKZT"")*M8)"),238785)</f>
        <v>238785</v>
      </c>
      <c r="Q8" s="26">
        <f ca="1">IFERROR(__xludf.DUMMYFUNCTION("ROUND(GOOGLEFINANCE(""Currency:EURKZT"")*N8)"),238785)</f>
        <v>238785</v>
      </c>
      <c r="R8" s="26">
        <f t="shared" ca="1" si="4"/>
        <v>423623</v>
      </c>
      <c r="S8" s="26">
        <f t="shared" ca="1" si="5"/>
        <v>4431388</v>
      </c>
      <c r="T8" s="26">
        <f ca="1">IFERROR(__xludf.DUMMYFUNCTION("ROUND(GOOGLEFINANCE(""Currency:EURKZT"")*L8+S8)"),5102125)</f>
        <v>5102125</v>
      </c>
      <c r="U8" s="26">
        <f ca="1">IFERROR(__xludf.DUMMYFUNCTION("D8*GOOGLEFINANCE(""RUBKZT"")*1000/F8"),6417567.25093854)</f>
        <v>6417567.2509385403</v>
      </c>
      <c r="V8" s="27">
        <f t="shared" ca="1" si="6"/>
        <v>0.25782242711390652</v>
      </c>
    </row>
    <row r="9" spans="1:22" ht="12.75" customHeight="1" x14ac:dyDescent="0.2">
      <c r="A9" s="6" t="s">
        <v>137</v>
      </c>
      <c r="B9" s="6" t="s">
        <v>136</v>
      </c>
      <c r="C9" s="7">
        <v>134333</v>
      </c>
      <c r="D9" s="8">
        <v>361814.39999999997</v>
      </c>
      <c r="E9" s="9" t="s">
        <v>16</v>
      </c>
      <c r="F9" s="36">
        <v>1000</v>
      </c>
      <c r="G9" s="25"/>
      <c r="H9" s="14">
        <f t="shared" si="0"/>
        <v>0.55000000000000004</v>
      </c>
      <c r="I9" s="25">
        <f ca="1">IFERROR(__xludf.DUMMYFUNCTION("ROUND(D9*GOOGLEFINANCE(""RUBKZT"")*H9)"),1552885)</f>
        <v>1552885</v>
      </c>
      <c r="J9" s="26">
        <f ca="1">IFERROR(__xludf.DUMMYFUNCTION("ROUND(I9*GOOGLEFINANCE(""KZTEUR""))"),3252)</f>
        <v>3252</v>
      </c>
      <c r="K9" s="26">
        <f t="shared" ca="1" si="1"/>
        <v>3252</v>
      </c>
      <c r="L9" s="26">
        <f t="shared" ca="1" si="2"/>
        <v>617.88</v>
      </c>
      <c r="M9" s="26">
        <f t="shared" ref="M9:N9" si="10">M$3</f>
        <v>500</v>
      </c>
      <c r="N9" s="26">
        <f t="shared" si="10"/>
        <v>500</v>
      </c>
      <c r="O9" s="26">
        <f ca="1">IFERROR(__xludf.DUMMYFUNCTION("ROUND(GOOGLEFINANCE(""Currency:EURKZT"")*K9)"),1553056)</f>
        <v>1553056</v>
      </c>
      <c r="P9" s="26">
        <f ca="1">IFERROR(__xludf.DUMMYFUNCTION("ROUND(GOOGLEFINANCE(""Currency:EURKZT"")*M9)"),238785)</f>
        <v>238785</v>
      </c>
      <c r="Q9" s="26">
        <f ca="1">IFERROR(__xludf.DUMMYFUNCTION("ROUND(GOOGLEFINANCE(""Currency:EURKZT"")*N9)"),238785)</f>
        <v>238785</v>
      </c>
      <c r="R9" s="26">
        <f t="shared" ca="1" si="4"/>
        <v>186367</v>
      </c>
      <c r="S9" s="26">
        <f t="shared" ca="1" si="5"/>
        <v>2216993</v>
      </c>
      <c r="T9" s="26">
        <f ca="1">IFERROR(__xludf.DUMMYFUNCTION("ROUND(GOOGLEFINANCE(""Currency:EURKZT"")*L9+S9)"),2512074)</f>
        <v>2512074</v>
      </c>
      <c r="U9" s="26">
        <f ca="1">IFERROR(__xludf.DUMMYFUNCTION("D9*GOOGLEFINANCE(""RUBKZT"")*1000/F9"),2823426.93858266)</f>
        <v>2823426.9385826602</v>
      </c>
      <c r="V9" s="27">
        <f t="shared" ca="1" si="6"/>
        <v>0.12394258233740732</v>
      </c>
    </row>
    <row r="10" spans="1:22" ht="12.75" customHeight="1" x14ac:dyDescent="0.2">
      <c r="A10" s="6" t="s">
        <v>188</v>
      </c>
      <c r="B10" s="6" t="s">
        <v>136</v>
      </c>
      <c r="C10" s="7">
        <v>148771</v>
      </c>
      <c r="D10" s="8">
        <v>367755.6</v>
      </c>
      <c r="E10" s="9" t="s">
        <v>16</v>
      </c>
      <c r="F10" s="36">
        <v>1000</v>
      </c>
      <c r="G10" s="25"/>
      <c r="H10" s="14">
        <f t="shared" si="0"/>
        <v>0.55000000000000004</v>
      </c>
      <c r="I10" s="25">
        <f ca="1">IFERROR(__xludf.DUMMYFUNCTION("ROUND(D10*GOOGLEFINANCE(""RUBKZT"")*H10)"),1578384)</f>
        <v>1578384</v>
      </c>
      <c r="J10" s="26">
        <f ca="1">IFERROR(__xludf.DUMMYFUNCTION("ROUND(I10*GOOGLEFINANCE(""KZTEUR""))"),3306)</f>
        <v>3306</v>
      </c>
      <c r="K10" s="26">
        <f t="shared" ca="1" si="1"/>
        <v>3306</v>
      </c>
      <c r="L10" s="26">
        <f t="shared" ca="1" si="2"/>
        <v>628.14</v>
      </c>
      <c r="M10" s="26">
        <f t="shared" ref="M10:N10" si="11">M$3</f>
        <v>500</v>
      </c>
      <c r="N10" s="26">
        <f t="shared" si="11"/>
        <v>500</v>
      </c>
      <c r="O10" s="26">
        <f ca="1">IFERROR(__xludf.DUMMYFUNCTION("ROUND(GOOGLEFINANCE(""Currency:EURKZT"")*K10)"),1578845)</f>
        <v>1578845</v>
      </c>
      <c r="P10" s="26">
        <f ca="1">IFERROR(__xludf.DUMMYFUNCTION("ROUND(GOOGLEFINANCE(""Currency:EURKZT"")*M10)"),238785)</f>
        <v>238785</v>
      </c>
      <c r="Q10" s="26">
        <f ca="1">IFERROR(__xludf.DUMMYFUNCTION("ROUND(GOOGLEFINANCE(""Currency:EURKZT"")*N10)"),238785)</f>
        <v>238785</v>
      </c>
      <c r="R10" s="26">
        <f t="shared" ca="1" si="4"/>
        <v>189461</v>
      </c>
      <c r="S10" s="26">
        <f t="shared" ca="1" si="5"/>
        <v>2245876</v>
      </c>
      <c r="T10" s="26">
        <f ca="1">IFERROR(__xludf.DUMMYFUNCTION("ROUND(GOOGLEFINANCE(""Currency:EURKZT"")*L10+S10)"),2545857)</f>
        <v>2545857</v>
      </c>
      <c r="U10" s="26">
        <f ca="1">IFERROR(__xludf.DUMMYFUNCTION("D10*GOOGLEFINANCE(""RUBKZT"")*1000/F10"),2869789.22855097)</f>
        <v>2869789.2285509701</v>
      </c>
      <c r="V10" s="27">
        <f t="shared" ca="1" si="6"/>
        <v>0.12723897239749526</v>
      </c>
    </row>
    <row r="11" spans="1:22" ht="12.75" customHeight="1" x14ac:dyDescent="0.2">
      <c r="A11" s="6" t="s">
        <v>198</v>
      </c>
      <c r="B11" s="6" t="s">
        <v>136</v>
      </c>
      <c r="C11" s="7">
        <v>149359</v>
      </c>
      <c r="D11" s="8">
        <v>281623.2</v>
      </c>
      <c r="E11" s="9" t="s">
        <v>16</v>
      </c>
      <c r="F11" s="36">
        <v>1000</v>
      </c>
      <c r="G11" s="25"/>
      <c r="H11" s="14">
        <f t="shared" si="0"/>
        <v>0.55000000000000004</v>
      </c>
      <c r="I11" s="25">
        <f ca="1">IFERROR(__xludf.DUMMYFUNCTION("ROUND(D11*GOOGLEFINANCE(""RUBKZT"")*H11)"),1208709)</f>
        <v>1208709</v>
      </c>
      <c r="J11" s="26">
        <f ca="1">IFERROR(__xludf.DUMMYFUNCTION("ROUND(I11*GOOGLEFINANCE(""KZTEUR""))"),2531)</f>
        <v>2531</v>
      </c>
      <c r="K11" s="26">
        <f t="shared" ca="1" si="1"/>
        <v>2531</v>
      </c>
      <c r="L11" s="26">
        <f t="shared" ca="1" si="2"/>
        <v>480.89</v>
      </c>
      <c r="M11" s="26">
        <f t="shared" ref="M11:N11" si="12">M$3</f>
        <v>500</v>
      </c>
      <c r="N11" s="26">
        <f t="shared" si="12"/>
        <v>500</v>
      </c>
      <c r="O11" s="26">
        <f ca="1">IFERROR(__xludf.DUMMYFUNCTION("ROUND(GOOGLEFINANCE(""Currency:EURKZT"")*K11)"),1208729)</f>
        <v>1208729</v>
      </c>
      <c r="P11" s="26">
        <f ca="1">IFERROR(__xludf.DUMMYFUNCTION("ROUND(GOOGLEFINANCE(""Currency:EURKZT"")*M11)"),238785)</f>
        <v>238785</v>
      </c>
      <c r="Q11" s="26">
        <f ca="1">IFERROR(__xludf.DUMMYFUNCTION("ROUND(GOOGLEFINANCE(""Currency:EURKZT"")*N11)"),238785)</f>
        <v>238785</v>
      </c>
      <c r="R11" s="26">
        <f t="shared" ca="1" si="4"/>
        <v>145047</v>
      </c>
      <c r="S11" s="26">
        <f t="shared" ca="1" si="5"/>
        <v>1831346</v>
      </c>
      <c r="T11" s="26">
        <f ca="1">IFERROR(__xludf.DUMMYFUNCTION("ROUND(GOOGLEFINANCE(""Currency:EURKZT"")*L11+S11)"),2061004)</f>
        <v>2061004</v>
      </c>
      <c r="U11" s="26">
        <f ca="1">IFERROR(__xludf.DUMMYFUNCTION("D11*GOOGLEFINANCE(""RUBKZT"")*1000/F11"),2197653.07685336)</f>
        <v>2197653.07685336</v>
      </c>
      <c r="V11" s="27">
        <f t="shared" ca="1" si="6"/>
        <v>6.6302189056091129E-2</v>
      </c>
    </row>
    <row r="12" spans="1:22" ht="12.75" customHeight="1" x14ac:dyDescent="0.2">
      <c r="A12" s="6" t="s">
        <v>199</v>
      </c>
      <c r="B12" s="6" t="s">
        <v>136</v>
      </c>
      <c r="C12" s="7">
        <v>156061</v>
      </c>
      <c r="D12" s="8">
        <v>425881.2</v>
      </c>
      <c r="E12" s="9" t="s">
        <v>16</v>
      </c>
      <c r="F12" s="36">
        <v>1000</v>
      </c>
      <c r="G12" s="25"/>
      <c r="H12" s="14">
        <f t="shared" si="0"/>
        <v>0.55000000000000004</v>
      </c>
      <c r="I12" s="25">
        <f ca="1">IFERROR(__xludf.DUMMYFUNCTION("ROUND(D12*GOOGLEFINANCE(""RUBKZT"")*H12)"),1827856)</f>
        <v>1827856</v>
      </c>
      <c r="J12" s="26">
        <f ca="1">IFERROR(__xludf.DUMMYFUNCTION("ROUND(I12*GOOGLEFINANCE(""KZTEUR""))"),3828)</f>
        <v>3828</v>
      </c>
      <c r="K12" s="26">
        <f t="shared" ca="1" si="1"/>
        <v>3828</v>
      </c>
      <c r="L12" s="26">
        <f t="shared" ca="1" si="2"/>
        <v>727.32</v>
      </c>
      <c r="M12" s="26">
        <f t="shared" ref="M12:N12" si="13">M$3</f>
        <v>500</v>
      </c>
      <c r="N12" s="26">
        <f t="shared" si="13"/>
        <v>500</v>
      </c>
      <c r="O12" s="26">
        <f ca="1">IFERROR(__xludf.DUMMYFUNCTION("ROUND(GOOGLEFINANCE(""Currency:EURKZT"")*K12)"),1828136)</f>
        <v>1828136</v>
      </c>
      <c r="P12" s="26">
        <f ca="1">IFERROR(__xludf.DUMMYFUNCTION("ROUND(GOOGLEFINANCE(""Currency:EURKZT"")*M12)"),238785)</f>
        <v>238785</v>
      </c>
      <c r="Q12" s="26">
        <f ca="1">IFERROR(__xludf.DUMMYFUNCTION("ROUND(GOOGLEFINANCE(""Currency:EURKZT"")*N12)"),238785)</f>
        <v>238785</v>
      </c>
      <c r="R12" s="26">
        <f t="shared" ca="1" si="4"/>
        <v>219376</v>
      </c>
      <c r="S12" s="26">
        <f t="shared" ca="1" si="5"/>
        <v>2525082</v>
      </c>
      <c r="T12" s="26">
        <f ca="1">IFERROR(__xludf.DUMMYFUNCTION("ROUND(GOOGLEFINANCE(""Currency:EURKZT"")*L12+S12)"),2872428)</f>
        <v>2872428</v>
      </c>
      <c r="U12" s="26">
        <f ca="1">IFERROR(__xludf.DUMMYFUNCTION("D12*GOOGLEFINANCE(""RUBKZT"")*1000/F12"),3323373.67643718)</f>
        <v>3323373.67643718</v>
      </c>
      <c r="V12" s="27">
        <f t="shared" ca="1" si="6"/>
        <v>0.15699111568233565</v>
      </c>
    </row>
    <row r="13" spans="1:22" ht="12.75" customHeight="1" x14ac:dyDescent="0.2">
      <c r="A13" s="6" t="s">
        <v>213</v>
      </c>
      <c r="B13" s="6" t="s">
        <v>136</v>
      </c>
      <c r="C13" s="7">
        <v>156302</v>
      </c>
      <c r="D13" s="8">
        <v>435024</v>
      </c>
      <c r="E13" s="9" t="s">
        <v>16</v>
      </c>
      <c r="F13" s="36">
        <v>1000</v>
      </c>
      <c r="G13" s="25"/>
      <c r="H13" s="14">
        <f t="shared" si="0"/>
        <v>0.55000000000000004</v>
      </c>
      <c r="I13" s="25">
        <f ca="1">IFERROR(__xludf.DUMMYFUNCTION("ROUND(D13*GOOGLEFINANCE(""RUBKZT"")*H13)"),1867096)</f>
        <v>1867096</v>
      </c>
      <c r="J13" s="26">
        <f ca="1">IFERROR(__xludf.DUMMYFUNCTION("ROUND(I13*GOOGLEFINANCE(""KZTEUR""))"),3910)</f>
        <v>3910</v>
      </c>
      <c r="K13" s="26">
        <f t="shared" ca="1" si="1"/>
        <v>3910</v>
      </c>
      <c r="L13" s="26">
        <f t="shared" ca="1" si="2"/>
        <v>742.9</v>
      </c>
      <c r="M13" s="26">
        <f t="shared" ref="M13:N13" si="14">M$3</f>
        <v>500</v>
      </c>
      <c r="N13" s="26">
        <f t="shared" si="14"/>
        <v>500</v>
      </c>
      <c r="O13" s="26">
        <f ca="1">IFERROR(__xludf.DUMMYFUNCTION("ROUND(GOOGLEFINANCE(""Currency:EURKZT"")*K13)"),1867297)</f>
        <v>1867297</v>
      </c>
      <c r="P13" s="26">
        <f ca="1">IFERROR(__xludf.DUMMYFUNCTION("ROUND(GOOGLEFINANCE(""Currency:EURKZT"")*M13)"),238785)</f>
        <v>238785</v>
      </c>
      <c r="Q13" s="26">
        <f ca="1">IFERROR(__xludf.DUMMYFUNCTION("ROUND(GOOGLEFINANCE(""Currency:EURKZT"")*N13)"),238785)</f>
        <v>238785</v>
      </c>
      <c r="R13" s="26">
        <f t="shared" ca="1" si="4"/>
        <v>224076</v>
      </c>
      <c r="S13" s="26">
        <f t="shared" ca="1" si="5"/>
        <v>2568943</v>
      </c>
      <c r="T13" s="26">
        <f ca="1">IFERROR(__xludf.DUMMYFUNCTION("ROUND(GOOGLEFINANCE(""Currency:EURKZT"")*L13+S13)"),2923729)</f>
        <v>2923729</v>
      </c>
      <c r="U13" s="26">
        <f ca="1">IFERROR(__xludf.DUMMYFUNCTION("D13*GOOGLEFINANCE(""RUBKZT"")*1000/F13"),3394719.72516844)</f>
        <v>3394719.72516844</v>
      </c>
      <c r="V13" s="27">
        <f t="shared" ca="1" si="6"/>
        <v>0.16109246964012056</v>
      </c>
    </row>
    <row r="14" spans="1:22" ht="12.75" customHeight="1" x14ac:dyDescent="0.2">
      <c r="A14" s="6" t="s">
        <v>215</v>
      </c>
      <c r="B14" s="6" t="s">
        <v>136</v>
      </c>
      <c r="C14" s="7">
        <v>156354</v>
      </c>
      <c r="D14" s="8">
        <v>586425.59999999998</v>
      </c>
      <c r="E14" s="9" t="s">
        <v>16</v>
      </c>
      <c r="F14" s="36">
        <v>1000</v>
      </c>
      <c r="G14" s="25"/>
      <c r="H14" s="14">
        <f t="shared" si="0"/>
        <v>0.55000000000000004</v>
      </c>
      <c r="I14" s="25">
        <f ca="1">IFERROR(__xludf.DUMMYFUNCTION("ROUND(D14*GOOGLEFINANCE(""RUBKZT"")*H14)"),2516902)</f>
        <v>2516902</v>
      </c>
      <c r="J14" s="26">
        <f ca="1">IFERROR(__xludf.DUMMYFUNCTION("ROUND(I14*GOOGLEFINANCE(""KZTEUR""))"),5271)</f>
        <v>5271</v>
      </c>
      <c r="K14" s="26">
        <f t="shared" ca="1" si="1"/>
        <v>5271</v>
      </c>
      <c r="L14" s="26">
        <f t="shared" ca="1" si="2"/>
        <v>1001.49</v>
      </c>
      <c r="M14" s="26">
        <f t="shared" ref="M14:N14" si="15">M$3</f>
        <v>500</v>
      </c>
      <c r="N14" s="26">
        <f t="shared" si="15"/>
        <v>500</v>
      </c>
      <c r="O14" s="26">
        <f ca="1">IFERROR(__xludf.DUMMYFUNCTION("ROUND(GOOGLEFINANCE(""Currency:EURKZT"")*K14)"),2517269)</f>
        <v>2517269</v>
      </c>
      <c r="P14" s="26">
        <f ca="1">IFERROR(__xludf.DUMMYFUNCTION("ROUND(GOOGLEFINANCE(""Currency:EURKZT"")*M14)"),238785)</f>
        <v>238785</v>
      </c>
      <c r="Q14" s="26">
        <f ca="1">IFERROR(__xludf.DUMMYFUNCTION("ROUND(GOOGLEFINANCE(""Currency:EURKZT"")*N14)"),238785)</f>
        <v>238785</v>
      </c>
      <c r="R14" s="26">
        <f t="shared" ca="1" si="4"/>
        <v>302072</v>
      </c>
      <c r="S14" s="26">
        <f t="shared" ca="1" si="5"/>
        <v>3296911</v>
      </c>
      <c r="T14" s="26">
        <f ca="1">IFERROR(__xludf.DUMMYFUNCTION("ROUND(GOOGLEFINANCE(""Currency:EURKZT"")*L14+S14)"),3775192)</f>
        <v>3775192</v>
      </c>
      <c r="U14" s="26">
        <f ca="1">IFERROR(__xludf.DUMMYFUNCTION("D14*GOOGLEFINANCE(""RUBKZT"")*1000/F14"),4576185.57059781)</f>
        <v>4576185.5705978097</v>
      </c>
      <c r="V14" s="27">
        <f t="shared" ca="1" si="6"/>
        <v>0.21217293599843656</v>
      </c>
    </row>
    <row r="15" spans="1:22" ht="12.75" customHeight="1" x14ac:dyDescent="0.2">
      <c r="A15" s="6" t="s">
        <v>73</v>
      </c>
      <c r="B15" s="6" t="s">
        <v>136</v>
      </c>
      <c r="C15" s="7">
        <v>156820</v>
      </c>
      <c r="D15" s="8">
        <v>435670.8</v>
      </c>
      <c r="E15" s="9" t="s">
        <v>16</v>
      </c>
      <c r="F15" s="36">
        <v>1000</v>
      </c>
      <c r="G15" s="25"/>
      <c r="H15" s="14">
        <f t="shared" si="0"/>
        <v>0.55000000000000004</v>
      </c>
      <c r="I15" s="25">
        <f ca="1">IFERROR(__xludf.DUMMYFUNCTION("ROUND(D15*GOOGLEFINANCE(""RUBKZT"")*H15)"),1869872)</f>
        <v>1869872</v>
      </c>
      <c r="J15" s="26">
        <f ca="1">IFERROR(__xludf.DUMMYFUNCTION("ROUND(I15*GOOGLEFINANCE(""KZTEUR""))"),3916)</f>
        <v>3916</v>
      </c>
      <c r="K15" s="26">
        <f t="shared" ca="1" si="1"/>
        <v>3916</v>
      </c>
      <c r="L15" s="26">
        <f t="shared" ca="1" si="2"/>
        <v>744.04</v>
      </c>
      <c r="M15" s="26">
        <f t="shared" ref="M15:N15" si="16">M$3</f>
        <v>500</v>
      </c>
      <c r="N15" s="26">
        <f t="shared" si="16"/>
        <v>500</v>
      </c>
      <c r="O15" s="26">
        <f ca="1">IFERROR(__xludf.DUMMYFUNCTION("ROUND(GOOGLEFINANCE(""Currency:EURKZT"")*K15)"),1870163)</f>
        <v>1870163</v>
      </c>
      <c r="P15" s="26">
        <f ca="1">IFERROR(__xludf.DUMMYFUNCTION("ROUND(GOOGLEFINANCE(""Currency:EURKZT"")*M15)"),238785)</f>
        <v>238785</v>
      </c>
      <c r="Q15" s="26">
        <f ca="1">IFERROR(__xludf.DUMMYFUNCTION("ROUND(GOOGLEFINANCE(""Currency:EURKZT"")*N15)"),238785)</f>
        <v>238785</v>
      </c>
      <c r="R15" s="26">
        <f t="shared" ca="1" si="4"/>
        <v>224420</v>
      </c>
      <c r="S15" s="26">
        <f t="shared" ca="1" si="5"/>
        <v>2572153</v>
      </c>
      <c r="T15" s="26">
        <f ca="1">IFERROR(__xludf.DUMMYFUNCTION("ROUND(GOOGLEFINANCE(""Currency:EURKZT"")*L15+S15)"),2927484)</f>
        <v>2927484</v>
      </c>
      <c r="U15" s="26">
        <f ca="1">IFERROR(__xludf.DUMMYFUNCTION("D15*GOOGLEFINANCE(""RUBKZT"")*1000/F15"),3399767.04374912)</f>
        <v>3399767.0437491201</v>
      </c>
      <c r="V15" s="27">
        <f t="shared" ca="1" si="6"/>
        <v>0.16132728436743637</v>
      </c>
    </row>
    <row r="16" spans="1:22" ht="12.75" customHeight="1" x14ac:dyDescent="0.2">
      <c r="A16" s="6" t="s">
        <v>221</v>
      </c>
      <c r="B16" s="6" t="s">
        <v>136</v>
      </c>
      <c r="C16" s="7">
        <v>157465</v>
      </c>
      <c r="D16" s="8">
        <v>532410</v>
      </c>
      <c r="E16" s="9" t="s">
        <v>16</v>
      </c>
      <c r="F16" s="36">
        <v>1000</v>
      </c>
      <c r="G16" s="25"/>
      <c r="H16" s="14">
        <f t="shared" si="0"/>
        <v>0.55000000000000004</v>
      </c>
      <c r="I16" s="25">
        <f ca="1">IFERROR(__xludf.DUMMYFUNCTION("ROUND(D16*GOOGLEFINANCE(""RUBKZT"")*H16)"),2285070)</f>
        <v>2285070</v>
      </c>
      <c r="J16" s="26">
        <f ca="1">IFERROR(__xludf.DUMMYFUNCTION("ROUND(I16*GOOGLEFINANCE(""KZTEUR""))"),4786)</f>
        <v>4786</v>
      </c>
      <c r="K16" s="26">
        <f t="shared" ca="1" si="1"/>
        <v>4786</v>
      </c>
      <c r="L16" s="26">
        <f t="shared" ca="1" si="2"/>
        <v>909.34</v>
      </c>
      <c r="M16" s="26">
        <f t="shared" ref="M16:N16" si="17">M$3</f>
        <v>500</v>
      </c>
      <c r="N16" s="26">
        <f t="shared" si="17"/>
        <v>500</v>
      </c>
      <c r="O16" s="26">
        <f ca="1">IFERROR(__xludf.DUMMYFUNCTION("ROUND(GOOGLEFINANCE(""Currency:EURKZT"")*K16)"),2285648)</f>
        <v>2285648</v>
      </c>
      <c r="P16" s="26">
        <f ca="1">IFERROR(__xludf.DUMMYFUNCTION("ROUND(GOOGLEFINANCE(""Currency:EURKZT"")*M16)"),238785)</f>
        <v>238785</v>
      </c>
      <c r="Q16" s="26">
        <f ca="1">IFERROR(__xludf.DUMMYFUNCTION("ROUND(GOOGLEFINANCE(""Currency:EURKZT"")*N16)"),238785)</f>
        <v>238785</v>
      </c>
      <c r="R16" s="26">
        <f t="shared" ca="1" si="4"/>
        <v>274278</v>
      </c>
      <c r="S16" s="26">
        <f t="shared" ca="1" si="5"/>
        <v>3037496</v>
      </c>
      <c r="T16" s="26">
        <f ca="1">IFERROR(__xludf.DUMMYFUNCTION("ROUND(GOOGLEFINANCE(""Currency:EURKZT"")*L16+S16)"),3471769)</f>
        <v>3471769</v>
      </c>
      <c r="U16" s="26">
        <f ca="1">IFERROR(__xludf.DUMMYFUNCTION("D16*GOOGLEFINANCE(""RUBKZT"")*1000/F16"),4154673.60163332)</f>
        <v>4154673.6016333201</v>
      </c>
      <c r="V16" s="27">
        <f t="shared" ca="1" si="6"/>
        <v>0.196702200415212</v>
      </c>
    </row>
    <row r="17" spans="1:22" ht="12.75" customHeight="1" x14ac:dyDescent="0.2">
      <c r="A17" s="6" t="s">
        <v>203</v>
      </c>
      <c r="B17" s="6" t="s">
        <v>136</v>
      </c>
      <c r="C17" s="7">
        <v>157590</v>
      </c>
      <c r="D17" s="8">
        <v>586471.19999999995</v>
      </c>
      <c r="E17" s="9" t="s">
        <v>16</v>
      </c>
      <c r="F17" s="36">
        <v>1000</v>
      </c>
      <c r="G17" s="25"/>
      <c r="H17" s="14">
        <f t="shared" si="0"/>
        <v>0.55000000000000004</v>
      </c>
      <c r="I17" s="25">
        <f ca="1">IFERROR(__xludf.DUMMYFUNCTION("ROUND(D17*GOOGLEFINANCE(""RUBKZT"")*H17)"),2517098)</f>
        <v>2517098</v>
      </c>
      <c r="J17" s="26">
        <f ca="1">IFERROR(__xludf.DUMMYFUNCTION("ROUND(I17*GOOGLEFINANCE(""KZTEUR""))"),5272)</f>
        <v>5272</v>
      </c>
      <c r="K17" s="26">
        <f t="shared" ca="1" si="1"/>
        <v>5272</v>
      </c>
      <c r="L17" s="26">
        <f t="shared" ca="1" si="2"/>
        <v>1001.6800000000001</v>
      </c>
      <c r="M17" s="26">
        <f t="shared" ref="M17:N17" si="18">M$3</f>
        <v>500</v>
      </c>
      <c r="N17" s="26">
        <f t="shared" si="18"/>
        <v>500</v>
      </c>
      <c r="O17" s="26">
        <f ca="1">IFERROR(__xludf.DUMMYFUNCTION("ROUND(GOOGLEFINANCE(""Currency:EURKZT"")*K17)"),2517747)</f>
        <v>2517747</v>
      </c>
      <c r="P17" s="26">
        <f ca="1">IFERROR(__xludf.DUMMYFUNCTION("ROUND(GOOGLEFINANCE(""Currency:EURKZT"")*M17)"),238785)</f>
        <v>238785</v>
      </c>
      <c r="Q17" s="26">
        <f ca="1">IFERROR(__xludf.DUMMYFUNCTION("ROUND(GOOGLEFINANCE(""Currency:EURKZT"")*N17)"),238785)</f>
        <v>238785</v>
      </c>
      <c r="R17" s="26">
        <f t="shared" ca="1" si="4"/>
        <v>302130</v>
      </c>
      <c r="S17" s="26">
        <f t="shared" ca="1" si="5"/>
        <v>3297447</v>
      </c>
      <c r="T17" s="26">
        <f ca="1">IFERROR(__xludf.DUMMYFUNCTION("ROUND(GOOGLEFINANCE(""Currency:EURKZT"")*L17+S17)"),3775819)</f>
        <v>3775819</v>
      </c>
      <c r="U17" s="26">
        <f ca="1">IFERROR(__xludf.DUMMYFUNCTION("D17*GOOGLEFINANCE(""RUBKZT"")*1000/F17"),4576541.41123986)</f>
        <v>4576541.4112398596</v>
      </c>
      <c r="V17" s="27">
        <f t="shared" ca="1" si="6"/>
        <v>0.21206588855023498</v>
      </c>
    </row>
    <row r="18" spans="1:22" ht="12.75" customHeight="1" x14ac:dyDescent="0.2">
      <c r="A18" s="6" t="s">
        <v>232</v>
      </c>
      <c r="B18" s="6" t="s">
        <v>136</v>
      </c>
      <c r="C18" s="7">
        <v>159213</v>
      </c>
      <c r="D18" s="8">
        <v>419803.2</v>
      </c>
      <c r="E18" s="9" t="s">
        <v>16</v>
      </c>
      <c r="F18" s="36">
        <v>1000</v>
      </c>
      <c r="G18" s="25"/>
      <c r="H18" s="14">
        <f t="shared" si="0"/>
        <v>0.55000000000000004</v>
      </c>
      <c r="I18" s="25">
        <f ca="1">IFERROR(__xludf.DUMMYFUNCTION("ROUND(D18*GOOGLEFINANCE(""RUBKZT"")*H18)"),1801769)</f>
        <v>1801769</v>
      </c>
      <c r="J18" s="26">
        <f ca="1">IFERROR(__xludf.DUMMYFUNCTION("ROUND(I18*GOOGLEFINANCE(""KZTEUR""))"),3773)</f>
        <v>3773</v>
      </c>
      <c r="K18" s="26">
        <f t="shared" ca="1" si="1"/>
        <v>3773</v>
      </c>
      <c r="L18" s="26">
        <f t="shared" ca="1" si="2"/>
        <v>716.87</v>
      </c>
      <c r="M18" s="26">
        <f t="shared" ref="M18:N18" si="19">M$3</f>
        <v>500</v>
      </c>
      <c r="N18" s="26">
        <f t="shared" si="19"/>
        <v>500</v>
      </c>
      <c r="O18" s="26">
        <f ca="1">IFERROR(__xludf.DUMMYFUNCTION("ROUND(GOOGLEFINANCE(""Currency:EURKZT"")*K18)"),1801870)</f>
        <v>1801870</v>
      </c>
      <c r="P18" s="26">
        <f ca="1">IFERROR(__xludf.DUMMYFUNCTION("ROUND(GOOGLEFINANCE(""Currency:EURKZT"")*M18)"),238785)</f>
        <v>238785</v>
      </c>
      <c r="Q18" s="26">
        <f ca="1">IFERROR(__xludf.DUMMYFUNCTION("ROUND(GOOGLEFINANCE(""Currency:EURKZT"")*N18)"),238785)</f>
        <v>238785</v>
      </c>
      <c r="R18" s="26">
        <f t="shared" ca="1" si="4"/>
        <v>216224</v>
      </c>
      <c r="S18" s="26">
        <f t="shared" ca="1" si="5"/>
        <v>2495664</v>
      </c>
      <c r="T18" s="26">
        <f ca="1">IFERROR(__xludf.DUMMYFUNCTION("ROUND(GOOGLEFINANCE(""Currency:EURKZT"")*L18+S18)"),2838019)</f>
        <v>2838019</v>
      </c>
      <c r="U18" s="26">
        <f ca="1">IFERROR(__xludf.DUMMYFUNCTION("D18*GOOGLEFINANCE(""RUBKZT"")*1000/F18"),3275943.86454272)</f>
        <v>3275943.8645427199</v>
      </c>
      <c r="V18" s="27">
        <f t="shared" ca="1" si="6"/>
        <v>0.15430653020389218</v>
      </c>
    </row>
    <row r="19" spans="1:22" ht="12.75" customHeight="1" x14ac:dyDescent="0.2">
      <c r="A19" s="6" t="s">
        <v>208</v>
      </c>
      <c r="B19" s="6" t="s">
        <v>136</v>
      </c>
      <c r="C19" s="7">
        <v>164819</v>
      </c>
      <c r="D19" s="8">
        <v>517544.39999999997</v>
      </c>
      <c r="E19" s="9" t="s">
        <v>16</v>
      </c>
      <c r="F19" s="36">
        <v>1000</v>
      </c>
      <c r="G19" s="25"/>
      <c r="H19" s="14">
        <f t="shared" si="0"/>
        <v>0.55000000000000004</v>
      </c>
      <c r="I19" s="25">
        <f ca="1">IFERROR(__xludf.DUMMYFUNCTION("ROUND(D19*GOOGLEFINANCE(""RUBKZT"")*H19)"),2221268)</f>
        <v>2221268</v>
      </c>
      <c r="J19" s="26">
        <f ca="1">IFERROR(__xludf.DUMMYFUNCTION("ROUND(I19*GOOGLEFINANCE(""KZTEUR""))"),4652)</f>
        <v>4652</v>
      </c>
      <c r="K19" s="26">
        <f t="shared" ca="1" si="1"/>
        <v>4652</v>
      </c>
      <c r="L19" s="26">
        <f t="shared" ca="1" si="2"/>
        <v>883.88</v>
      </c>
      <c r="M19" s="26">
        <f t="shared" ref="M19:N19" si="20">M$3</f>
        <v>500</v>
      </c>
      <c r="N19" s="26">
        <f t="shared" si="20"/>
        <v>500</v>
      </c>
      <c r="O19" s="26">
        <f ca="1">IFERROR(__xludf.DUMMYFUNCTION("ROUND(GOOGLEFINANCE(""Currency:EURKZT"")*K19)"),2221654)</f>
        <v>2221654</v>
      </c>
      <c r="P19" s="26">
        <f ca="1">IFERROR(__xludf.DUMMYFUNCTION("ROUND(GOOGLEFINANCE(""Currency:EURKZT"")*M19)"),238785)</f>
        <v>238785</v>
      </c>
      <c r="Q19" s="26">
        <f ca="1">IFERROR(__xludf.DUMMYFUNCTION("ROUND(GOOGLEFINANCE(""Currency:EURKZT"")*N19)"),238785)</f>
        <v>238785</v>
      </c>
      <c r="R19" s="26">
        <f t="shared" ca="1" si="4"/>
        <v>266598</v>
      </c>
      <c r="S19" s="26">
        <f t="shared" ca="1" si="5"/>
        <v>2965822</v>
      </c>
      <c r="T19" s="26">
        <f ca="1">IFERROR(__xludf.DUMMYFUNCTION("ROUND(GOOGLEFINANCE(""Currency:EURKZT"")*L19+S19)"),3387936)</f>
        <v>3387936</v>
      </c>
      <c r="U19" s="26">
        <f ca="1">IFERROR(__xludf.DUMMYFUNCTION("D19*GOOGLEFINANCE(""RUBKZT"")*1000/F19"),4038669.55232462)</f>
        <v>4038669.5523246201</v>
      </c>
      <c r="V19" s="27">
        <f t="shared" ca="1" si="6"/>
        <v>0.19207374410987105</v>
      </c>
    </row>
    <row r="20" spans="1:22" ht="12.75" customHeight="1" x14ac:dyDescent="0.2">
      <c r="A20" s="6" t="s">
        <v>264</v>
      </c>
      <c r="B20" s="6" t="s">
        <v>136</v>
      </c>
      <c r="C20" s="7">
        <v>168817</v>
      </c>
      <c r="D20" s="8">
        <v>473259.6</v>
      </c>
      <c r="E20" s="9" t="s">
        <v>16</v>
      </c>
      <c r="F20" s="36">
        <v>1000</v>
      </c>
      <c r="G20" s="25"/>
      <c r="H20" s="14">
        <f t="shared" si="0"/>
        <v>0.55000000000000004</v>
      </c>
      <c r="I20" s="25">
        <f ca="1">IFERROR(__xludf.DUMMYFUNCTION("ROUND(D20*GOOGLEFINANCE(""RUBKZT"")*H20)"),2031201)</f>
        <v>2031201</v>
      </c>
      <c r="J20" s="26">
        <f ca="1">IFERROR(__xludf.DUMMYFUNCTION("ROUND(I20*GOOGLEFINANCE(""KZTEUR""))"),4254)</f>
        <v>4254</v>
      </c>
      <c r="K20" s="26">
        <f t="shared" ca="1" si="1"/>
        <v>4254</v>
      </c>
      <c r="L20" s="26">
        <f t="shared" ca="1" si="2"/>
        <v>808.26</v>
      </c>
      <c r="M20" s="26">
        <f t="shared" ref="M20:N20" si="21">M$3</f>
        <v>500</v>
      </c>
      <c r="N20" s="26">
        <f t="shared" si="21"/>
        <v>500</v>
      </c>
      <c r="O20" s="26">
        <f ca="1">IFERROR(__xludf.DUMMYFUNCTION("ROUND(GOOGLEFINANCE(""Currency:EURKZT"")*K20)"),2031581)</f>
        <v>2031581</v>
      </c>
      <c r="P20" s="26">
        <f ca="1">IFERROR(__xludf.DUMMYFUNCTION("ROUND(GOOGLEFINANCE(""Currency:EURKZT"")*M20)"),238785)</f>
        <v>238785</v>
      </c>
      <c r="Q20" s="26">
        <f ca="1">IFERROR(__xludf.DUMMYFUNCTION("ROUND(GOOGLEFINANCE(""Currency:EURKZT"")*N20)"),238785)</f>
        <v>238785</v>
      </c>
      <c r="R20" s="26">
        <f t="shared" ca="1" si="4"/>
        <v>243790</v>
      </c>
      <c r="S20" s="26">
        <f t="shared" ca="1" si="5"/>
        <v>2752941</v>
      </c>
      <c r="T20" s="26">
        <f ca="1">IFERROR(__xludf.DUMMYFUNCTION("ROUND(GOOGLEFINANCE(""Currency:EURKZT"")*L20+S20)"),3138941)</f>
        <v>3138941</v>
      </c>
      <c r="U20" s="26">
        <f ca="1">IFERROR(__xludf.DUMMYFUNCTION("D20*GOOGLEFINANCE(""RUBKZT"")*1000/F20"),3693092.10352837)</f>
        <v>3693092.1035283701</v>
      </c>
      <c r="V20" s="27">
        <f t="shared" ca="1" si="6"/>
        <v>0.176540783508951</v>
      </c>
    </row>
    <row r="21" spans="1:22" ht="12.75" customHeight="1" x14ac:dyDescent="0.2">
      <c r="A21" s="6" t="s">
        <v>70</v>
      </c>
      <c r="B21" s="6" t="s">
        <v>136</v>
      </c>
      <c r="C21" s="7">
        <v>174239</v>
      </c>
      <c r="D21" s="8">
        <v>541650</v>
      </c>
      <c r="E21" s="9" t="s">
        <v>16</v>
      </c>
      <c r="F21" s="36">
        <v>1000</v>
      </c>
      <c r="G21" s="25"/>
      <c r="H21" s="14">
        <f t="shared" si="0"/>
        <v>0.55000000000000004</v>
      </c>
      <c r="I21" s="25">
        <f ca="1">IFERROR(__xludf.DUMMYFUNCTION("ROUND(D21*GOOGLEFINANCE(""RUBKZT"")*H21)"),2324728)</f>
        <v>2324728</v>
      </c>
      <c r="J21" s="26">
        <f ca="1">IFERROR(__xludf.DUMMYFUNCTION("ROUND(I21*GOOGLEFINANCE(""KZTEUR""))"),4869)</f>
        <v>4869</v>
      </c>
      <c r="K21" s="26">
        <f t="shared" ca="1" si="1"/>
        <v>4869</v>
      </c>
      <c r="L21" s="26">
        <f t="shared" ca="1" si="2"/>
        <v>925.11</v>
      </c>
      <c r="M21" s="26">
        <f t="shared" ref="M21:N21" si="22">M$3</f>
        <v>500</v>
      </c>
      <c r="N21" s="26">
        <f t="shared" si="22"/>
        <v>500</v>
      </c>
      <c r="O21" s="26">
        <f ca="1">IFERROR(__xludf.DUMMYFUNCTION("ROUND(GOOGLEFINANCE(""Currency:EURKZT"")*K21)"),2325286)</f>
        <v>2325286</v>
      </c>
      <c r="P21" s="26">
        <f ca="1">IFERROR(__xludf.DUMMYFUNCTION("ROUND(GOOGLEFINANCE(""Currency:EURKZT"")*M21)"),238785)</f>
        <v>238785</v>
      </c>
      <c r="Q21" s="26">
        <f ca="1">IFERROR(__xludf.DUMMYFUNCTION("ROUND(GOOGLEFINANCE(""Currency:EURKZT"")*N21)"),238785)</f>
        <v>238785</v>
      </c>
      <c r="R21" s="26">
        <f t="shared" ca="1" si="4"/>
        <v>279034</v>
      </c>
      <c r="S21" s="26">
        <f t="shared" ca="1" si="5"/>
        <v>3081890</v>
      </c>
      <c r="T21" s="26">
        <f ca="1">IFERROR(__xludf.DUMMYFUNCTION("ROUND(GOOGLEFINANCE(""Currency:EURKZT"")*L21+S21)"),3523694)</f>
        <v>3523694</v>
      </c>
      <c r="U21" s="26">
        <f ca="1">IFERROR(__xludf.DUMMYFUNCTION("D21*GOOGLEFINANCE(""RUBKZT"")*1000/F21"),4226778.1527858)</f>
        <v>4226778.1527858004</v>
      </c>
      <c r="V21" s="27">
        <f t="shared" ca="1" si="6"/>
        <v>0.19953042255820183</v>
      </c>
    </row>
    <row r="22" spans="1:22" ht="12.75" customHeight="1" x14ac:dyDescent="0.2">
      <c r="A22" s="6" t="s">
        <v>285</v>
      </c>
      <c r="B22" s="6" t="s">
        <v>136</v>
      </c>
      <c r="C22" s="7">
        <v>193708</v>
      </c>
      <c r="D22" s="8">
        <v>669672</v>
      </c>
      <c r="E22" s="9" t="s">
        <v>16</v>
      </c>
      <c r="F22" s="36">
        <v>1000</v>
      </c>
      <c r="G22" s="25"/>
      <c r="H22" s="14">
        <f t="shared" si="0"/>
        <v>0.55000000000000004</v>
      </c>
      <c r="I22" s="25">
        <f ca="1">IFERROR(__xludf.DUMMYFUNCTION("ROUND(D22*GOOGLEFINANCE(""RUBKZT"")*H22)"),2874190)</f>
        <v>2874190</v>
      </c>
      <c r="J22" s="26">
        <f ca="1">IFERROR(__xludf.DUMMYFUNCTION("ROUND(I22*GOOGLEFINANCE(""KZTEUR""))"),6019)</f>
        <v>6019</v>
      </c>
      <c r="K22" s="26">
        <f t="shared" ca="1" si="1"/>
        <v>6019</v>
      </c>
      <c r="L22" s="26">
        <f t="shared" ca="1" si="2"/>
        <v>1143.6099999999999</v>
      </c>
      <c r="M22" s="26">
        <f t="shared" ref="M22:N22" si="23">M$3</f>
        <v>500</v>
      </c>
      <c r="N22" s="26">
        <f t="shared" si="23"/>
        <v>500</v>
      </c>
      <c r="O22" s="26">
        <f ca="1">IFERROR(__xludf.DUMMYFUNCTION("ROUND(GOOGLEFINANCE(""Currency:EURKZT"")*K22)"),2874492)</f>
        <v>2874492</v>
      </c>
      <c r="P22" s="26">
        <f ca="1">IFERROR(__xludf.DUMMYFUNCTION("ROUND(GOOGLEFINANCE(""Currency:EURKZT"")*M22)"),238785)</f>
        <v>238785</v>
      </c>
      <c r="Q22" s="26">
        <f ca="1">IFERROR(__xludf.DUMMYFUNCTION("ROUND(GOOGLEFINANCE(""Currency:EURKZT"")*N22)"),238785)</f>
        <v>238785</v>
      </c>
      <c r="R22" s="26">
        <f t="shared" ca="1" si="4"/>
        <v>344939</v>
      </c>
      <c r="S22" s="26">
        <f t="shared" ca="1" si="5"/>
        <v>3697001</v>
      </c>
      <c r="T22" s="26">
        <f ca="1">IFERROR(__xludf.DUMMYFUNCTION("ROUND(GOOGLEFINANCE(""Currency:EURKZT"")*L22+S22)"),4243154)</f>
        <v>4243154</v>
      </c>
      <c r="U22" s="26">
        <f ca="1">IFERROR(__xludf.DUMMYFUNCTION("D22*GOOGLEFINANCE(""RUBKZT"")*1000/F22"),5225800.75534454)</f>
        <v>5225800.7553445399</v>
      </c>
      <c r="V22" s="27">
        <f t="shared" ca="1" si="6"/>
        <v>0.23158404228188273</v>
      </c>
    </row>
    <row r="23" spans="1:22" ht="12.75" customHeight="1" x14ac:dyDescent="0.2">
      <c r="A23" s="6" t="s">
        <v>356</v>
      </c>
      <c r="B23" s="6" t="s">
        <v>136</v>
      </c>
      <c r="C23" s="7">
        <v>194779</v>
      </c>
      <c r="D23" s="8">
        <v>553728</v>
      </c>
      <c r="E23" s="9" t="s">
        <v>7</v>
      </c>
      <c r="F23" s="36">
        <v>1000</v>
      </c>
      <c r="G23" s="25"/>
      <c r="H23" s="14">
        <f t="shared" si="0"/>
        <v>0.55000000000000004</v>
      </c>
      <c r="I23" s="25">
        <f ca="1">IFERROR(__xludf.DUMMYFUNCTION("ROUND(D23*GOOGLEFINANCE(""RUBKZT"")*H23)"),2376566)</f>
        <v>2376566</v>
      </c>
      <c r="J23" s="26">
        <f ca="1">IFERROR(__xludf.DUMMYFUNCTION("ROUND(I23*GOOGLEFINANCE(""KZTEUR""))"),4977)</f>
        <v>4977</v>
      </c>
      <c r="K23" s="26">
        <f t="shared" ca="1" si="1"/>
        <v>4977</v>
      </c>
      <c r="L23" s="26">
        <f t="shared" ca="1" si="2"/>
        <v>945.63</v>
      </c>
      <c r="M23" s="26">
        <f t="shared" ref="M23:N23" si="24">M$3</f>
        <v>500</v>
      </c>
      <c r="N23" s="26">
        <f t="shared" si="24"/>
        <v>500</v>
      </c>
      <c r="O23" s="26">
        <f ca="1">IFERROR(__xludf.DUMMYFUNCTION("ROUND(GOOGLEFINANCE(""Currency:EURKZT"")*K23)"),2376864)</f>
        <v>2376864</v>
      </c>
      <c r="P23" s="26">
        <f ca="1">IFERROR(__xludf.DUMMYFUNCTION("ROUND(GOOGLEFINANCE(""Currency:EURKZT"")*M23)"),238785)</f>
        <v>238785</v>
      </c>
      <c r="Q23" s="26">
        <f ca="1">IFERROR(__xludf.DUMMYFUNCTION("ROUND(GOOGLEFINANCE(""Currency:EURKZT"")*N23)"),238785)</f>
        <v>238785</v>
      </c>
      <c r="R23" s="26">
        <f t="shared" ca="1" si="4"/>
        <v>285224</v>
      </c>
      <c r="S23" s="26">
        <f t="shared" ca="1" si="5"/>
        <v>3139658</v>
      </c>
      <c r="T23" s="26">
        <f ca="1">IFERROR(__xludf.DUMMYFUNCTION("ROUND(GOOGLEFINANCE(""Currency:EURKZT"")*L23+S23)"),3591262)</f>
        <v>3591262</v>
      </c>
      <c r="U23" s="26">
        <f ca="1">IFERROR(__xludf.DUMMYFUNCTION("D23*GOOGLEFINANCE(""RUBKZT"")*1000/F23"),4321029.10179225)</f>
        <v>4321029.1017922498</v>
      </c>
      <c r="V23" s="27">
        <f t="shared" ca="1" si="6"/>
        <v>0.20320631070421757</v>
      </c>
    </row>
    <row r="24" spans="1:22" ht="12.75" customHeight="1" x14ac:dyDescent="0.2">
      <c r="A24" s="6" t="s">
        <v>302</v>
      </c>
      <c r="B24" s="6" t="s">
        <v>136</v>
      </c>
      <c r="C24" s="7">
        <v>195189</v>
      </c>
      <c r="D24" s="8">
        <v>460669.2</v>
      </c>
      <c r="E24" s="9" t="s">
        <v>16</v>
      </c>
      <c r="F24" s="36">
        <v>1000</v>
      </c>
      <c r="G24" s="25"/>
      <c r="H24" s="14">
        <f t="shared" si="0"/>
        <v>0.55000000000000004</v>
      </c>
      <c r="I24" s="25">
        <f ca="1">IFERROR(__xludf.DUMMYFUNCTION("ROUND(D24*GOOGLEFINANCE(""RUBKZT"")*H24)"),1977163)</f>
        <v>1977163</v>
      </c>
      <c r="J24" s="26">
        <f ca="1">IFERROR(__xludf.DUMMYFUNCTION("ROUND(I24*GOOGLEFINANCE(""KZTEUR""))"),4141)</f>
        <v>4141</v>
      </c>
      <c r="K24" s="26">
        <f t="shared" ca="1" si="1"/>
        <v>4141</v>
      </c>
      <c r="L24" s="26">
        <f t="shared" ca="1" si="2"/>
        <v>786.79</v>
      </c>
      <c r="M24" s="26">
        <f t="shared" ref="M24:N24" si="25">M$3</f>
        <v>500</v>
      </c>
      <c r="N24" s="26">
        <f t="shared" si="25"/>
        <v>500</v>
      </c>
      <c r="O24" s="26">
        <f ca="1">IFERROR(__xludf.DUMMYFUNCTION("ROUND(GOOGLEFINANCE(""Currency:EURKZT"")*K24)"),1977616)</f>
        <v>1977616</v>
      </c>
      <c r="P24" s="26">
        <f ca="1">IFERROR(__xludf.DUMMYFUNCTION("ROUND(GOOGLEFINANCE(""Currency:EURKZT"")*M24)"),238785)</f>
        <v>238785</v>
      </c>
      <c r="Q24" s="26">
        <f ca="1">IFERROR(__xludf.DUMMYFUNCTION("ROUND(GOOGLEFINANCE(""Currency:EURKZT"")*N24)"),238785)</f>
        <v>238785</v>
      </c>
      <c r="R24" s="26">
        <f t="shared" ca="1" si="4"/>
        <v>237314</v>
      </c>
      <c r="S24" s="26">
        <f t="shared" ca="1" si="5"/>
        <v>2692500</v>
      </c>
      <c r="T24" s="26">
        <f ca="1">IFERROR(__xludf.DUMMYFUNCTION("ROUND(GOOGLEFINANCE(""Currency:EURKZT"")*L24+S24)"),3068247)</f>
        <v>3068247</v>
      </c>
      <c r="U24" s="26">
        <f ca="1">IFERROR(__xludf.DUMMYFUNCTION("D24*GOOGLEFINANCE(""RUBKZT"")*1000/F24"),3594842.62941255)</f>
        <v>3594842.62941255</v>
      </c>
      <c r="V24" s="27">
        <f t="shared" ca="1" si="6"/>
        <v>0.17162752197347542</v>
      </c>
    </row>
    <row r="25" spans="1:22" ht="12.75" customHeight="1" x14ac:dyDescent="0.2">
      <c r="A25" s="6" t="s">
        <v>274</v>
      </c>
      <c r="B25" s="6" t="s">
        <v>136</v>
      </c>
      <c r="C25" s="7">
        <v>195347</v>
      </c>
      <c r="D25" s="8">
        <v>623932.79999999993</v>
      </c>
      <c r="E25" s="9" t="s">
        <v>16</v>
      </c>
      <c r="F25" s="36">
        <v>1000</v>
      </c>
      <c r="G25" s="25"/>
      <c r="H25" s="14">
        <f t="shared" si="0"/>
        <v>0.55000000000000004</v>
      </c>
      <c r="I25" s="25">
        <f ca="1">IFERROR(__xludf.DUMMYFUNCTION("ROUND(D25*GOOGLEFINANCE(""RUBKZT"")*H25)"),2677881)</f>
        <v>2677881</v>
      </c>
      <c r="J25" s="26">
        <f ca="1">IFERROR(__xludf.DUMMYFUNCTION("ROUND(I25*GOOGLEFINANCE(""KZTEUR""))"),5608)</f>
        <v>5608</v>
      </c>
      <c r="K25" s="26">
        <f t="shared" ca="1" si="1"/>
        <v>5608</v>
      </c>
      <c r="L25" s="26">
        <f t="shared" ca="1" si="2"/>
        <v>1065.52</v>
      </c>
      <c r="M25" s="26">
        <f t="shared" ref="M25:N25" si="26">M$3</f>
        <v>500</v>
      </c>
      <c r="N25" s="26">
        <f t="shared" si="26"/>
        <v>500</v>
      </c>
      <c r="O25" s="26">
        <f ca="1">IFERROR(__xludf.DUMMYFUNCTION("ROUND(GOOGLEFINANCE(""Currency:EURKZT"")*K25)"),2678210)</f>
        <v>2678210</v>
      </c>
      <c r="P25" s="26">
        <f ca="1">IFERROR(__xludf.DUMMYFUNCTION("ROUND(GOOGLEFINANCE(""Currency:EURKZT"")*M25)"),238785)</f>
        <v>238785</v>
      </c>
      <c r="Q25" s="26">
        <f ca="1">IFERROR(__xludf.DUMMYFUNCTION("ROUND(GOOGLEFINANCE(""Currency:EURKZT"")*N25)"),238785)</f>
        <v>238785</v>
      </c>
      <c r="R25" s="26">
        <f t="shared" ca="1" si="4"/>
        <v>321385</v>
      </c>
      <c r="S25" s="26">
        <f t="shared" ca="1" si="5"/>
        <v>3477165</v>
      </c>
      <c r="T25" s="26">
        <f ca="1">IFERROR(__xludf.DUMMYFUNCTION("ROUND(GOOGLEFINANCE(""Currency:EURKZT"")*L25+S25)"),3986025)</f>
        <v>3986025</v>
      </c>
      <c r="U25" s="26">
        <f ca="1">IFERROR(__xludf.DUMMYFUNCTION("D25*GOOGLEFINANCE(""RUBKZT"")*1000/F25"),4868873.86291234)</f>
        <v>4868873.8629123401</v>
      </c>
      <c r="V25" s="27">
        <f t="shared" ca="1" si="6"/>
        <v>0.22148603255432167</v>
      </c>
    </row>
    <row r="26" spans="1:22" ht="12.75" customHeight="1" x14ac:dyDescent="0.2">
      <c r="A26" s="6" t="s">
        <v>309</v>
      </c>
      <c r="B26" s="6" t="s">
        <v>136</v>
      </c>
      <c r="C26" s="7">
        <v>196294</v>
      </c>
      <c r="D26" s="8">
        <v>750817.2</v>
      </c>
      <c r="E26" s="9" t="s">
        <v>16</v>
      </c>
      <c r="F26" s="36">
        <v>1000</v>
      </c>
      <c r="G26" s="25"/>
      <c r="H26" s="14">
        <f t="shared" si="0"/>
        <v>0.55000000000000004</v>
      </c>
      <c r="I26" s="25">
        <f ca="1">IFERROR(__xludf.DUMMYFUNCTION("ROUND(D26*GOOGLEFINANCE(""RUBKZT"")*H26)"),3222461)</f>
        <v>3222461</v>
      </c>
      <c r="J26" s="26">
        <f ca="1">IFERROR(__xludf.DUMMYFUNCTION("ROUND(I26*GOOGLEFINANCE(""KZTEUR""))"),6749)</f>
        <v>6749</v>
      </c>
      <c r="K26" s="26">
        <f t="shared" ca="1" si="1"/>
        <v>6749</v>
      </c>
      <c r="L26" s="26">
        <f t="shared" ca="1" si="2"/>
        <v>1282.31</v>
      </c>
      <c r="M26" s="26">
        <f t="shared" ref="M26:N26" si="27">M$3</f>
        <v>500</v>
      </c>
      <c r="N26" s="26">
        <f t="shared" si="27"/>
        <v>500</v>
      </c>
      <c r="O26" s="26">
        <f ca="1">IFERROR(__xludf.DUMMYFUNCTION("ROUND(GOOGLEFINANCE(""Currency:EURKZT"")*K26)"),3223117)</f>
        <v>3223117</v>
      </c>
      <c r="P26" s="26">
        <f ca="1">IFERROR(__xludf.DUMMYFUNCTION("ROUND(GOOGLEFINANCE(""Currency:EURKZT"")*M26)"),238785)</f>
        <v>238785</v>
      </c>
      <c r="Q26" s="26">
        <f ca="1">IFERROR(__xludf.DUMMYFUNCTION("ROUND(GOOGLEFINANCE(""Currency:EURKZT"")*N26)"),238785)</f>
        <v>238785</v>
      </c>
      <c r="R26" s="26">
        <f t="shared" ca="1" si="4"/>
        <v>386774</v>
      </c>
      <c r="S26" s="26">
        <f t="shared" ca="1" si="5"/>
        <v>4087461</v>
      </c>
      <c r="T26" s="26">
        <f ca="1">IFERROR(__xludf.DUMMYFUNCTION("ROUND(GOOGLEFINANCE(""Currency:EURKZT"")*L26+S26)"),4699853)</f>
        <v>4699853</v>
      </c>
      <c r="U26" s="26">
        <f ca="1">IFERROR(__xludf.DUMMYFUNCTION("D26*GOOGLEFINANCE(""RUBKZT"")*1000/F26"),5859019.17787465)</f>
        <v>5859019.1778746499</v>
      </c>
      <c r="V26" s="27">
        <f t="shared" ca="1" si="6"/>
        <v>0.24663881569799095</v>
      </c>
    </row>
    <row r="27" spans="1:22" ht="12.75" customHeight="1" x14ac:dyDescent="0.2">
      <c r="A27" s="6" t="s">
        <v>377</v>
      </c>
      <c r="B27" s="6" t="s">
        <v>136</v>
      </c>
      <c r="C27" s="7">
        <v>198183</v>
      </c>
      <c r="D27" s="8">
        <v>479145.6</v>
      </c>
      <c r="E27" s="9" t="s">
        <v>16</v>
      </c>
      <c r="F27" s="36">
        <v>1000</v>
      </c>
      <c r="G27" s="25"/>
      <c r="H27" s="14">
        <f t="shared" si="0"/>
        <v>0.55000000000000004</v>
      </c>
      <c r="I27" s="25">
        <f ca="1">IFERROR(__xludf.DUMMYFUNCTION("ROUND(D27*GOOGLEFINANCE(""RUBKZT"")*H27)"),2056463)</f>
        <v>2056463</v>
      </c>
      <c r="J27" s="26">
        <f ca="1">IFERROR(__xludf.DUMMYFUNCTION("ROUND(I27*GOOGLEFINANCE(""KZTEUR""))"),4307)</f>
        <v>4307</v>
      </c>
      <c r="K27" s="26">
        <f t="shared" ca="1" si="1"/>
        <v>4307</v>
      </c>
      <c r="L27" s="26">
        <f t="shared" ca="1" si="2"/>
        <v>818.33</v>
      </c>
      <c r="M27" s="26">
        <f t="shared" ref="M27:N27" si="28">M$3</f>
        <v>500</v>
      </c>
      <c r="N27" s="26">
        <f t="shared" si="28"/>
        <v>500</v>
      </c>
      <c r="O27" s="26">
        <f ca="1">IFERROR(__xludf.DUMMYFUNCTION("ROUND(GOOGLEFINANCE(""Currency:EURKZT"")*K27)"),2056892)</f>
        <v>2056892</v>
      </c>
      <c r="P27" s="26">
        <f ca="1">IFERROR(__xludf.DUMMYFUNCTION("ROUND(GOOGLEFINANCE(""Currency:EURKZT"")*M27)"),238785)</f>
        <v>238785</v>
      </c>
      <c r="Q27" s="26">
        <f ca="1">IFERROR(__xludf.DUMMYFUNCTION("ROUND(GOOGLEFINANCE(""Currency:EURKZT"")*N27)"),238785)</f>
        <v>238785</v>
      </c>
      <c r="R27" s="26">
        <f t="shared" ca="1" si="4"/>
        <v>246827</v>
      </c>
      <c r="S27" s="26">
        <f t="shared" ca="1" si="5"/>
        <v>2781289</v>
      </c>
      <c r="T27" s="26">
        <f ca="1">IFERROR(__xludf.DUMMYFUNCTION("ROUND(GOOGLEFINANCE(""Currency:EURKZT"")*L27+S27)"),3172099)</f>
        <v>3172099</v>
      </c>
      <c r="U27" s="26">
        <f ca="1">IFERROR(__xludf.DUMMYFUNCTION("D27*GOOGLEFINANCE(""RUBKZT"")*1000/F27"),3739023.63903525)</f>
        <v>3739023.6390352501</v>
      </c>
      <c r="V27" s="27">
        <f t="shared" ca="1" si="6"/>
        <v>0.17872224007991241</v>
      </c>
    </row>
    <row r="28" spans="1:22" ht="12.75" customHeight="1" x14ac:dyDescent="0.2">
      <c r="A28" s="6" t="s">
        <v>373</v>
      </c>
      <c r="B28" s="6" t="s">
        <v>136</v>
      </c>
      <c r="C28" s="7">
        <v>202075</v>
      </c>
      <c r="D28" s="8">
        <v>526401.6</v>
      </c>
      <c r="E28" s="9" t="s">
        <v>16</v>
      </c>
      <c r="F28" s="36">
        <v>1000</v>
      </c>
      <c r="G28" s="25"/>
      <c r="H28" s="14">
        <f t="shared" si="0"/>
        <v>0.55000000000000004</v>
      </c>
      <c r="I28" s="25">
        <f ca="1">IFERROR(__xludf.DUMMYFUNCTION("ROUND(D28*GOOGLEFINANCE(""RUBKZT"")*H28)"),2259283)</f>
        <v>2259283</v>
      </c>
      <c r="J28" s="26">
        <f ca="1">IFERROR(__xludf.DUMMYFUNCTION("ROUND(I28*GOOGLEFINANCE(""KZTEUR""))"),4732)</f>
        <v>4732</v>
      </c>
      <c r="K28" s="26">
        <f t="shared" ca="1" si="1"/>
        <v>4732</v>
      </c>
      <c r="L28" s="26">
        <f t="shared" ca="1" si="2"/>
        <v>899.08</v>
      </c>
      <c r="M28" s="26">
        <f t="shared" ref="M28:N28" si="29">M$3</f>
        <v>500</v>
      </c>
      <c r="N28" s="26">
        <f t="shared" si="29"/>
        <v>500</v>
      </c>
      <c r="O28" s="26">
        <f ca="1">IFERROR(__xludf.DUMMYFUNCTION("ROUND(GOOGLEFINANCE(""Currency:EURKZT"")*K28)"),2259859)</f>
        <v>2259859</v>
      </c>
      <c r="P28" s="26">
        <f ca="1">IFERROR(__xludf.DUMMYFUNCTION("ROUND(GOOGLEFINANCE(""Currency:EURKZT"")*M28)"),238785)</f>
        <v>238785</v>
      </c>
      <c r="Q28" s="26">
        <f ca="1">IFERROR(__xludf.DUMMYFUNCTION("ROUND(GOOGLEFINANCE(""Currency:EURKZT"")*N28)"),238785)</f>
        <v>238785</v>
      </c>
      <c r="R28" s="26">
        <f t="shared" ca="1" si="4"/>
        <v>271183</v>
      </c>
      <c r="S28" s="26">
        <f t="shared" ca="1" si="5"/>
        <v>3008612</v>
      </c>
      <c r="T28" s="26">
        <f ca="1">IFERROR(__xludf.DUMMYFUNCTION("ROUND(GOOGLEFINANCE(""Currency:EURKZT"")*L28+S28)"),3437985)</f>
        <v>3437985</v>
      </c>
      <c r="U28" s="26">
        <f ca="1">IFERROR(__xludf.DUMMYFUNCTION("D28*GOOGLEFINANCE(""RUBKZT"")*1000/F28"),4107786.91492936)</f>
        <v>4107786.9149293602</v>
      </c>
      <c r="V28" s="27">
        <f t="shared" ca="1" si="6"/>
        <v>0.19482397826906173</v>
      </c>
    </row>
    <row r="29" spans="1:22" ht="12.75" customHeight="1" x14ac:dyDescent="0.2">
      <c r="A29" s="6" t="s">
        <v>422</v>
      </c>
      <c r="B29" s="6" t="s">
        <v>136</v>
      </c>
      <c r="C29" s="7">
        <v>203998</v>
      </c>
      <c r="D29" s="8">
        <v>668744.4</v>
      </c>
      <c r="E29" s="9" t="s">
        <v>16</v>
      </c>
      <c r="F29" s="36">
        <v>1000</v>
      </c>
      <c r="G29" s="25"/>
      <c r="H29" s="14">
        <f t="shared" si="0"/>
        <v>0.55000000000000004</v>
      </c>
      <c r="I29" s="25">
        <f ca="1">IFERROR(__xludf.DUMMYFUNCTION("ROUND(D29*GOOGLEFINANCE(""RUBKZT"")*H29)"),2870209)</f>
        <v>2870209</v>
      </c>
      <c r="J29" s="26">
        <f ca="1">IFERROR(__xludf.DUMMYFUNCTION("ROUND(I29*GOOGLEFINANCE(""KZTEUR""))"),6011)</f>
        <v>6011</v>
      </c>
      <c r="K29" s="26">
        <f t="shared" ca="1" si="1"/>
        <v>6011</v>
      </c>
      <c r="L29" s="26">
        <f t="shared" ca="1" si="2"/>
        <v>1142.0899999999999</v>
      </c>
      <c r="M29" s="26">
        <f t="shared" ref="M29:N29" si="30">M$3</f>
        <v>500</v>
      </c>
      <c r="N29" s="26">
        <f t="shared" si="30"/>
        <v>500</v>
      </c>
      <c r="O29" s="26">
        <f ca="1">IFERROR(__xludf.DUMMYFUNCTION("ROUND(GOOGLEFINANCE(""Currency:EURKZT"")*K29)"),2870671)</f>
        <v>2870671</v>
      </c>
      <c r="P29" s="26">
        <f ca="1">IFERROR(__xludf.DUMMYFUNCTION("ROUND(GOOGLEFINANCE(""Currency:EURKZT"")*M29)"),238785)</f>
        <v>238785</v>
      </c>
      <c r="Q29" s="26">
        <f ca="1">IFERROR(__xludf.DUMMYFUNCTION("ROUND(GOOGLEFINANCE(""Currency:EURKZT"")*N29)"),238785)</f>
        <v>238785</v>
      </c>
      <c r="R29" s="26">
        <f t="shared" ca="1" si="4"/>
        <v>344481</v>
      </c>
      <c r="S29" s="26">
        <f t="shared" ca="1" si="5"/>
        <v>3692722</v>
      </c>
      <c r="T29" s="26">
        <f ca="1">IFERROR(__xludf.DUMMYFUNCTION("ROUND(GOOGLEFINANCE(""Currency:EURKZT"")*L29+S29)"),4238149)</f>
        <v>4238149</v>
      </c>
      <c r="U29" s="26">
        <f ca="1">IFERROR(__xludf.DUMMYFUNCTION("D29*GOOGLEFINANCE(""RUBKZT"")*1000/F29"),5218562.20754702)</f>
        <v>5218562.2075470202</v>
      </c>
      <c r="V29" s="27">
        <f t="shared" ca="1" si="6"/>
        <v>0.2313305189475453</v>
      </c>
    </row>
    <row r="30" spans="1:22" ht="12.75" customHeight="1" x14ac:dyDescent="0.2">
      <c r="A30" s="6" t="s">
        <v>437</v>
      </c>
      <c r="B30" s="6" t="s">
        <v>136</v>
      </c>
      <c r="C30" s="7">
        <v>207425</v>
      </c>
      <c r="D30" s="8">
        <v>456781.2</v>
      </c>
      <c r="E30" s="9" t="s">
        <v>16</v>
      </c>
      <c r="F30" s="36">
        <v>1000</v>
      </c>
      <c r="G30" s="25"/>
      <c r="H30" s="14">
        <f t="shared" si="0"/>
        <v>0.55000000000000004</v>
      </c>
      <c r="I30" s="25">
        <f ca="1">IFERROR(__xludf.DUMMYFUNCTION("ROUND(D30*GOOGLEFINANCE(""RUBKZT"")*H30)"),1960476)</f>
        <v>1960476</v>
      </c>
      <c r="J30" s="26">
        <f ca="1">IFERROR(__xludf.DUMMYFUNCTION("ROUND(I30*GOOGLEFINANCE(""KZTEUR""))"),4106)</f>
        <v>4106</v>
      </c>
      <c r="K30" s="26">
        <f t="shared" ca="1" si="1"/>
        <v>4106</v>
      </c>
      <c r="L30" s="26">
        <f t="shared" ca="1" si="2"/>
        <v>780.14</v>
      </c>
      <c r="M30" s="26">
        <f t="shared" ref="M30:N30" si="31">M$3</f>
        <v>500</v>
      </c>
      <c r="N30" s="26">
        <f t="shared" si="31"/>
        <v>500</v>
      </c>
      <c r="O30" s="26">
        <f ca="1">IFERROR(__xludf.DUMMYFUNCTION("ROUND(GOOGLEFINANCE(""Currency:EURKZT"")*K30)"),1960901)</f>
        <v>1960901</v>
      </c>
      <c r="P30" s="26">
        <f ca="1">IFERROR(__xludf.DUMMYFUNCTION("ROUND(GOOGLEFINANCE(""Currency:EURKZT"")*M30)"),238785)</f>
        <v>238785</v>
      </c>
      <c r="Q30" s="26">
        <f ca="1">IFERROR(__xludf.DUMMYFUNCTION("ROUND(GOOGLEFINANCE(""Currency:EURKZT"")*N30)"),238785)</f>
        <v>238785</v>
      </c>
      <c r="R30" s="26">
        <f t="shared" ca="1" si="4"/>
        <v>235308</v>
      </c>
      <c r="S30" s="26">
        <f t="shared" ca="1" si="5"/>
        <v>2673779</v>
      </c>
      <c r="T30" s="26">
        <f ca="1">IFERROR(__xludf.DUMMYFUNCTION("ROUND(GOOGLEFINANCE(""Currency:EURKZT"")*L30+S30)"),3046350)</f>
        <v>3046350</v>
      </c>
      <c r="U30" s="26">
        <f ca="1">IFERROR(__xludf.DUMMYFUNCTION("D30*GOOGLEFINANCE(""RUBKZT"")*1000/F30"),3564502.53256398)</f>
        <v>3564502.5325639802</v>
      </c>
      <c r="V30" s="27">
        <f t="shared" ca="1" si="6"/>
        <v>0.17008962613093709</v>
      </c>
    </row>
    <row r="31" spans="1:22" ht="12.75" customHeight="1" x14ac:dyDescent="0.2">
      <c r="A31" s="6" t="s">
        <v>438</v>
      </c>
      <c r="B31" s="6" t="s">
        <v>136</v>
      </c>
      <c r="C31" s="7">
        <v>207446</v>
      </c>
      <c r="D31" s="8">
        <v>462056.39999999997</v>
      </c>
      <c r="E31" s="9" t="s">
        <v>16</v>
      </c>
      <c r="F31" s="36">
        <v>1000</v>
      </c>
      <c r="G31" s="25"/>
      <c r="H31" s="14">
        <f t="shared" si="0"/>
        <v>0.55000000000000004</v>
      </c>
      <c r="I31" s="25">
        <f ca="1">IFERROR(__xludf.DUMMYFUNCTION("ROUND(D31*GOOGLEFINANCE(""RUBKZT"")*H31)"),1983117)</f>
        <v>1983117</v>
      </c>
      <c r="J31" s="26">
        <f ca="1">IFERROR(__xludf.DUMMYFUNCTION("ROUND(I31*GOOGLEFINANCE(""KZTEUR""))"),4153)</f>
        <v>4153</v>
      </c>
      <c r="K31" s="26">
        <f t="shared" ca="1" si="1"/>
        <v>4153</v>
      </c>
      <c r="L31" s="26">
        <f t="shared" ca="1" si="2"/>
        <v>789.07</v>
      </c>
      <c r="M31" s="26">
        <f t="shared" ref="M31:N31" si="32">M$3</f>
        <v>500</v>
      </c>
      <c r="N31" s="26">
        <f t="shared" si="32"/>
        <v>500</v>
      </c>
      <c r="O31" s="26">
        <f ca="1">IFERROR(__xludf.DUMMYFUNCTION("ROUND(GOOGLEFINANCE(""Currency:EURKZT"")*K31)"),1983347)</f>
        <v>1983347</v>
      </c>
      <c r="P31" s="26">
        <f ca="1">IFERROR(__xludf.DUMMYFUNCTION("ROUND(GOOGLEFINANCE(""Currency:EURKZT"")*M31)"),238785)</f>
        <v>238785</v>
      </c>
      <c r="Q31" s="26">
        <f ca="1">IFERROR(__xludf.DUMMYFUNCTION("ROUND(GOOGLEFINANCE(""Currency:EURKZT"")*N31)"),238785)</f>
        <v>238785</v>
      </c>
      <c r="R31" s="26">
        <f t="shared" ca="1" si="4"/>
        <v>238002</v>
      </c>
      <c r="S31" s="26">
        <f t="shared" ca="1" si="5"/>
        <v>2698919</v>
      </c>
      <c r="T31" s="26">
        <f ca="1">IFERROR(__xludf.DUMMYFUNCTION("ROUND(GOOGLEFINANCE(""Currency:EURKZT"")*L31+S31)"),3075755)</f>
        <v>3075755</v>
      </c>
      <c r="U31" s="26">
        <f ca="1">IFERROR(__xludf.DUMMYFUNCTION("D31*GOOGLEFINANCE(""RUBKZT"")*1000/F31"),3605667.67631285)</f>
        <v>3605667.6763128499</v>
      </c>
      <c r="V31" s="27">
        <f t="shared" ca="1" si="6"/>
        <v>0.17228702426326215</v>
      </c>
    </row>
    <row r="32" spans="1:22" ht="12.75" customHeight="1" x14ac:dyDescent="0.2">
      <c r="A32" s="6" t="s">
        <v>439</v>
      </c>
      <c r="B32" s="6" t="s">
        <v>136</v>
      </c>
      <c r="C32" s="7">
        <v>207451</v>
      </c>
      <c r="D32" s="8">
        <v>475357.19999999995</v>
      </c>
      <c r="E32" s="9" t="s">
        <v>16</v>
      </c>
      <c r="F32" s="36">
        <v>1000</v>
      </c>
      <c r="G32" s="25"/>
      <c r="H32" s="14">
        <f t="shared" si="0"/>
        <v>0.55000000000000004</v>
      </c>
      <c r="I32" s="25">
        <f ca="1">IFERROR(__xludf.DUMMYFUNCTION("ROUND(D32*GOOGLEFINANCE(""RUBKZT"")*H32)"),2040203)</f>
        <v>2040203</v>
      </c>
      <c r="J32" s="26">
        <f ca="1">IFERROR(__xludf.DUMMYFUNCTION("ROUND(I32*GOOGLEFINANCE(""KZTEUR""))"),4273)</f>
        <v>4273</v>
      </c>
      <c r="K32" s="26">
        <f t="shared" ca="1" si="1"/>
        <v>4273</v>
      </c>
      <c r="L32" s="26">
        <f t="shared" ca="1" si="2"/>
        <v>811.87</v>
      </c>
      <c r="M32" s="26">
        <f t="shared" ref="M32:N32" si="33">M$3</f>
        <v>500</v>
      </c>
      <c r="N32" s="26">
        <f t="shared" si="33"/>
        <v>500</v>
      </c>
      <c r="O32" s="26">
        <f ca="1">IFERROR(__xludf.DUMMYFUNCTION("ROUND(GOOGLEFINANCE(""Currency:EURKZT"")*K32)"),2040655)</f>
        <v>2040655</v>
      </c>
      <c r="P32" s="26">
        <f ca="1">IFERROR(__xludf.DUMMYFUNCTION("ROUND(GOOGLEFINANCE(""Currency:EURKZT"")*M32)"),238785)</f>
        <v>238785</v>
      </c>
      <c r="Q32" s="26">
        <f ca="1">IFERROR(__xludf.DUMMYFUNCTION("ROUND(GOOGLEFINANCE(""Currency:EURKZT"")*N32)"),238785)</f>
        <v>238785</v>
      </c>
      <c r="R32" s="26">
        <f t="shared" ca="1" si="4"/>
        <v>244879</v>
      </c>
      <c r="S32" s="26">
        <f t="shared" ca="1" si="5"/>
        <v>2763104</v>
      </c>
      <c r="T32" s="26">
        <f ca="1">IFERROR(__xludf.DUMMYFUNCTION("ROUND(GOOGLEFINANCE(""Currency:EURKZT"")*L32+S32)"),3150828)</f>
        <v>3150828</v>
      </c>
      <c r="U32" s="26">
        <f ca="1">IFERROR(__xludf.DUMMYFUNCTION("D32*GOOGLEFINANCE(""RUBKZT"")*1000/F32"),3709460.77306273)</f>
        <v>3709460.7730627302</v>
      </c>
      <c r="V32" s="27">
        <f t="shared" ca="1" si="6"/>
        <v>0.17729713366224059</v>
      </c>
    </row>
    <row r="33" spans="1:22" ht="12.75" customHeight="1" x14ac:dyDescent="0.2">
      <c r="A33" s="6" t="s">
        <v>441</v>
      </c>
      <c r="B33" s="6" t="s">
        <v>136</v>
      </c>
      <c r="C33" s="7">
        <v>207860</v>
      </c>
      <c r="D33" s="8">
        <v>422804.39999999997</v>
      </c>
      <c r="E33" s="9" t="s">
        <v>16</v>
      </c>
      <c r="F33" s="36">
        <v>1000</v>
      </c>
      <c r="G33" s="25"/>
      <c r="H33" s="14">
        <f t="shared" si="0"/>
        <v>0.55000000000000004</v>
      </c>
      <c r="I33" s="25">
        <f ca="1">IFERROR(__xludf.DUMMYFUNCTION("ROUND(D33*GOOGLEFINANCE(""RUBKZT"")*H33)"),1814650)</f>
        <v>1814650</v>
      </c>
      <c r="J33" s="26">
        <f ca="1">IFERROR(__xludf.DUMMYFUNCTION("ROUND(I33*GOOGLEFINANCE(""KZTEUR""))"),3800)</f>
        <v>3800</v>
      </c>
      <c r="K33" s="26">
        <f t="shared" ca="1" si="1"/>
        <v>3800</v>
      </c>
      <c r="L33" s="26">
        <f t="shared" ca="1" si="2"/>
        <v>722</v>
      </c>
      <c r="M33" s="26">
        <f t="shared" ref="M33:N33" si="34">M$3</f>
        <v>500</v>
      </c>
      <c r="N33" s="26">
        <f t="shared" si="34"/>
        <v>500</v>
      </c>
      <c r="O33" s="26">
        <f ca="1">IFERROR(__xludf.DUMMYFUNCTION("ROUND(GOOGLEFINANCE(""Currency:EURKZT"")*K33)"),1814765)</f>
        <v>1814765</v>
      </c>
      <c r="P33" s="26">
        <f ca="1">IFERROR(__xludf.DUMMYFUNCTION("ROUND(GOOGLEFINANCE(""Currency:EURKZT"")*M33)"),238785)</f>
        <v>238785</v>
      </c>
      <c r="Q33" s="26">
        <f ca="1">IFERROR(__xludf.DUMMYFUNCTION("ROUND(GOOGLEFINANCE(""Currency:EURKZT"")*N33)"),238785)</f>
        <v>238785</v>
      </c>
      <c r="R33" s="26">
        <f t="shared" ca="1" si="4"/>
        <v>217772</v>
      </c>
      <c r="S33" s="26">
        <f t="shared" ca="1" si="5"/>
        <v>2510107</v>
      </c>
      <c r="T33" s="26">
        <f ca="1">IFERROR(__xludf.DUMMYFUNCTION("ROUND(GOOGLEFINANCE(""Currency:EURKZT"")*L33+S33)"),2854912)</f>
        <v>2854912</v>
      </c>
      <c r="U33" s="26">
        <f ca="1">IFERROR(__xludf.DUMMYFUNCTION("D33*GOOGLEFINANCE(""RUBKZT"")*1000/F33"),3299363.79732614)</f>
        <v>3299363.7973261401</v>
      </c>
      <c r="V33" s="27">
        <f t="shared" ca="1" si="6"/>
        <v>0.15567968376122981</v>
      </c>
    </row>
    <row r="34" spans="1:22" ht="12.75" customHeight="1" x14ac:dyDescent="0.2">
      <c r="A34" s="6" t="s">
        <v>442</v>
      </c>
      <c r="B34" s="6" t="s">
        <v>136</v>
      </c>
      <c r="C34" s="7">
        <v>207894</v>
      </c>
      <c r="D34" s="8">
        <v>427848</v>
      </c>
      <c r="E34" s="9" t="s">
        <v>16</v>
      </c>
      <c r="F34" s="36">
        <v>1000</v>
      </c>
      <c r="G34" s="25"/>
      <c r="H34" s="14">
        <f t="shared" si="0"/>
        <v>0.55000000000000004</v>
      </c>
      <c r="I34" s="25">
        <f ca="1">IFERROR(__xludf.DUMMYFUNCTION("ROUND(D34*GOOGLEFINANCE(""RUBKZT"")*H34)"),1836297)</f>
        <v>1836297</v>
      </c>
      <c r="J34" s="26">
        <f ca="1">IFERROR(__xludf.DUMMYFUNCTION("ROUND(I34*GOOGLEFINANCE(""KZTEUR""))"),3846)</f>
        <v>3846</v>
      </c>
      <c r="K34" s="26">
        <f t="shared" ca="1" si="1"/>
        <v>3846</v>
      </c>
      <c r="L34" s="26">
        <f t="shared" ca="1" si="2"/>
        <v>730.74</v>
      </c>
      <c r="M34" s="26">
        <f t="shared" ref="M34:N34" si="35">M$3</f>
        <v>500</v>
      </c>
      <c r="N34" s="26">
        <f t="shared" si="35"/>
        <v>500</v>
      </c>
      <c r="O34" s="26">
        <f ca="1">IFERROR(__xludf.DUMMYFUNCTION("ROUND(GOOGLEFINANCE(""Currency:EURKZT"")*K34)"),1836733)</f>
        <v>1836733</v>
      </c>
      <c r="P34" s="26">
        <f ca="1">IFERROR(__xludf.DUMMYFUNCTION("ROUND(GOOGLEFINANCE(""Currency:EURKZT"")*M34)"),238785)</f>
        <v>238785</v>
      </c>
      <c r="Q34" s="26">
        <f ca="1">IFERROR(__xludf.DUMMYFUNCTION("ROUND(GOOGLEFINANCE(""Currency:EURKZT"")*N34)"),238785)</f>
        <v>238785</v>
      </c>
      <c r="R34" s="26">
        <f t="shared" ca="1" si="4"/>
        <v>220408</v>
      </c>
      <c r="S34" s="26">
        <f t="shared" ca="1" si="5"/>
        <v>2534711</v>
      </c>
      <c r="T34" s="26">
        <f ca="1">IFERROR(__xludf.DUMMYFUNCTION("ROUND(GOOGLEFINANCE(""Currency:EURKZT"")*L34+S34)"),2883690)</f>
        <v>2883690</v>
      </c>
      <c r="U34" s="26">
        <f ca="1">IFERROR(__xludf.DUMMYFUNCTION("D34*GOOGLEFINANCE(""RUBKZT"")*1000/F34"),3338721.64518249)</f>
        <v>3338721.6451824899</v>
      </c>
      <c r="V34" s="27">
        <f t="shared" ca="1" si="6"/>
        <v>0.15779492427497058</v>
      </c>
    </row>
    <row r="35" spans="1:22" ht="12.75" customHeight="1" x14ac:dyDescent="0.2">
      <c r="A35" s="6" t="s">
        <v>448</v>
      </c>
      <c r="B35" s="6" t="s">
        <v>136</v>
      </c>
      <c r="C35" s="7">
        <v>213100</v>
      </c>
      <c r="D35" s="8">
        <v>596102.40000000002</v>
      </c>
      <c r="E35" s="9" t="s">
        <v>16</v>
      </c>
      <c r="F35" s="36">
        <v>1000</v>
      </c>
      <c r="G35" s="25"/>
      <c r="H35" s="14">
        <f t="shared" si="0"/>
        <v>0.55000000000000004</v>
      </c>
      <c r="I35" s="25">
        <f ca="1">IFERROR(__xludf.DUMMYFUNCTION("ROUND(D35*GOOGLEFINANCE(""RUBKZT"")*H35)"),2558434)</f>
        <v>2558434</v>
      </c>
      <c r="J35" s="26">
        <f ca="1">IFERROR(__xludf.DUMMYFUNCTION("ROUND(I35*GOOGLEFINANCE(""KZTEUR""))"),5358)</f>
        <v>5358</v>
      </c>
      <c r="K35" s="26">
        <f t="shared" ca="1" si="1"/>
        <v>5358</v>
      </c>
      <c r="L35" s="26">
        <f t="shared" ca="1" si="2"/>
        <v>1018.02</v>
      </c>
      <c r="M35" s="26">
        <f t="shared" ref="M35:N35" si="36">M$3</f>
        <v>500</v>
      </c>
      <c r="N35" s="26">
        <f t="shared" si="36"/>
        <v>500</v>
      </c>
      <c r="O35" s="26">
        <f ca="1">IFERROR(__xludf.DUMMYFUNCTION("ROUND(GOOGLEFINANCE(""Currency:EURKZT"")*K35)"),2558818)</f>
        <v>2558818</v>
      </c>
      <c r="P35" s="26">
        <f ca="1">IFERROR(__xludf.DUMMYFUNCTION("ROUND(GOOGLEFINANCE(""Currency:EURKZT"")*M35)"),238785)</f>
        <v>238785</v>
      </c>
      <c r="Q35" s="26">
        <f ca="1">IFERROR(__xludf.DUMMYFUNCTION("ROUND(GOOGLEFINANCE(""Currency:EURKZT"")*N35)"),238785)</f>
        <v>238785</v>
      </c>
      <c r="R35" s="26">
        <f t="shared" ca="1" si="4"/>
        <v>307058</v>
      </c>
      <c r="S35" s="26">
        <f t="shared" ca="1" si="5"/>
        <v>3343446</v>
      </c>
      <c r="T35" s="26">
        <f ca="1">IFERROR(__xludf.DUMMYFUNCTION("ROUND(GOOGLEFINANCE(""Currency:EURKZT"")*L35+S35)"),3829621)</f>
        <v>3829621</v>
      </c>
      <c r="U35" s="26">
        <f ca="1">IFERROR(__xludf.DUMMYFUNCTION("D35*GOOGLEFINANCE(""RUBKZT"")*1000/F35"),4651698.70053204)</f>
        <v>4651698.7005320396</v>
      </c>
      <c r="V35" s="27">
        <f t="shared" ca="1" si="6"/>
        <v>0.21466293936972866</v>
      </c>
    </row>
    <row r="36" spans="1:22" ht="12.75" customHeight="1" x14ac:dyDescent="0.2">
      <c r="A36" s="6" t="s">
        <v>451</v>
      </c>
      <c r="B36" s="6" t="s">
        <v>136</v>
      </c>
      <c r="C36" s="7">
        <v>213653</v>
      </c>
      <c r="D36" s="8">
        <v>603729.6</v>
      </c>
      <c r="E36" s="9" t="s">
        <v>16</v>
      </c>
      <c r="F36" s="36">
        <v>1000</v>
      </c>
      <c r="G36" s="25"/>
      <c r="H36" s="14">
        <f t="shared" si="0"/>
        <v>0.55000000000000004</v>
      </c>
      <c r="I36" s="25">
        <f ca="1">IFERROR(__xludf.DUMMYFUNCTION("ROUND(D36*GOOGLEFINANCE(""RUBKZT"")*H36)"),2591170)</f>
        <v>2591170</v>
      </c>
      <c r="J36" s="26">
        <f ca="1">IFERROR(__xludf.DUMMYFUNCTION("ROUND(I36*GOOGLEFINANCE(""KZTEUR""))"),5427)</f>
        <v>5427</v>
      </c>
      <c r="K36" s="26">
        <f t="shared" ca="1" si="1"/>
        <v>5427</v>
      </c>
      <c r="L36" s="26">
        <f t="shared" ca="1" si="2"/>
        <v>1031.1300000000001</v>
      </c>
      <c r="M36" s="26">
        <f t="shared" ref="M36:N36" si="37">M$3</f>
        <v>500</v>
      </c>
      <c r="N36" s="26">
        <f t="shared" si="37"/>
        <v>500</v>
      </c>
      <c r="O36" s="26">
        <f ca="1">IFERROR(__xludf.DUMMYFUNCTION("ROUND(GOOGLEFINANCE(""Currency:EURKZT"")*K36)"),2591770)</f>
        <v>2591770</v>
      </c>
      <c r="P36" s="26">
        <f ca="1">IFERROR(__xludf.DUMMYFUNCTION("ROUND(GOOGLEFINANCE(""Currency:EURKZT"")*M36)"),238785)</f>
        <v>238785</v>
      </c>
      <c r="Q36" s="26">
        <f ca="1">IFERROR(__xludf.DUMMYFUNCTION("ROUND(GOOGLEFINANCE(""Currency:EURKZT"")*N36)"),238785)</f>
        <v>238785</v>
      </c>
      <c r="R36" s="26">
        <f t="shared" ca="1" si="4"/>
        <v>311012</v>
      </c>
      <c r="S36" s="26">
        <f t="shared" ca="1" si="5"/>
        <v>3380352</v>
      </c>
      <c r="T36" s="26">
        <f ca="1">IFERROR(__xludf.DUMMYFUNCTION("ROUND(GOOGLEFINANCE(""Currency:EURKZT"")*L36+S36)"),3872788)</f>
        <v>3872788</v>
      </c>
      <c r="U36" s="26">
        <f ca="1">IFERROR(__xludf.DUMMYFUNCTION("D36*GOOGLEFINANCE(""RUBKZT"")*1000/F36"),4711217.73002881)</f>
        <v>4711217.73002881</v>
      </c>
      <c r="V36" s="27">
        <f t="shared" ca="1" si="6"/>
        <v>0.21649254491307296</v>
      </c>
    </row>
    <row r="37" spans="1:22" ht="12.75" customHeight="1" x14ac:dyDescent="0.2">
      <c r="A37" s="6" t="s">
        <v>455</v>
      </c>
      <c r="B37" s="6" t="s">
        <v>136</v>
      </c>
      <c r="C37" s="7">
        <v>213774</v>
      </c>
      <c r="D37" s="8">
        <v>422442</v>
      </c>
      <c r="E37" s="9" t="s">
        <v>16</v>
      </c>
      <c r="F37" s="36">
        <v>1000</v>
      </c>
      <c r="G37" s="25"/>
      <c r="H37" s="14">
        <f t="shared" si="0"/>
        <v>0.55000000000000004</v>
      </c>
      <c r="I37" s="25">
        <f ca="1">IFERROR(__xludf.DUMMYFUNCTION("ROUND(D37*GOOGLEFINANCE(""RUBKZT"")*H37)"),1813095)</f>
        <v>1813095</v>
      </c>
      <c r="J37" s="26">
        <f ca="1">IFERROR(__xludf.DUMMYFUNCTION("ROUND(I37*GOOGLEFINANCE(""KZTEUR""))"),3797)</f>
        <v>3797</v>
      </c>
      <c r="K37" s="26">
        <f t="shared" ca="1" si="1"/>
        <v>3797</v>
      </c>
      <c r="L37" s="26">
        <f t="shared" ca="1" si="2"/>
        <v>721.43000000000006</v>
      </c>
      <c r="M37" s="26">
        <f t="shared" ref="M37:N37" si="38">M$3</f>
        <v>500</v>
      </c>
      <c r="N37" s="26">
        <f t="shared" si="38"/>
        <v>500</v>
      </c>
      <c r="O37" s="26">
        <f ca="1">IFERROR(__xludf.DUMMYFUNCTION("ROUND(GOOGLEFINANCE(""Currency:EURKZT"")*K37)"),1813332)</f>
        <v>1813332</v>
      </c>
      <c r="P37" s="26">
        <f ca="1">IFERROR(__xludf.DUMMYFUNCTION("ROUND(GOOGLEFINANCE(""Currency:EURKZT"")*M37)"),238785)</f>
        <v>238785</v>
      </c>
      <c r="Q37" s="26">
        <f ca="1">IFERROR(__xludf.DUMMYFUNCTION("ROUND(GOOGLEFINANCE(""Currency:EURKZT"")*N37)"),238785)</f>
        <v>238785</v>
      </c>
      <c r="R37" s="26">
        <f t="shared" ca="1" si="4"/>
        <v>217600</v>
      </c>
      <c r="S37" s="26">
        <f t="shared" ca="1" si="5"/>
        <v>2508502</v>
      </c>
      <c r="T37" s="26">
        <f ca="1">IFERROR(__xludf.DUMMYFUNCTION("ROUND(GOOGLEFINANCE(""Currency:EURKZT"")*L37+S37)"),2853035)</f>
        <v>2853035</v>
      </c>
      <c r="U37" s="26">
        <f ca="1">IFERROR(__xludf.DUMMYFUNCTION("D37*GOOGLEFINANCE(""RUBKZT"")*1000/F37"),3296535.80064458)</f>
        <v>3296535.8006445798</v>
      </c>
      <c r="V37" s="27">
        <f t="shared" ca="1" si="6"/>
        <v>0.15544877670430957</v>
      </c>
    </row>
    <row r="38" spans="1:22" ht="12.75" customHeight="1" x14ac:dyDescent="0.2">
      <c r="A38" s="6" t="s">
        <v>598</v>
      </c>
      <c r="B38" s="6" t="s">
        <v>136</v>
      </c>
      <c r="C38" s="7">
        <v>214091</v>
      </c>
      <c r="D38" s="8">
        <v>440574</v>
      </c>
      <c r="E38" s="9" t="s">
        <v>16</v>
      </c>
      <c r="F38" s="36">
        <v>1000</v>
      </c>
      <c r="G38" s="25"/>
      <c r="H38" s="14">
        <f t="shared" si="0"/>
        <v>0.55000000000000004</v>
      </c>
      <c r="I38" s="25">
        <f ca="1">IFERROR(__xludf.DUMMYFUNCTION("ROUND(D38*GOOGLEFINANCE(""RUBKZT"")*H38)"),1890916)</f>
        <v>1890916</v>
      </c>
      <c r="J38" s="26">
        <f ca="1">IFERROR(__xludf.DUMMYFUNCTION("ROUND(I38*GOOGLEFINANCE(""KZTEUR""))"),3960)</f>
        <v>3960</v>
      </c>
      <c r="K38" s="26">
        <f t="shared" ca="1" si="1"/>
        <v>3960</v>
      </c>
      <c r="L38" s="26">
        <f t="shared" ca="1" si="2"/>
        <v>752.4</v>
      </c>
      <c r="M38" s="26">
        <f t="shared" ref="M38:N38" si="39">M$3</f>
        <v>500</v>
      </c>
      <c r="N38" s="26">
        <f t="shared" si="39"/>
        <v>500</v>
      </c>
      <c r="O38" s="26">
        <f ca="1">IFERROR(__xludf.DUMMYFUNCTION("ROUND(GOOGLEFINANCE(""Currency:EURKZT"")*K38)"),1891176)</f>
        <v>1891176</v>
      </c>
      <c r="P38" s="26">
        <f ca="1">IFERROR(__xludf.DUMMYFUNCTION("ROUND(GOOGLEFINANCE(""Currency:EURKZT"")*M38)"),238785)</f>
        <v>238785</v>
      </c>
      <c r="Q38" s="26">
        <f ca="1">IFERROR(__xludf.DUMMYFUNCTION("ROUND(GOOGLEFINANCE(""Currency:EURKZT"")*N38)"),238785)</f>
        <v>238785</v>
      </c>
      <c r="R38" s="26">
        <f t="shared" ca="1" si="4"/>
        <v>226941</v>
      </c>
      <c r="S38" s="26">
        <f t="shared" ca="1" si="5"/>
        <v>2595687</v>
      </c>
      <c r="T38" s="26">
        <f ca="1">IFERROR(__xludf.DUMMYFUNCTION("ROUND(GOOGLEFINANCE(""Currency:EURKZT"")*L38+S38)"),2955010)</f>
        <v>2955010</v>
      </c>
      <c r="U38" s="26">
        <f ca="1">IFERROR(__xludf.DUMMYFUNCTION("D38*GOOGLEFINANCE(""RUBKZT"")*1000/F38"),3438029.27699704)</f>
        <v>3438029.27699704</v>
      </c>
      <c r="V38" s="27">
        <f t="shared" ca="1" si="6"/>
        <v>0.1634577470116988</v>
      </c>
    </row>
    <row r="39" spans="1:22" ht="12.75" customHeight="1" x14ac:dyDescent="0.2">
      <c r="A39" s="6" t="s">
        <v>608</v>
      </c>
      <c r="B39" s="6" t="s">
        <v>136</v>
      </c>
      <c r="C39" s="7">
        <v>214140</v>
      </c>
      <c r="D39" s="8">
        <v>558022.79999999993</v>
      </c>
      <c r="E39" s="9" t="s">
        <v>16</v>
      </c>
      <c r="F39" s="36">
        <v>1000</v>
      </c>
      <c r="G39" s="25"/>
      <c r="H39" s="14">
        <f t="shared" si="0"/>
        <v>0.55000000000000004</v>
      </c>
      <c r="I39" s="25">
        <f ca="1">IFERROR(__xludf.DUMMYFUNCTION("ROUND(D39*GOOGLEFINANCE(""RUBKZT"")*H39)"),2394999)</f>
        <v>2394999</v>
      </c>
      <c r="J39" s="26">
        <f ca="1">IFERROR(__xludf.DUMMYFUNCTION("ROUND(I39*GOOGLEFINANCE(""KZTEUR""))"),5016)</f>
        <v>5016</v>
      </c>
      <c r="K39" s="26">
        <f t="shared" ca="1" si="1"/>
        <v>5016</v>
      </c>
      <c r="L39" s="26">
        <f t="shared" ca="1" si="2"/>
        <v>953.04</v>
      </c>
      <c r="M39" s="26">
        <f t="shared" ref="M39:N39" si="40">M$3</f>
        <v>500</v>
      </c>
      <c r="N39" s="26">
        <f t="shared" si="40"/>
        <v>500</v>
      </c>
      <c r="O39" s="26">
        <f ca="1">IFERROR(__xludf.DUMMYFUNCTION("ROUND(GOOGLEFINANCE(""Currency:EURKZT"")*K39)"),2395489)</f>
        <v>2395489</v>
      </c>
      <c r="P39" s="26">
        <f ca="1">IFERROR(__xludf.DUMMYFUNCTION("ROUND(GOOGLEFINANCE(""Currency:EURKZT"")*M39)"),238785)</f>
        <v>238785</v>
      </c>
      <c r="Q39" s="26">
        <f ca="1">IFERROR(__xludf.DUMMYFUNCTION("ROUND(GOOGLEFINANCE(""Currency:EURKZT"")*N39)"),238785)</f>
        <v>238785</v>
      </c>
      <c r="R39" s="26">
        <f t="shared" ca="1" si="4"/>
        <v>287459</v>
      </c>
      <c r="S39" s="26">
        <f t="shared" ca="1" si="5"/>
        <v>3160518</v>
      </c>
      <c r="T39" s="26">
        <f ca="1">IFERROR(__xludf.DUMMYFUNCTION("ROUND(GOOGLEFINANCE(""Currency:EURKZT"")*L39+S39)"),3615661)</f>
        <v>3615661</v>
      </c>
      <c r="U39" s="26">
        <f ca="1">IFERROR(__xludf.DUMMYFUNCTION("D39*GOOGLEFINANCE(""RUBKZT"")*1000/F39"),4354543.67173702)</f>
        <v>4354543.6717370199</v>
      </c>
      <c r="V39" s="27">
        <f t="shared" ca="1" si="6"/>
        <v>0.20435618044308354</v>
      </c>
    </row>
    <row r="40" spans="1:22" ht="12.75" customHeight="1" x14ac:dyDescent="0.2">
      <c r="A40" s="6" t="s">
        <v>612</v>
      </c>
      <c r="B40" s="6" t="s">
        <v>136</v>
      </c>
      <c r="C40" s="7">
        <v>214151</v>
      </c>
      <c r="D40" s="8">
        <v>537837.6</v>
      </c>
      <c r="E40" s="9" t="s">
        <v>16</v>
      </c>
      <c r="F40" s="36">
        <v>1000</v>
      </c>
      <c r="G40" s="25"/>
      <c r="H40" s="14">
        <f t="shared" si="0"/>
        <v>0.55000000000000004</v>
      </c>
      <c r="I40" s="25">
        <f ca="1">IFERROR(__xludf.DUMMYFUNCTION("ROUND(D40*GOOGLEFINANCE(""RUBKZT"")*H40)"),2308365)</f>
        <v>2308365</v>
      </c>
      <c r="J40" s="26">
        <f ca="1">IFERROR(__xludf.DUMMYFUNCTION("ROUND(I40*GOOGLEFINANCE(""KZTEUR""))"),4834)</f>
        <v>4834</v>
      </c>
      <c r="K40" s="26">
        <f t="shared" ca="1" si="1"/>
        <v>4834</v>
      </c>
      <c r="L40" s="26">
        <f t="shared" ca="1" si="2"/>
        <v>918.46</v>
      </c>
      <c r="M40" s="26">
        <f t="shared" ref="M40:N40" si="41">M$3</f>
        <v>500</v>
      </c>
      <c r="N40" s="26">
        <f t="shared" si="41"/>
        <v>500</v>
      </c>
      <c r="O40" s="26">
        <f ca="1">IFERROR(__xludf.DUMMYFUNCTION("ROUND(GOOGLEFINANCE(""Currency:EURKZT"")*K40)"),2308572)</f>
        <v>2308572</v>
      </c>
      <c r="P40" s="26">
        <f ca="1">IFERROR(__xludf.DUMMYFUNCTION("ROUND(GOOGLEFINANCE(""Currency:EURKZT"")*M40)"),238785)</f>
        <v>238785</v>
      </c>
      <c r="Q40" s="26">
        <f ca="1">IFERROR(__xludf.DUMMYFUNCTION("ROUND(GOOGLEFINANCE(""Currency:EURKZT"")*N40)"),238785)</f>
        <v>238785</v>
      </c>
      <c r="R40" s="26">
        <f t="shared" ca="1" si="4"/>
        <v>277029</v>
      </c>
      <c r="S40" s="26">
        <f t="shared" ca="1" si="5"/>
        <v>3063171</v>
      </c>
      <c r="T40" s="26">
        <f ca="1">IFERROR(__xludf.DUMMYFUNCTION("ROUND(GOOGLEFINANCE(""Currency:EURKZT"")*L40+S40)"),3501800)</f>
        <v>3501800</v>
      </c>
      <c r="U40" s="26">
        <f ca="1">IFERROR(__xludf.DUMMYFUNCTION("D40*GOOGLEFINANCE(""RUBKZT"")*1000/F40"),4197028.00226483)</f>
        <v>4197028.0022648303</v>
      </c>
      <c r="V40" s="27">
        <f t="shared" ca="1" si="6"/>
        <v>0.19853446863465368</v>
      </c>
    </row>
    <row r="41" spans="1:22" ht="12.75" customHeight="1" x14ac:dyDescent="0.2">
      <c r="A41" s="6" t="s">
        <v>595</v>
      </c>
      <c r="B41" s="6" t="s">
        <v>136</v>
      </c>
      <c r="C41" s="7">
        <v>214173</v>
      </c>
      <c r="D41" s="8">
        <v>551041.19999999995</v>
      </c>
      <c r="E41" s="9" t="s">
        <v>16</v>
      </c>
      <c r="F41" s="36">
        <v>1000</v>
      </c>
      <c r="G41" s="25"/>
      <c r="H41" s="14">
        <f t="shared" si="0"/>
        <v>0.55000000000000004</v>
      </c>
      <c r="I41" s="25">
        <f ca="1">IFERROR(__xludf.DUMMYFUNCTION("ROUND(D41*GOOGLEFINANCE(""RUBKZT"")*H41)"),2365034)</f>
        <v>2365034</v>
      </c>
      <c r="J41" s="26">
        <f ca="1">IFERROR(__xludf.DUMMYFUNCTION("ROUND(I41*GOOGLEFINANCE(""KZTEUR""))"),4953)</f>
        <v>4953</v>
      </c>
      <c r="K41" s="26">
        <f t="shared" ca="1" si="1"/>
        <v>4953</v>
      </c>
      <c r="L41" s="26">
        <f t="shared" ca="1" si="2"/>
        <v>941.07</v>
      </c>
      <c r="M41" s="26">
        <f t="shared" ref="M41:N41" si="42">M$3</f>
        <v>500</v>
      </c>
      <c r="N41" s="26">
        <f t="shared" si="42"/>
        <v>500</v>
      </c>
      <c r="O41" s="26">
        <f ca="1">IFERROR(__xludf.DUMMYFUNCTION("ROUND(GOOGLEFINANCE(""Currency:EURKZT"")*K41)"),2365402)</f>
        <v>2365402</v>
      </c>
      <c r="P41" s="26">
        <f ca="1">IFERROR(__xludf.DUMMYFUNCTION("ROUND(GOOGLEFINANCE(""Currency:EURKZT"")*M41)"),238785)</f>
        <v>238785</v>
      </c>
      <c r="Q41" s="26">
        <f ca="1">IFERROR(__xludf.DUMMYFUNCTION("ROUND(GOOGLEFINANCE(""Currency:EURKZT"")*N41)"),238785)</f>
        <v>238785</v>
      </c>
      <c r="R41" s="26">
        <f t="shared" ca="1" si="4"/>
        <v>283848</v>
      </c>
      <c r="S41" s="26">
        <f t="shared" ca="1" si="5"/>
        <v>3126820</v>
      </c>
      <c r="T41" s="26">
        <f ca="1">IFERROR(__xludf.DUMMYFUNCTION("ROUND(GOOGLEFINANCE(""Currency:EURKZT"")*L41+S41)"),3576246)</f>
        <v>3576246</v>
      </c>
      <c r="U41" s="26">
        <f ca="1">IFERROR(__xludf.DUMMYFUNCTION("D41*GOOGLEFINANCE(""RUBKZT"")*1000/F41"),4300062.5965935)</f>
        <v>4300062.5965935001</v>
      </c>
      <c r="V41" s="27">
        <f t="shared" ca="1" si="6"/>
        <v>0.20239563961581505</v>
      </c>
    </row>
    <row r="42" spans="1:22" ht="12.75" customHeight="1" x14ac:dyDescent="0.2">
      <c r="A42" s="6" t="s">
        <v>630</v>
      </c>
      <c r="B42" s="6" t="s">
        <v>136</v>
      </c>
      <c r="C42" s="7">
        <v>215818</v>
      </c>
      <c r="D42" s="8">
        <v>486972</v>
      </c>
      <c r="E42" s="9" t="s">
        <v>7</v>
      </c>
      <c r="F42" s="36">
        <v>1000</v>
      </c>
      <c r="G42" s="25"/>
      <c r="H42" s="14">
        <f t="shared" si="0"/>
        <v>0.55000000000000004</v>
      </c>
      <c r="I42" s="25">
        <f ca="1">IFERROR(__xludf.DUMMYFUNCTION("ROUND(D42*GOOGLEFINANCE(""RUBKZT"")*H42)"),2090053)</f>
        <v>2090053</v>
      </c>
      <c r="J42" s="26">
        <f ca="1">IFERROR(__xludf.DUMMYFUNCTION("ROUND(I42*GOOGLEFINANCE(""KZTEUR""))"),4377)</f>
        <v>4377</v>
      </c>
      <c r="K42" s="26">
        <f t="shared" ca="1" si="1"/>
        <v>4377</v>
      </c>
      <c r="L42" s="26">
        <f t="shared" ca="1" si="2"/>
        <v>831.63</v>
      </c>
      <c r="M42" s="26">
        <f t="shared" ref="M42:N42" si="43">M$3</f>
        <v>500</v>
      </c>
      <c r="N42" s="26">
        <f t="shared" si="43"/>
        <v>500</v>
      </c>
      <c r="O42" s="26">
        <f ca="1">IFERROR(__xludf.DUMMYFUNCTION("ROUND(GOOGLEFINANCE(""Currency:EURKZT"")*K42)"),2090322)</f>
        <v>2090322</v>
      </c>
      <c r="P42" s="26">
        <f ca="1">IFERROR(__xludf.DUMMYFUNCTION("ROUND(GOOGLEFINANCE(""Currency:EURKZT"")*M42)"),238785)</f>
        <v>238785</v>
      </c>
      <c r="Q42" s="26">
        <f ca="1">IFERROR(__xludf.DUMMYFUNCTION("ROUND(GOOGLEFINANCE(""Currency:EURKZT"")*N42)"),238785)</f>
        <v>238785</v>
      </c>
      <c r="R42" s="26">
        <f t="shared" ca="1" si="4"/>
        <v>250839</v>
      </c>
      <c r="S42" s="26">
        <f t="shared" ca="1" si="5"/>
        <v>2818731</v>
      </c>
      <c r="T42" s="26">
        <f ca="1">IFERROR(__xludf.DUMMYFUNCTION("ROUND(GOOGLEFINANCE(""Currency:EURKZT"")*L42+S42)"),3215892)</f>
        <v>3215892</v>
      </c>
      <c r="U42" s="26">
        <f ca="1">IFERROR(__xludf.DUMMYFUNCTION("D42*GOOGLEFINANCE(""RUBKZT"")*1000/F42"),3800097.13028414)</f>
        <v>3800097.1302841399</v>
      </c>
      <c r="V42" s="27">
        <f t="shared" ca="1" si="6"/>
        <v>0.18166192468034992</v>
      </c>
    </row>
    <row r="43" spans="1:22" ht="12.75" customHeight="1" x14ac:dyDescent="0.2">
      <c r="A43" s="6" t="s">
        <v>449</v>
      </c>
      <c r="B43" s="6" t="s">
        <v>136</v>
      </c>
      <c r="C43" s="7">
        <v>225399</v>
      </c>
      <c r="D43" s="8">
        <v>615666</v>
      </c>
      <c r="E43" s="9" t="s">
        <v>16</v>
      </c>
      <c r="F43" s="36">
        <v>1000</v>
      </c>
      <c r="G43" s="25"/>
      <c r="H43" s="14">
        <f t="shared" si="0"/>
        <v>0.55000000000000004</v>
      </c>
      <c r="I43" s="25">
        <f ca="1">IFERROR(__xludf.DUMMYFUNCTION("ROUND(D43*GOOGLEFINANCE(""RUBKZT"")*H43)"),2642400)</f>
        <v>2642400</v>
      </c>
      <c r="J43" s="26">
        <f ca="1">IFERROR(__xludf.DUMMYFUNCTION("ROUND(I43*GOOGLEFINANCE(""KZTEUR""))"),5534)</f>
        <v>5534</v>
      </c>
      <c r="K43" s="26">
        <f t="shared" ca="1" si="1"/>
        <v>5534</v>
      </c>
      <c r="L43" s="26">
        <f t="shared" ca="1" si="2"/>
        <v>1051.46</v>
      </c>
      <c r="M43" s="26">
        <f t="shared" ref="M43:N43" si="44">M$3</f>
        <v>500</v>
      </c>
      <c r="N43" s="26">
        <f t="shared" si="44"/>
        <v>500</v>
      </c>
      <c r="O43" s="26">
        <f ca="1">IFERROR(__xludf.DUMMYFUNCTION("ROUND(GOOGLEFINANCE(""Currency:EURKZT"")*K43)"),2642870)</f>
        <v>2642870</v>
      </c>
      <c r="P43" s="26">
        <f ca="1">IFERROR(__xludf.DUMMYFUNCTION("ROUND(GOOGLEFINANCE(""Currency:EURKZT"")*M43)"),238785)</f>
        <v>238785</v>
      </c>
      <c r="Q43" s="26">
        <f ca="1">IFERROR(__xludf.DUMMYFUNCTION("ROUND(GOOGLEFINANCE(""Currency:EURKZT"")*N43)"),238785)</f>
        <v>238785</v>
      </c>
      <c r="R43" s="26">
        <f t="shared" ca="1" si="4"/>
        <v>317144</v>
      </c>
      <c r="S43" s="26">
        <f t="shared" ca="1" si="5"/>
        <v>3437584</v>
      </c>
      <c r="T43" s="26">
        <f ca="1">IFERROR(__xludf.DUMMYFUNCTION("ROUND(GOOGLEFINANCE(""Currency:EURKZT"")*L43+S43)"),3939729)</f>
        <v>3939729</v>
      </c>
      <c r="U43" s="26">
        <f ca="1">IFERROR(__xludf.DUMMYFUNCTION("D43*GOOGLEFINANCE(""RUBKZT"")*1000/F43"),4804363.70019943)</f>
        <v>4804363.7001994299</v>
      </c>
      <c r="V43" s="27">
        <f t="shared" ca="1" si="6"/>
        <v>0.21946552674040012</v>
      </c>
    </row>
    <row r="44" spans="1:22" ht="12.75" customHeight="1" x14ac:dyDescent="0.2">
      <c r="A44" s="6" t="s">
        <v>644</v>
      </c>
      <c r="B44" s="6" t="s">
        <v>136</v>
      </c>
      <c r="C44" s="7">
        <v>10081201</v>
      </c>
      <c r="D44" s="8">
        <v>349584</v>
      </c>
      <c r="E44" s="9" t="s">
        <v>16</v>
      </c>
      <c r="F44" s="36">
        <v>1000</v>
      </c>
      <c r="G44" s="25"/>
      <c r="H44" s="14">
        <f t="shared" si="0"/>
        <v>0.55000000000000004</v>
      </c>
      <c r="I44" s="25">
        <f ca="1">IFERROR(__xludf.DUMMYFUNCTION("ROUND(D44*GOOGLEFINANCE(""RUBKZT"")*H44)"),1500393)</f>
        <v>1500393</v>
      </c>
      <c r="J44" s="26">
        <f ca="1">IFERROR(__xludf.DUMMYFUNCTION("ROUND(I44*GOOGLEFINANCE(""KZTEUR""))"),3142)</f>
        <v>3142</v>
      </c>
      <c r="K44" s="26">
        <f t="shared" ca="1" si="1"/>
        <v>3142</v>
      </c>
      <c r="L44" s="26">
        <f t="shared" ca="1" si="2"/>
        <v>596.98</v>
      </c>
      <c r="M44" s="26">
        <f t="shared" ref="M44:N44" si="45">M$3</f>
        <v>500</v>
      </c>
      <c r="N44" s="26">
        <f t="shared" si="45"/>
        <v>500</v>
      </c>
      <c r="O44" s="26">
        <f ca="1">IFERROR(__xludf.DUMMYFUNCTION("ROUND(GOOGLEFINANCE(""Currency:EURKZT"")*K44)"),1500524)</f>
        <v>1500524</v>
      </c>
      <c r="P44" s="26">
        <f ca="1">IFERROR(__xludf.DUMMYFUNCTION("ROUND(GOOGLEFINANCE(""Currency:EURKZT"")*M44)"),238785)</f>
        <v>238785</v>
      </c>
      <c r="Q44" s="26">
        <f ca="1">IFERROR(__xludf.DUMMYFUNCTION("ROUND(GOOGLEFINANCE(""Currency:EURKZT"")*N44)"),238785)</f>
        <v>238785</v>
      </c>
      <c r="R44" s="26">
        <f t="shared" ca="1" si="4"/>
        <v>180063</v>
      </c>
      <c r="S44" s="26">
        <f t="shared" ca="1" si="5"/>
        <v>2158157</v>
      </c>
      <c r="T44" s="26">
        <f ca="1">IFERROR(__xludf.DUMMYFUNCTION("ROUND(GOOGLEFINANCE(""Currency:EURKZT"")*L44+S44)"),2443257)</f>
        <v>2443257</v>
      </c>
      <c r="U44" s="26">
        <f ca="1">IFERROR(__xludf.DUMMYFUNCTION("D44*GOOGLEFINANCE(""RUBKZT"")*1000/F44"),2727986.73269356)</f>
        <v>2727986.73269356</v>
      </c>
      <c r="V44" s="27">
        <f t="shared" ca="1" si="6"/>
        <v>0.11653695566760269</v>
      </c>
    </row>
    <row r="45" spans="1:22" ht="12.75" customHeight="1" x14ac:dyDescent="0.2">
      <c r="A45" s="6" t="s">
        <v>647</v>
      </c>
      <c r="B45" s="6" t="s">
        <v>136</v>
      </c>
      <c r="C45" s="7">
        <v>10091201</v>
      </c>
      <c r="D45" s="8">
        <v>294408</v>
      </c>
      <c r="E45" s="9" t="s">
        <v>16</v>
      </c>
      <c r="F45" s="36">
        <v>1000</v>
      </c>
      <c r="G45" s="25"/>
      <c r="H45" s="14">
        <f t="shared" si="0"/>
        <v>0.55000000000000004</v>
      </c>
      <c r="I45" s="25">
        <f ca="1">IFERROR(__xludf.DUMMYFUNCTION("ROUND(D45*GOOGLEFINANCE(""RUBKZT"")*H45)"),1263581)</f>
        <v>1263581</v>
      </c>
      <c r="J45" s="26">
        <f ca="1">IFERROR(__xludf.DUMMYFUNCTION("ROUND(I45*GOOGLEFINANCE(""KZTEUR""))"),2646)</f>
        <v>2646</v>
      </c>
      <c r="K45" s="26">
        <f t="shared" ca="1" si="1"/>
        <v>2646</v>
      </c>
      <c r="L45" s="26">
        <f t="shared" ca="1" si="2"/>
        <v>502.74</v>
      </c>
      <c r="M45" s="26">
        <f t="shared" ref="M45:N45" si="46">M$3</f>
        <v>500</v>
      </c>
      <c r="N45" s="26">
        <f t="shared" si="46"/>
        <v>500</v>
      </c>
      <c r="O45" s="26">
        <f ca="1">IFERROR(__xludf.DUMMYFUNCTION("ROUND(GOOGLEFINANCE(""Currency:EURKZT"")*K45)"),1263649)</f>
        <v>1263649</v>
      </c>
      <c r="P45" s="26">
        <f ca="1">IFERROR(__xludf.DUMMYFUNCTION("ROUND(GOOGLEFINANCE(""Currency:EURKZT"")*M45)"),238785)</f>
        <v>238785</v>
      </c>
      <c r="Q45" s="26">
        <f ca="1">IFERROR(__xludf.DUMMYFUNCTION("ROUND(GOOGLEFINANCE(""Currency:EURKZT"")*N45)"),238785)</f>
        <v>238785</v>
      </c>
      <c r="R45" s="26">
        <f t="shared" ca="1" si="4"/>
        <v>151638</v>
      </c>
      <c r="S45" s="26">
        <f t="shared" ca="1" si="5"/>
        <v>1892857</v>
      </c>
      <c r="T45" s="26">
        <f ca="1">IFERROR(__xludf.DUMMYFUNCTION("ROUND(GOOGLEFINANCE(""Currency:EURKZT"")*L45+S45)"),2132950)</f>
        <v>2132950</v>
      </c>
      <c r="U45" s="26">
        <f ca="1">IFERROR(__xludf.DUMMYFUNCTION("D45*GOOGLEFINANCE(""RUBKZT"")*1000/F45"),2297419.55581161)</f>
        <v>2297419.5558116101</v>
      </c>
      <c r="V45" s="27">
        <f t="shared" ca="1" si="6"/>
        <v>7.7108959802906801E-2</v>
      </c>
    </row>
    <row r="46" spans="1:22" ht="12.75" customHeight="1" x14ac:dyDescent="0.2">
      <c r="A46" s="6" t="s">
        <v>61</v>
      </c>
      <c r="B46" s="6" t="s">
        <v>136</v>
      </c>
      <c r="C46" s="7">
        <v>10121201</v>
      </c>
      <c r="D46" s="8">
        <v>307293.59999999998</v>
      </c>
      <c r="E46" s="9" t="s">
        <v>16</v>
      </c>
      <c r="F46" s="36">
        <v>1000</v>
      </c>
      <c r="G46" s="25"/>
      <c r="H46" s="14">
        <f t="shared" si="0"/>
        <v>0.55000000000000004</v>
      </c>
      <c r="I46" s="25">
        <f ca="1">IFERROR(__xludf.DUMMYFUNCTION("ROUND(D46*GOOGLEFINANCE(""RUBKZT"")*H46)"),1318885)</f>
        <v>1318885</v>
      </c>
      <c r="J46" s="26">
        <f ca="1">IFERROR(__xludf.DUMMYFUNCTION("ROUND(I46*GOOGLEFINANCE(""KZTEUR""))"),2762)</f>
        <v>2762</v>
      </c>
      <c r="K46" s="26">
        <f t="shared" ca="1" si="1"/>
        <v>2762</v>
      </c>
      <c r="L46" s="26">
        <f t="shared" ca="1" si="2"/>
        <v>524.78</v>
      </c>
      <c r="M46" s="26">
        <f t="shared" ref="M46:N46" si="47">M$3</f>
        <v>500</v>
      </c>
      <c r="N46" s="26">
        <f t="shared" si="47"/>
        <v>500</v>
      </c>
      <c r="O46" s="26">
        <f ca="1">IFERROR(__xludf.DUMMYFUNCTION("ROUND(GOOGLEFINANCE(""Currency:EURKZT"")*K46)"),1319047)</f>
        <v>1319047</v>
      </c>
      <c r="P46" s="26">
        <f ca="1">IFERROR(__xludf.DUMMYFUNCTION("ROUND(GOOGLEFINANCE(""Currency:EURKZT"")*M46)"),238785)</f>
        <v>238785</v>
      </c>
      <c r="Q46" s="26">
        <f ca="1">IFERROR(__xludf.DUMMYFUNCTION("ROUND(GOOGLEFINANCE(""Currency:EURKZT"")*N46)"),238785)</f>
        <v>238785</v>
      </c>
      <c r="R46" s="26">
        <f t="shared" ca="1" si="4"/>
        <v>158286</v>
      </c>
      <c r="S46" s="26">
        <f t="shared" ca="1" si="5"/>
        <v>1954903</v>
      </c>
      <c r="T46" s="26">
        <f ca="1">IFERROR(__xludf.DUMMYFUNCTION("ROUND(GOOGLEFINANCE(""Currency:EURKZT"")*L46+S46)"),2205522)</f>
        <v>2205522</v>
      </c>
      <c r="U46" s="26">
        <f ca="1">IFERROR(__xludf.DUMMYFUNCTION("D46*GOOGLEFINANCE(""RUBKZT"")*1000/F46"),2397972.62987334)</f>
        <v>2397972.62987334</v>
      </c>
      <c r="V46" s="27">
        <f t="shared" ca="1" si="6"/>
        <v>8.725854009769117E-2</v>
      </c>
    </row>
    <row r="47" spans="1:22" ht="12.75" customHeight="1" x14ac:dyDescent="0.2">
      <c r="A47" s="6" t="s">
        <v>137</v>
      </c>
      <c r="B47" s="6" t="s">
        <v>136</v>
      </c>
      <c r="C47" s="7">
        <v>10271201</v>
      </c>
      <c r="D47" s="8">
        <v>361814.39999999997</v>
      </c>
      <c r="E47" s="9" t="s">
        <v>16</v>
      </c>
      <c r="F47" s="36">
        <v>1000</v>
      </c>
      <c r="G47" s="25"/>
      <c r="H47" s="14">
        <f t="shared" si="0"/>
        <v>0.55000000000000004</v>
      </c>
      <c r="I47" s="25">
        <f ca="1">IFERROR(__xludf.DUMMYFUNCTION("ROUND(D47*GOOGLEFINANCE(""RUBKZT"")*H47)"),1552885)</f>
        <v>1552885</v>
      </c>
      <c r="J47" s="26">
        <f ca="1">IFERROR(__xludf.DUMMYFUNCTION("ROUND(I47*GOOGLEFINANCE(""KZTEUR""))"),3252)</f>
        <v>3252</v>
      </c>
      <c r="K47" s="26">
        <f t="shared" ca="1" si="1"/>
        <v>3252</v>
      </c>
      <c r="L47" s="26">
        <f t="shared" ca="1" si="2"/>
        <v>617.88</v>
      </c>
      <c r="M47" s="26">
        <f t="shared" ref="M47:N47" si="48">M$3</f>
        <v>500</v>
      </c>
      <c r="N47" s="26">
        <f t="shared" si="48"/>
        <v>500</v>
      </c>
      <c r="O47" s="26">
        <f ca="1">IFERROR(__xludf.DUMMYFUNCTION("ROUND(GOOGLEFINANCE(""Currency:EURKZT"")*K47)"),1553056)</f>
        <v>1553056</v>
      </c>
      <c r="P47" s="26">
        <f ca="1">IFERROR(__xludf.DUMMYFUNCTION("ROUND(GOOGLEFINANCE(""Currency:EURKZT"")*M47)"),238785)</f>
        <v>238785</v>
      </c>
      <c r="Q47" s="26">
        <f ca="1">IFERROR(__xludf.DUMMYFUNCTION("ROUND(GOOGLEFINANCE(""Currency:EURKZT"")*N47)"),238785)</f>
        <v>238785</v>
      </c>
      <c r="R47" s="26">
        <f t="shared" ca="1" si="4"/>
        <v>186367</v>
      </c>
      <c r="S47" s="26">
        <f t="shared" ca="1" si="5"/>
        <v>2216993</v>
      </c>
      <c r="T47" s="26">
        <f ca="1">IFERROR(__xludf.DUMMYFUNCTION("ROUND(GOOGLEFINANCE(""Currency:EURKZT"")*L47+S47)"),2512074)</f>
        <v>2512074</v>
      </c>
      <c r="U47" s="26">
        <f ca="1">IFERROR(__xludf.DUMMYFUNCTION("D47*GOOGLEFINANCE(""RUBKZT"")*1000/F47"),2823426.93858266)</f>
        <v>2823426.9385826602</v>
      </c>
      <c r="V47" s="27">
        <f t="shared" ca="1" si="6"/>
        <v>0.12394258233740732</v>
      </c>
    </row>
    <row r="48" spans="1:22" ht="12.75" customHeight="1" x14ac:dyDescent="0.2">
      <c r="A48" s="6" t="s">
        <v>643</v>
      </c>
      <c r="B48" s="6" t="s">
        <v>136</v>
      </c>
      <c r="C48" s="7" t="s">
        <v>675</v>
      </c>
      <c r="D48" s="8">
        <v>349584</v>
      </c>
      <c r="E48" s="9" t="s">
        <v>16</v>
      </c>
      <c r="F48" s="36">
        <v>1000</v>
      </c>
      <c r="G48" s="25"/>
      <c r="H48" s="14">
        <f t="shared" si="0"/>
        <v>0.55000000000000004</v>
      </c>
      <c r="I48" s="25">
        <f ca="1">IFERROR(__xludf.DUMMYFUNCTION("ROUND(D48*GOOGLEFINANCE(""RUBKZT"")*H48)"),1500393)</f>
        <v>1500393</v>
      </c>
      <c r="J48" s="26">
        <f ca="1">IFERROR(__xludf.DUMMYFUNCTION("ROUND(I48*GOOGLEFINANCE(""KZTEUR""))"),3142)</f>
        <v>3142</v>
      </c>
      <c r="K48" s="26">
        <f t="shared" ca="1" si="1"/>
        <v>3142</v>
      </c>
      <c r="L48" s="26">
        <f t="shared" ca="1" si="2"/>
        <v>596.98</v>
      </c>
      <c r="M48" s="26">
        <f t="shared" ref="M48:N48" si="49">M$3</f>
        <v>500</v>
      </c>
      <c r="N48" s="26">
        <f t="shared" si="49"/>
        <v>500</v>
      </c>
      <c r="O48" s="26">
        <f ca="1">IFERROR(__xludf.DUMMYFUNCTION("ROUND(GOOGLEFINANCE(""Currency:EURKZT"")*K48)"),1500524)</f>
        <v>1500524</v>
      </c>
      <c r="P48" s="26">
        <f ca="1">IFERROR(__xludf.DUMMYFUNCTION("ROUND(GOOGLEFINANCE(""Currency:EURKZT"")*M48)"),238785)</f>
        <v>238785</v>
      </c>
      <c r="Q48" s="26">
        <f ca="1">IFERROR(__xludf.DUMMYFUNCTION("ROUND(GOOGLEFINANCE(""Currency:EURKZT"")*N48)"),238785)</f>
        <v>238785</v>
      </c>
      <c r="R48" s="26">
        <f t="shared" ca="1" si="4"/>
        <v>180063</v>
      </c>
      <c r="S48" s="26">
        <f t="shared" ca="1" si="5"/>
        <v>2158157</v>
      </c>
      <c r="T48" s="26">
        <f ca="1">IFERROR(__xludf.DUMMYFUNCTION("ROUND(GOOGLEFINANCE(""Currency:EURKZT"")*L48+S48)"),2443257)</f>
        <v>2443257</v>
      </c>
      <c r="U48" s="26">
        <f ca="1">IFERROR(__xludf.DUMMYFUNCTION("D48*GOOGLEFINANCE(""RUBKZT"")*1000/F48"),2727986.73269356)</f>
        <v>2727986.73269356</v>
      </c>
      <c r="V48" s="27">
        <f t="shared" ca="1" si="6"/>
        <v>0.11653695566760269</v>
      </c>
    </row>
    <row r="49" spans="1:22" ht="12.75" customHeight="1" x14ac:dyDescent="0.2">
      <c r="A49" s="6" t="s">
        <v>667</v>
      </c>
      <c r="B49" s="6" t="s">
        <v>136</v>
      </c>
      <c r="C49" s="7" t="s">
        <v>678</v>
      </c>
      <c r="D49" s="8">
        <v>439232.39999999997</v>
      </c>
      <c r="E49" s="9" t="s">
        <v>16</v>
      </c>
      <c r="F49" s="36">
        <v>1000</v>
      </c>
      <c r="G49" s="25"/>
      <c r="H49" s="14">
        <f t="shared" si="0"/>
        <v>0.55000000000000004</v>
      </c>
      <c r="I49" s="25">
        <f ca="1">IFERROR(__xludf.DUMMYFUNCTION("ROUND(D49*GOOGLEFINANCE(""RUBKZT"")*H49)"),1885158)</f>
        <v>1885158</v>
      </c>
      <c r="J49" s="26">
        <f ca="1">IFERROR(__xludf.DUMMYFUNCTION("ROUND(I49*GOOGLEFINANCE(""KZTEUR""))"),3948)</f>
        <v>3948</v>
      </c>
      <c r="K49" s="26">
        <f t="shared" ca="1" si="1"/>
        <v>3948</v>
      </c>
      <c r="L49" s="26">
        <f t="shared" ca="1" si="2"/>
        <v>750.12</v>
      </c>
      <c r="M49" s="26">
        <f t="shared" ref="M49:N49" si="50">M$3</f>
        <v>500</v>
      </c>
      <c r="N49" s="26">
        <f t="shared" si="50"/>
        <v>500</v>
      </c>
      <c r="O49" s="26">
        <f ca="1">IFERROR(__xludf.DUMMYFUNCTION("ROUND(GOOGLEFINANCE(""Currency:EURKZT"")*K49)"),1885445)</f>
        <v>1885445</v>
      </c>
      <c r="P49" s="26">
        <f ca="1">IFERROR(__xludf.DUMMYFUNCTION("ROUND(GOOGLEFINANCE(""Currency:EURKZT"")*M49)"),238785)</f>
        <v>238785</v>
      </c>
      <c r="Q49" s="26">
        <f ca="1">IFERROR(__xludf.DUMMYFUNCTION("ROUND(GOOGLEFINANCE(""Currency:EURKZT"")*N49)"),238785)</f>
        <v>238785</v>
      </c>
      <c r="R49" s="26">
        <f t="shared" ca="1" si="4"/>
        <v>226253</v>
      </c>
      <c r="S49" s="26">
        <f t="shared" ca="1" si="5"/>
        <v>2589268</v>
      </c>
      <c r="T49" s="26">
        <f ca="1">IFERROR(__xludf.DUMMYFUNCTION("ROUND(GOOGLEFINANCE(""Currency:EURKZT"")*L49+S49)"),2947503)</f>
        <v>2947503</v>
      </c>
      <c r="U49" s="26">
        <f ca="1">IFERROR(__xludf.DUMMYFUNCTION("D49*GOOGLEFINANCE(""RUBKZT"")*1000/F49"),3427560.0707388)</f>
        <v>3427560.0707387999</v>
      </c>
      <c r="V49" s="27">
        <f t="shared" ca="1" si="6"/>
        <v>0.16286906942547635</v>
      </c>
    </row>
  </sheetData>
  <autoFilter ref="A4:V49" xr:uid="{00000000-0009-0000-0000-000007000000}">
    <sortState xmlns:xlrd2="http://schemas.microsoft.com/office/spreadsheetml/2017/richdata2" ref="A4:V49">
      <sortCondition ref="B4:B49"/>
    </sortState>
  </autoFilter>
  <pageMargins left="0.70866141732283472" right="0.70866141732283472" top="0.74803149606299213" bottom="0.74803149606299213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</vt:lpstr>
      <vt:lpstr>Прямая Модель</vt:lpstr>
      <vt:lpstr>Обратная модель</vt:lpstr>
      <vt:lpstr>Лист3</vt:lpstr>
      <vt:lpstr>Лист4</vt:lpstr>
      <vt:lpstr>General (копия)</vt:lpstr>
      <vt:lpstr>100-200</vt:lpstr>
      <vt:lpstr>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rru004</dc:creator>
  <cp:lastModifiedBy>Nikolay Tverdokhlebov</cp:lastModifiedBy>
  <dcterms:created xsi:type="dcterms:W3CDTF">2010-07-16T09:42:33Z</dcterms:created>
  <dcterms:modified xsi:type="dcterms:W3CDTF">2022-09-12T06:38:17Z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30ed1b-e95f-40b5-af89-828263f287a7_Enabled">
    <vt:lpwstr>true</vt:lpwstr>
  </property>
  <property fmtid="{D5CDD505-2E9C-101B-9397-08002B2CF9AE}" pid="3" name="MSIP_Label_2b30ed1b-e95f-40b5-af89-828263f287a7_SetDate">
    <vt:lpwstr>2021-06-11T09:43:56Z</vt:lpwstr>
  </property>
  <property fmtid="{D5CDD505-2E9C-101B-9397-08002B2CF9AE}" pid="4" name="MSIP_Label_2b30ed1b-e95f-40b5-af89-828263f287a7_Method">
    <vt:lpwstr>Standard</vt:lpwstr>
  </property>
  <property fmtid="{D5CDD505-2E9C-101B-9397-08002B2CF9AE}" pid="5" name="MSIP_Label_2b30ed1b-e95f-40b5-af89-828263f287a7_Name">
    <vt:lpwstr>2b30ed1b-e95f-40b5-af89-828263f287a7</vt:lpwstr>
  </property>
  <property fmtid="{D5CDD505-2E9C-101B-9397-08002B2CF9AE}" pid="6" name="MSIP_Label_2b30ed1b-e95f-40b5-af89-828263f287a7_SiteId">
    <vt:lpwstr>329e91b0-e21f-48fb-a071-456717ecc28e</vt:lpwstr>
  </property>
  <property fmtid="{D5CDD505-2E9C-101B-9397-08002B2CF9AE}" pid="7" name="MSIP_Label_2b30ed1b-e95f-40b5-af89-828263f287a7_ActionId">
    <vt:lpwstr>8e5a015e-5dbf-44d7-8d80-539486b7d1e6</vt:lpwstr>
  </property>
  <property fmtid="{D5CDD505-2E9C-101B-9397-08002B2CF9AE}" pid="8" name="MSIP_Label_2b30ed1b-e95f-40b5-af89-828263f287a7_ContentBits">
    <vt:lpwstr>0</vt:lpwstr>
  </property>
</Properties>
</file>