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trabajo_dia\Implementacion_SB_Inmaculada\"/>
    </mc:Choice>
  </mc:AlternateContent>
  <bookViews>
    <workbookView xWindow="0" yWindow="0" windowWidth="28800" windowHeight="12105" tabRatio="703" activeTab="1"/>
  </bookViews>
  <sheets>
    <sheet name="Reporte Total" sheetId="19" r:id="rId1"/>
    <sheet name="Reporte Recursos" sheetId="21" r:id="rId2"/>
    <sheet name="Reporte Inventario Total" sheetId="22" r:id="rId3"/>
    <sheet name="Divina" sheetId="8" r:id="rId4"/>
    <sheet name="Lizina" sheetId="5" r:id="rId5"/>
    <sheet name="Lola" sheetId="6" r:id="rId6"/>
    <sheet name="Olga" sheetId="9" r:id="rId7"/>
    <sheet name="Lady" sheetId="7" r:id="rId8"/>
    <sheet name="Rosy" sheetId="10" r:id="rId9"/>
    <sheet name="Gera" sheetId="11" r:id="rId10"/>
    <sheet name="Naty" sheetId="12" r:id="rId11"/>
    <sheet name="Nora" sheetId="13" r:id="rId12"/>
    <sheet name="Ross" sheetId="14" r:id="rId13"/>
    <sheet name="Diana" sheetId="15" r:id="rId14"/>
    <sheet name="Lady_Norte" sheetId="16" r:id="rId15"/>
    <sheet name="Peta" sheetId="17" r:id="rId16"/>
  </sheets>
  <definedNames>
    <definedName name="_xlnm._FilterDatabase" localSheetId="0" hidden="1">'Reporte Total'!$A$2:$V$75</definedName>
  </definedNames>
  <calcPr calcId="162913"/>
</workbook>
</file>

<file path=xl/calcChain.xml><?xml version="1.0" encoding="utf-8"?>
<calcChain xmlns="http://schemas.openxmlformats.org/spreadsheetml/2006/main">
  <c r="E79" i="22" l="1"/>
  <c r="D79" i="22"/>
  <c r="F79" i="22" s="1"/>
  <c r="C79" i="22"/>
  <c r="B79" i="22"/>
  <c r="F298" i="21"/>
  <c r="E298" i="21"/>
  <c r="D298" i="21"/>
  <c r="C298" i="21"/>
  <c r="F296" i="21"/>
  <c r="E296" i="21"/>
  <c r="G296" i="21" s="1"/>
  <c r="D296" i="21"/>
  <c r="C296" i="21"/>
  <c r="F295" i="21"/>
  <c r="E295" i="21"/>
  <c r="D295" i="21"/>
  <c r="C295" i="21"/>
  <c r="G79" i="22" l="1"/>
  <c r="G298" i="21"/>
  <c r="G295" i="21"/>
  <c r="H295" i="21" s="1"/>
  <c r="H298" i="21"/>
  <c r="H296" i="21"/>
  <c r="C297" i="21"/>
  <c r="B80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4" i="22"/>
  <c r="B23" i="22"/>
  <c r="B22" i="22"/>
  <c r="B21" i="22"/>
  <c r="B20" i="22"/>
  <c r="F297" i="21" l="1"/>
  <c r="E297" i="21"/>
  <c r="G297" i="21" s="1"/>
  <c r="H297" i="21" s="1"/>
  <c r="D297" i="21"/>
  <c r="F302" i="21"/>
  <c r="E302" i="21"/>
  <c r="D302" i="21"/>
  <c r="C302" i="21"/>
  <c r="F300" i="21"/>
  <c r="E300" i="21"/>
  <c r="D300" i="21"/>
  <c r="C300" i="21"/>
  <c r="F299" i="21"/>
  <c r="E299" i="21"/>
  <c r="D299" i="21"/>
  <c r="C299" i="21"/>
  <c r="F294" i="21"/>
  <c r="E294" i="21"/>
  <c r="D294" i="21"/>
  <c r="C294" i="21"/>
  <c r="F292" i="21"/>
  <c r="E292" i="21"/>
  <c r="D292" i="21"/>
  <c r="C292" i="21"/>
  <c r="F291" i="21"/>
  <c r="E291" i="21"/>
  <c r="D291" i="21"/>
  <c r="C291" i="21"/>
  <c r="F290" i="21"/>
  <c r="E290" i="21"/>
  <c r="D290" i="21"/>
  <c r="C290" i="21"/>
  <c r="F288" i="21"/>
  <c r="E288" i="21"/>
  <c r="D288" i="21"/>
  <c r="C288" i="21"/>
  <c r="F287" i="21"/>
  <c r="E287" i="21"/>
  <c r="D287" i="21"/>
  <c r="C287" i="21"/>
  <c r="F286" i="21"/>
  <c r="E286" i="21"/>
  <c r="D286" i="21"/>
  <c r="C286" i="21"/>
  <c r="F284" i="21"/>
  <c r="E284" i="21"/>
  <c r="D284" i="21"/>
  <c r="C284" i="21"/>
  <c r="F283" i="21"/>
  <c r="E283" i="21"/>
  <c r="D283" i="21"/>
  <c r="C283" i="21"/>
  <c r="F282" i="21"/>
  <c r="E282" i="21"/>
  <c r="D282" i="21"/>
  <c r="C282" i="21"/>
  <c r="F280" i="21"/>
  <c r="E280" i="21"/>
  <c r="D280" i="21"/>
  <c r="C280" i="21"/>
  <c r="F279" i="21"/>
  <c r="E279" i="21"/>
  <c r="D279" i="21"/>
  <c r="C279" i="21"/>
  <c r="F278" i="21"/>
  <c r="E278" i="21"/>
  <c r="D278" i="21"/>
  <c r="C278" i="21"/>
  <c r="F276" i="21"/>
  <c r="E276" i="21"/>
  <c r="D276" i="21"/>
  <c r="C276" i="21"/>
  <c r="F275" i="21"/>
  <c r="E275" i="21"/>
  <c r="D275" i="21"/>
  <c r="C275" i="21"/>
  <c r="F274" i="21"/>
  <c r="E274" i="21"/>
  <c r="D274" i="21"/>
  <c r="C274" i="21"/>
  <c r="F272" i="21"/>
  <c r="E272" i="21"/>
  <c r="D272" i="21"/>
  <c r="C272" i="21"/>
  <c r="F271" i="21"/>
  <c r="E271" i="21"/>
  <c r="D271" i="21"/>
  <c r="C271" i="21"/>
  <c r="F270" i="21"/>
  <c r="E270" i="21"/>
  <c r="D270" i="21"/>
  <c r="C270" i="21"/>
  <c r="F268" i="21"/>
  <c r="E268" i="21"/>
  <c r="D268" i="21"/>
  <c r="C268" i="21"/>
  <c r="F267" i="21"/>
  <c r="E267" i="21"/>
  <c r="D267" i="21"/>
  <c r="C267" i="21"/>
  <c r="F266" i="21"/>
  <c r="E266" i="21"/>
  <c r="D266" i="21"/>
  <c r="C266" i="21"/>
  <c r="F264" i="21"/>
  <c r="E264" i="21"/>
  <c r="D264" i="21"/>
  <c r="C264" i="21"/>
  <c r="F263" i="21"/>
  <c r="E263" i="21"/>
  <c r="D263" i="21"/>
  <c r="C263" i="21"/>
  <c r="F262" i="21"/>
  <c r="E262" i="21"/>
  <c r="D262" i="21"/>
  <c r="C262" i="21"/>
  <c r="F260" i="21"/>
  <c r="E260" i="21"/>
  <c r="D260" i="21"/>
  <c r="C260" i="21"/>
  <c r="F259" i="21"/>
  <c r="E259" i="21"/>
  <c r="D259" i="21"/>
  <c r="C259" i="21"/>
  <c r="F258" i="21"/>
  <c r="E258" i="21"/>
  <c r="D258" i="21"/>
  <c r="C258" i="21"/>
  <c r="F256" i="21"/>
  <c r="E256" i="21"/>
  <c r="D256" i="21"/>
  <c r="C256" i="21"/>
  <c r="F255" i="21"/>
  <c r="E255" i="21"/>
  <c r="D255" i="21"/>
  <c r="C255" i="21"/>
  <c r="F254" i="21"/>
  <c r="E254" i="21"/>
  <c r="D254" i="21"/>
  <c r="C254" i="21"/>
  <c r="F252" i="21"/>
  <c r="E252" i="21"/>
  <c r="D252" i="21"/>
  <c r="C252" i="21"/>
  <c r="F251" i="21"/>
  <c r="E251" i="21"/>
  <c r="D251" i="21"/>
  <c r="C251" i="21"/>
  <c r="F250" i="21"/>
  <c r="E250" i="21"/>
  <c r="D250" i="21"/>
  <c r="C250" i="21"/>
  <c r="F248" i="21"/>
  <c r="E248" i="21"/>
  <c r="D248" i="21"/>
  <c r="C248" i="21"/>
  <c r="F247" i="21"/>
  <c r="E247" i="21"/>
  <c r="D247" i="21"/>
  <c r="C247" i="21"/>
  <c r="F246" i="21"/>
  <c r="E246" i="21"/>
  <c r="D246" i="21"/>
  <c r="C246" i="21"/>
  <c r="F244" i="21"/>
  <c r="E244" i="21"/>
  <c r="D244" i="21"/>
  <c r="C244" i="21"/>
  <c r="F243" i="21"/>
  <c r="E243" i="21"/>
  <c r="D243" i="21"/>
  <c r="C243" i="21"/>
  <c r="F242" i="21"/>
  <c r="E242" i="21"/>
  <c r="D242" i="21"/>
  <c r="C242" i="21"/>
  <c r="F240" i="21"/>
  <c r="E240" i="21"/>
  <c r="D240" i="21"/>
  <c r="C240" i="21"/>
  <c r="F239" i="21"/>
  <c r="E239" i="21"/>
  <c r="D239" i="21"/>
  <c r="C239" i="21"/>
  <c r="F238" i="21"/>
  <c r="E238" i="21"/>
  <c r="D238" i="21"/>
  <c r="C238" i="21"/>
  <c r="F236" i="21"/>
  <c r="E236" i="21"/>
  <c r="D236" i="21"/>
  <c r="C236" i="21"/>
  <c r="F235" i="21"/>
  <c r="E235" i="21"/>
  <c r="D235" i="21"/>
  <c r="C235" i="21"/>
  <c r="F234" i="21"/>
  <c r="E234" i="21"/>
  <c r="D234" i="21"/>
  <c r="C234" i="21"/>
  <c r="F232" i="21"/>
  <c r="E232" i="21"/>
  <c r="D232" i="21"/>
  <c r="C232" i="21"/>
  <c r="F231" i="21"/>
  <c r="E231" i="21"/>
  <c r="D231" i="21"/>
  <c r="C231" i="21"/>
  <c r="F230" i="21"/>
  <c r="E230" i="21"/>
  <c r="D230" i="21"/>
  <c r="C230" i="21"/>
  <c r="F228" i="21"/>
  <c r="E228" i="21"/>
  <c r="D228" i="21"/>
  <c r="C228" i="21"/>
  <c r="F227" i="21"/>
  <c r="E227" i="21"/>
  <c r="D227" i="21"/>
  <c r="C227" i="21"/>
  <c r="F226" i="21"/>
  <c r="E226" i="21"/>
  <c r="D226" i="21"/>
  <c r="C226" i="21"/>
  <c r="F224" i="21"/>
  <c r="E224" i="21"/>
  <c r="D224" i="21"/>
  <c r="C224" i="21"/>
  <c r="F223" i="21"/>
  <c r="E223" i="21"/>
  <c r="D223" i="21"/>
  <c r="C223" i="21"/>
  <c r="F222" i="21"/>
  <c r="E222" i="21"/>
  <c r="D222" i="21"/>
  <c r="C222" i="21"/>
  <c r="F220" i="21"/>
  <c r="E220" i="21"/>
  <c r="D220" i="21"/>
  <c r="C220" i="21"/>
  <c r="F219" i="21"/>
  <c r="E219" i="21"/>
  <c r="D219" i="21"/>
  <c r="C219" i="21"/>
  <c r="F218" i="21"/>
  <c r="E218" i="21"/>
  <c r="D218" i="21"/>
  <c r="C218" i="21"/>
  <c r="F216" i="21"/>
  <c r="E216" i="21"/>
  <c r="D216" i="21"/>
  <c r="C216" i="21"/>
  <c r="F215" i="21"/>
  <c r="E215" i="21"/>
  <c r="D215" i="21"/>
  <c r="C215" i="21"/>
  <c r="F214" i="21"/>
  <c r="E214" i="21"/>
  <c r="D214" i="21"/>
  <c r="C214" i="21"/>
  <c r="F212" i="21"/>
  <c r="E212" i="21"/>
  <c r="D212" i="21"/>
  <c r="C212" i="21"/>
  <c r="F211" i="21"/>
  <c r="E211" i="21"/>
  <c r="D211" i="21"/>
  <c r="C211" i="21"/>
  <c r="F210" i="21"/>
  <c r="E210" i="21"/>
  <c r="D210" i="21"/>
  <c r="C210" i="21"/>
  <c r="F208" i="21"/>
  <c r="E208" i="21"/>
  <c r="D208" i="21"/>
  <c r="C208" i="21"/>
  <c r="F207" i="21"/>
  <c r="E207" i="21"/>
  <c r="D207" i="21"/>
  <c r="C207" i="21"/>
  <c r="F206" i="21"/>
  <c r="E206" i="21"/>
  <c r="D206" i="21"/>
  <c r="C206" i="21"/>
  <c r="F204" i="21"/>
  <c r="E204" i="21"/>
  <c r="D204" i="21"/>
  <c r="C204" i="21"/>
  <c r="F203" i="21"/>
  <c r="E203" i="21"/>
  <c r="D203" i="21"/>
  <c r="C203" i="21"/>
  <c r="F202" i="21"/>
  <c r="E202" i="21"/>
  <c r="D202" i="21"/>
  <c r="C202" i="21"/>
  <c r="F200" i="21"/>
  <c r="E200" i="21"/>
  <c r="D200" i="21"/>
  <c r="C200" i="21"/>
  <c r="F199" i="21"/>
  <c r="E199" i="21"/>
  <c r="D199" i="21"/>
  <c r="C199" i="21"/>
  <c r="F198" i="21"/>
  <c r="E198" i="21"/>
  <c r="D198" i="21"/>
  <c r="C198" i="21"/>
  <c r="F196" i="21"/>
  <c r="E196" i="21"/>
  <c r="D196" i="21"/>
  <c r="C196" i="21"/>
  <c r="F195" i="21"/>
  <c r="E195" i="21"/>
  <c r="D195" i="21"/>
  <c r="C195" i="21"/>
  <c r="F194" i="21"/>
  <c r="E194" i="21"/>
  <c r="D194" i="21"/>
  <c r="C194" i="21"/>
  <c r="F192" i="21"/>
  <c r="E192" i="21"/>
  <c r="D192" i="21"/>
  <c r="C192" i="21"/>
  <c r="F191" i="21"/>
  <c r="E191" i="21"/>
  <c r="D191" i="21"/>
  <c r="C191" i="21"/>
  <c r="F190" i="21"/>
  <c r="E190" i="21"/>
  <c r="D190" i="21"/>
  <c r="C190" i="21"/>
  <c r="F188" i="21"/>
  <c r="E188" i="21"/>
  <c r="D188" i="21"/>
  <c r="C188" i="21"/>
  <c r="F187" i="21"/>
  <c r="E187" i="21"/>
  <c r="D187" i="21"/>
  <c r="C187" i="21"/>
  <c r="F186" i="21"/>
  <c r="E186" i="21"/>
  <c r="D186" i="21"/>
  <c r="C186" i="21"/>
  <c r="F184" i="21"/>
  <c r="E184" i="21"/>
  <c r="D184" i="21"/>
  <c r="C184" i="21"/>
  <c r="F183" i="21"/>
  <c r="E183" i="21"/>
  <c r="D183" i="21"/>
  <c r="C183" i="21"/>
  <c r="F182" i="21"/>
  <c r="E182" i="21"/>
  <c r="D182" i="21"/>
  <c r="C182" i="21"/>
  <c r="F180" i="21"/>
  <c r="E180" i="21"/>
  <c r="D180" i="21"/>
  <c r="C180" i="21"/>
  <c r="F179" i="21"/>
  <c r="E179" i="21"/>
  <c r="D179" i="21"/>
  <c r="C179" i="21"/>
  <c r="F178" i="21"/>
  <c r="E178" i="21"/>
  <c r="D178" i="21"/>
  <c r="C178" i="21"/>
  <c r="F176" i="21"/>
  <c r="E176" i="21"/>
  <c r="D176" i="21"/>
  <c r="C176" i="21"/>
  <c r="F175" i="21"/>
  <c r="E175" i="21"/>
  <c r="D175" i="21"/>
  <c r="C175" i="21"/>
  <c r="F174" i="21"/>
  <c r="E174" i="21"/>
  <c r="D174" i="21"/>
  <c r="C174" i="21"/>
  <c r="F172" i="21"/>
  <c r="E172" i="21"/>
  <c r="D172" i="21"/>
  <c r="C172" i="21"/>
  <c r="F171" i="21"/>
  <c r="E171" i="21"/>
  <c r="D171" i="21"/>
  <c r="C171" i="21"/>
  <c r="F170" i="21"/>
  <c r="E170" i="21"/>
  <c r="D170" i="21"/>
  <c r="C170" i="21"/>
  <c r="F168" i="21"/>
  <c r="E168" i="21"/>
  <c r="D168" i="21"/>
  <c r="C168" i="21"/>
  <c r="F167" i="21"/>
  <c r="E167" i="21"/>
  <c r="D167" i="21"/>
  <c r="C167" i="21"/>
  <c r="F166" i="21"/>
  <c r="E166" i="21"/>
  <c r="D166" i="21"/>
  <c r="C166" i="21"/>
  <c r="F164" i="21"/>
  <c r="E164" i="21"/>
  <c r="D164" i="21"/>
  <c r="C164" i="21"/>
  <c r="F163" i="21"/>
  <c r="E163" i="21"/>
  <c r="D163" i="21"/>
  <c r="C163" i="21"/>
  <c r="F162" i="21"/>
  <c r="E162" i="21"/>
  <c r="D162" i="21"/>
  <c r="C162" i="21"/>
  <c r="F160" i="21"/>
  <c r="E160" i="21"/>
  <c r="D160" i="21"/>
  <c r="C160" i="21"/>
  <c r="F159" i="21"/>
  <c r="E159" i="21"/>
  <c r="D159" i="21"/>
  <c r="C159" i="21"/>
  <c r="F158" i="21"/>
  <c r="E158" i="21"/>
  <c r="D158" i="21"/>
  <c r="C158" i="21"/>
  <c r="F156" i="21"/>
  <c r="E156" i="21"/>
  <c r="D156" i="21"/>
  <c r="C156" i="21"/>
  <c r="F155" i="21"/>
  <c r="E155" i="21"/>
  <c r="D155" i="21"/>
  <c r="C155" i="21"/>
  <c r="F154" i="21"/>
  <c r="E154" i="21"/>
  <c r="D154" i="21"/>
  <c r="C154" i="21"/>
  <c r="F152" i="21"/>
  <c r="E152" i="21"/>
  <c r="D152" i="21"/>
  <c r="C152" i="21"/>
  <c r="F151" i="21"/>
  <c r="E151" i="21"/>
  <c r="D151" i="21"/>
  <c r="C151" i="21"/>
  <c r="F150" i="21"/>
  <c r="E150" i="21"/>
  <c r="D150" i="21"/>
  <c r="C150" i="21"/>
  <c r="F148" i="21"/>
  <c r="E148" i="21"/>
  <c r="D148" i="21"/>
  <c r="C148" i="21"/>
  <c r="F147" i="21"/>
  <c r="E147" i="21"/>
  <c r="D147" i="21"/>
  <c r="C147" i="21"/>
  <c r="F146" i="21"/>
  <c r="E146" i="21"/>
  <c r="D146" i="21"/>
  <c r="C146" i="21"/>
  <c r="F144" i="21"/>
  <c r="E144" i="21"/>
  <c r="D144" i="21"/>
  <c r="C144" i="21"/>
  <c r="F143" i="21"/>
  <c r="E143" i="21"/>
  <c r="D143" i="21"/>
  <c r="C143" i="21"/>
  <c r="F142" i="21"/>
  <c r="E142" i="21"/>
  <c r="D142" i="21"/>
  <c r="C142" i="21"/>
  <c r="F140" i="21"/>
  <c r="E140" i="21"/>
  <c r="D140" i="21"/>
  <c r="C140" i="21"/>
  <c r="F139" i="21"/>
  <c r="E139" i="21"/>
  <c r="D139" i="21"/>
  <c r="C139" i="21"/>
  <c r="F138" i="21"/>
  <c r="E138" i="21"/>
  <c r="D138" i="21"/>
  <c r="C138" i="21"/>
  <c r="F136" i="21"/>
  <c r="E136" i="21"/>
  <c r="D136" i="21"/>
  <c r="C136" i="21"/>
  <c r="F135" i="21"/>
  <c r="E135" i="21"/>
  <c r="D135" i="21"/>
  <c r="C135" i="21"/>
  <c r="F134" i="21"/>
  <c r="E134" i="21"/>
  <c r="D134" i="21"/>
  <c r="C134" i="21"/>
  <c r="F132" i="21"/>
  <c r="E132" i="21"/>
  <c r="D132" i="21"/>
  <c r="C132" i="21"/>
  <c r="F131" i="21"/>
  <c r="E131" i="21"/>
  <c r="D131" i="21"/>
  <c r="C131" i="21"/>
  <c r="F130" i="21"/>
  <c r="E130" i="21"/>
  <c r="D130" i="21"/>
  <c r="C130" i="21"/>
  <c r="F128" i="21"/>
  <c r="E128" i="21"/>
  <c r="D128" i="21"/>
  <c r="C128" i="21"/>
  <c r="F127" i="21"/>
  <c r="E127" i="21"/>
  <c r="D127" i="21"/>
  <c r="C127" i="21"/>
  <c r="F126" i="21"/>
  <c r="E126" i="21"/>
  <c r="D126" i="21"/>
  <c r="C126" i="21"/>
  <c r="F124" i="21"/>
  <c r="E124" i="21"/>
  <c r="D124" i="21"/>
  <c r="C124" i="21"/>
  <c r="F123" i="21"/>
  <c r="E123" i="21"/>
  <c r="D123" i="21"/>
  <c r="C123" i="21"/>
  <c r="F122" i="21"/>
  <c r="E122" i="21"/>
  <c r="D122" i="21"/>
  <c r="C122" i="21"/>
  <c r="F120" i="21"/>
  <c r="E120" i="21"/>
  <c r="D120" i="21"/>
  <c r="C120" i="21"/>
  <c r="F119" i="21"/>
  <c r="E119" i="21"/>
  <c r="D119" i="21"/>
  <c r="C119" i="21"/>
  <c r="F118" i="21"/>
  <c r="E118" i="21"/>
  <c r="D118" i="21"/>
  <c r="C118" i="21"/>
  <c r="F116" i="21"/>
  <c r="E116" i="21"/>
  <c r="D116" i="21"/>
  <c r="C116" i="21"/>
  <c r="F115" i="21"/>
  <c r="E115" i="21"/>
  <c r="D115" i="21"/>
  <c r="C115" i="21"/>
  <c r="F114" i="21"/>
  <c r="E114" i="21"/>
  <c r="D114" i="21"/>
  <c r="C114" i="21"/>
  <c r="F112" i="21"/>
  <c r="E112" i="21"/>
  <c r="D112" i="21"/>
  <c r="C112" i="21"/>
  <c r="F111" i="21"/>
  <c r="E111" i="21"/>
  <c r="D111" i="21"/>
  <c r="C111" i="21"/>
  <c r="F110" i="21"/>
  <c r="E110" i="21"/>
  <c r="D110" i="21"/>
  <c r="C110" i="21"/>
  <c r="F108" i="21"/>
  <c r="E108" i="21"/>
  <c r="D108" i="21"/>
  <c r="C108" i="21"/>
  <c r="F107" i="21"/>
  <c r="E107" i="21"/>
  <c r="D107" i="21"/>
  <c r="C107" i="21"/>
  <c r="F106" i="21"/>
  <c r="E106" i="21"/>
  <c r="D106" i="21"/>
  <c r="C106" i="21"/>
  <c r="F104" i="21"/>
  <c r="E104" i="21"/>
  <c r="D104" i="21"/>
  <c r="C104" i="21"/>
  <c r="F103" i="21"/>
  <c r="E103" i="21"/>
  <c r="D103" i="21"/>
  <c r="C103" i="21"/>
  <c r="F102" i="21"/>
  <c r="E102" i="21"/>
  <c r="D102" i="21"/>
  <c r="C102" i="21"/>
  <c r="F100" i="21"/>
  <c r="E100" i="21"/>
  <c r="D100" i="21"/>
  <c r="C100" i="21"/>
  <c r="F99" i="21"/>
  <c r="E99" i="21"/>
  <c r="D99" i="21"/>
  <c r="C99" i="21"/>
  <c r="F98" i="21"/>
  <c r="E98" i="21"/>
  <c r="D98" i="21"/>
  <c r="C98" i="21"/>
  <c r="F96" i="21"/>
  <c r="E96" i="21"/>
  <c r="D96" i="21"/>
  <c r="C96" i="21"/>
  <c r="F95" i="21"/>
  <c r="E95" i="21"/>
  <c r="D95" i="21"/>
  <c r="C95" i="21"/>
  <c r="F94" i="21"/>
  <c r="E94" i="21"/>
  <c r="D94" i="21"/>
  <c r="C94" i="21"/>
  <c r="F92" i="21"/>
  <c r="E92" i="21"/>
  <c r="D92" i="21"/>
  <c r="C92" i="21"/>
  <c r="F91" i="21"/>
  <c r="E91" i="21"/>
  <c r="D91" i="21"/>
  <c r="C91" i="21"/>
  <c r="F90" i="21"/>
  <c r="E90" i="21"/>
  <c r="D90" i="21"/>
  <c r="C90" i="21"/>
  <c r="F88" i="21"/>
  <c r="E88" i="21"/>
  <c r="D88" i="21"/>
  <c r="C88" i="21"/>
  <c r="F87" i="21"/>
  <c r="E87" i="21"/>
  <c r="D87" i="21"/>
  <c r="C87" i="21"/>
  <c r="F86" i="21"/>
  <c r="E86" i="21"/>
  <c r="D86" i="21"/>
  <c r="C86" i="21"/>
  <c r="F84" i="21"/>
  <c r="E84" i="21"/>
  <c r="D84" i="21"/>
  <c r="C84" i="21"/>
  <c r="F83" i="21"/>
  <c r="E83" i="21"/>
  <c r="D83" i="21"/>
  <c r="C83" i="21"/>
  <c r="F78" i="21"/>
  <c r="E78" i="21"/>
  <c r="D78" i="21"/>
  <c r="C78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2" i="21"/>
  <c r="E72" i="21"/>
  <c r="D72" i="21"/>
  <c r="C72" i="21"/>
  <c r="F71" i="21"/>
  <c r="E71" i="21"/>
  <c r="D71" i="21"/>
  <c r="C71" i="21"/>
  <c r="F70" i="21"/>
  <c r="E70" i="21"/>
  <c r="D70" i="21"/>
  <c r="C70" i="21"/>
  <c r="F68" i="21"/>
  <c r="E68" i="21"/>
  <c r="D68" i="21"/>
  <c r="C68" i="21"/>
  <c r="F67" i="21"/>
  <c r="E67" i="21"/>
  <c r="D67" i="21"/>
  <c r="C67" i="21"/>
  <c r="F66" i="21"/>
  <c r="E66" i="21"/>
  <c r="D66" i="21"/>
  <c r="C66" i="21"/>
  <c r="F64" i="21"/>
  <c r="E64" i="21"/>
  <c r="D64" i="21"/>
  <c r="C64" i="21"/>
  <c r="F63" i="21"/>
  <c r="E63" i="21"/>
  <c r="D63" i="21"/>
  <c r="C63" i="21"/>
  <c r="F62" i="21"/>
  <c r="E62" i="21"/>
  <c r="D62" i="21"/>
  <c r="C62" i="21"/>
  <c r="F60" i="21"/>
  <c r="E60" i="21"/>
  <c r="D60" i="21"/>
  <c r="C60" i="21"/>
  <c r="F59" i="21"/>
  <c r="E59" i="21"/>
  <c r="D59" i="21"/>
  <c r="C59" i="21"/>
  <c r="E19" i="21"/>
  <c r="V3" i="19"/>
  <c r="T3" i="19"/>
  <c r="S3" i="19"/>
  <c r="R3" i="19"/>
  <c r="Q3" i="19"/>
  <c r="O3" i="19"/>
  <c r="N3" i="19"/>
  <c r="M3" i="19"/>
  <c r="L3" i="19"/>
  <c r="J3" i="19"/>
  <c r="F48" i="21" s="1"/>
  <c r="I3" i="19"/>
  <c r="H3" i="19"/>
  <c r="G3" i="19"/>
  <c r="E3" i="19"/>
  <c r="F47" i="21" s="1"/>
  <c r="D3" i="19"/>
  <c r="C3" i="19"/>
  <c r="C47" i="21" s="1"/>
  <c r="V12" i="19"/>
  <c r="T12" i="19"/>
  <c r="S12" i="19"/>
  <c r="R12" i="19"/>
  <c r="Q12" i="19"/>
  <c r="O12" i="19"/>
  <c r="F22" i="21" s="1"/>
  <c r="N12" i="19"/>
  <c r="M12" i="19"/>
  <c r="L12" i="19"/>
  <c r="J12" i="19"/>
  <c r="I12" i="19"/>
  <c r="H12" i="19"/>
  <c r="G12" i="19"/>
  <c r="E12" i="19"/>
  <c r="F19" i="21" s="1"/>
  <c r="D12" i="19"/>
  <c r="C12" i="19"/>
  <c r="C19" i="21" s="1"/>
  <c r="V15" i="19"/>
  <c r="T15" i="19"/>
  <c r="S15" i="19"/>
  <c r="R15" i="19"/>
  <c r="Q15" i="19"/>
  <c r="O15" i="19"/>
  <c r="N15" i="19"/>
  <c r="M15" i="19"/>
  <c r="C30" i="21" s="1"/>
  <c r="L15" i="19"/>
  <c r="J15" i="19"/>
  <c r="I15" i="19"/>
  <c r="H15" i="19"/>
  <c r="G15" i="19"/>
  <c r="E15" i="19"/>
  <c r="F27" i="21" s="1"/>
  <c r="D15" i="19"/>
  <c r="E27" i="21" s="1"/>
  <c r="C15" i="19"/>
  <c r="C27" i="21" s="1"/>
  <c r="V14" i="19"/>
  <c r="T14" i="19"/>
  <c r="S14" i="19"/>
  <c r="R14" i="19"/>
  <c r="Q14" i="19"/>
  <c r="O14" i="19"/>
  <c r="F46" i="21" s="1"/>
  <c r="N14" i="19"/>
  <c r="M14" i="19"/>
  <c r="L14" i="19"/>
  <c r="J14" i="19"/>
  <c r="F44" i="21" s="1"/>
  <c r="I14" i="19"/>
  <c r="H14" i="19"/>
  <c r="G14" i="19"/>
  <c r="E14" i="19"/>
  <c r="D14" i="19"/>
  <c r="C14" i="19"/>
  <c r="C43" i="21" s="1"/>
  <c r="V13" i="19"/>
  <c r="T13" i="19"/>
  <c r="S13" i="19"/>
  <c r="R13" i="19"/>
  <c r="Q13" i="19"/>
  <c r="O13" i="19"/>
  <c r="F58" i="21" s="1"/>
  <c r="N13" i="19"/>
  <c r="M13" i="19"/>
  <c r="L13" i="19"/>
  <c r="J13" i="19"/>
  <c r="I13" i="19"/>
  <c r="H13" i="19"/>
  <c r="C56" i="21" s="1"/>
  <c r="G13" i="19"/>
  <c r="E13" i="19"/>
  <c r="D13" i="19"/>
  <c r="E55" i="21" s="1"/>
  <c r="C13" i="19"/>
  <c r="C55" i="21" s="1"/>
  <c r="V11" i="19"/>
  <c r="T11" i="19"/>
  <c r="S11" i="19"/>
  <c r="R11" i="19"/>
  <c r="Q11" i="19"/>
  <c r="O11" i="19"/>
  <c r="N11" i="19"/>
  <c r="M11" i="19"/>
  <c r="C42" i="21" s="1"/>
  <c r="L11" i="19"/>
  <c r="J11" i="19"/>
  <c r="F40" i="21" s="1"/>
  <c r="I11" i="19"/>
  <c r="H11" i="19"/>
  <c r="G11" i="19"/>
  <c r="E11" i="19"/>
  <c r="F39" i="21" s="1"/>
  <c r="D11" i="19"/>
  <c r="C11" i="19"/>
  <c r="C39" i="21" s="1"/>
  <c r="V10" i="19"/>
  <c r="T10" i="19"/>
  <c r="S10" i="19"/>
  <c r="R10" i="19"/>
  <c r="Q10" i="19"/>
  <c r="O10" i="19"/>
  <c r="N10" i="19"/>
  <c r="E38" i="21" s="1"/>
  <c r="M10" i="19"/>
  <c r="L10" i="19"/>
  <c r="J10" i="19"/>
  <c r="F36" i="21" s="1"/>
  <c r="I10" i="19"/>
  <c r="H10" i="19"/>
  <c r="G10" i="19"/>
  <c r="E10" i="19"/>
  <c r="D10" i="19"/>
  <c r="C10" i="19"/>
  <c r="C35" i="21" s="1"/>
  <c r="V9" i="19"/>
  <c r="T9" i="19"/>
  <c r="S9" i="19"/>
  <c r="R9" i="19"/>
  <c r="Q9" i="19"/>
  <c r="O9" i="19"/>
  <c r="F18" i="21" s="1"/>
  <c r="N9" i="19"/>
  <c r="M9" i="19"/>
  <c r="L9" i="19"/>
  <c r="J9" i="19"/>
  <c r="F16" i="21" s="1"/>
  <c r="I9" i="19"/>
  <c r="H9" i="19"/>
  <c r="C16" i="21" s="1"/>
  <c r="G9" i="19"/>
  <c r="E9" i="19"/>
  <c r="F15" i="21" s="1"/>
  <c r="D9" i="19"/>
  <c r="C9" i="19"/>
  <c r="C15" i="21" s="1"/>
  <c r="V7" i="19"/>
  <c r="T7" i="19"/>
  <c r="S7" i="19"/>
  <c r="R7" i="19"/>
  <c r="Q7" i="19"/>
  <c r="O7" i="19"/>
  <c r="F54" i="21" s="1"/>
  <c r="N7" i="19"/>
  <c r="M7" i="19"/>
  <c r="L7" i="19"/>
  <c r="J7" i="19"/>
  <c r="I7" i="19"/>
  <c r="H7" i="19"/>
  <c r="G7" i="19"/>
  <c r="E7" i="19"/>
  <c r="F51" i="21" s="1"/>
  <c r="D7" i="19"/>
  <c r="C7" i="19"/>
  <c r="C51" i="21" s="1"/>
  <c r="V6" i="19"/>
  <c r="T6" i="19"/>
  <c r="S6" i="19"/>
  <c r="R6" i="19"/>
  <c r="Q6" i="19"/>
  <c r="O6" i="19"/>
  <c r="N6" i="19"/>
  <c r="M6" i="19"/>
  <c r="L6" i="19"/>
  <c r="J6" i="19"/>
  <c r="F80" i="21" s="1"/>
  <c r="I6" i="19"/>
  <c r="H6" i="19"/>
  <c r="G6" i="19"/>
  <c r="E6" i="19"/>
  <c r="F79" i="21" s="1"/>
  <c r="D6" i="19"/>
  <c r="C6" i="19"/>
  <c r="C79" i="21" s="1"/>
  <c r="V5" i="19"/>
  <c r="T5" i="19"/>
  <c r="S5" i="19"/>
  <c r="R5" i="19"/>
  <c r="Q5" i="19"/>
  <c r="O5" i="19"/>
  <c r="F34" i="21" s="1"/>
  <c r="N5" i="19"/>
  <c r="M5" i="19"/>
  <c r="L5" i="19"/>
  <c r="J5" i="19"/>
  <c r="F32" i="21" s="1"/>
  <c r="I5" i="19"/>
  <c r="H5" i="19"/>
  <c r="C32" i="21" s="1"/>
  <c r="G5" i="19"/>
  <c r="E5" i="19"/>
  <c r="D5" i="19"/>
  <c r="C5" i="19"/>
  <c r="C31" i="21" s="1"/>
  <c r="V8" i="19"/>
  <c r="T8" i="19"/>
  <c r="S8" i="19"/>
  <c r="R8" i="19"/>
  <c r="Q8" i="19"/>
  <c r="O8" i="19"/>
  <c r="N8" i="19"/>
  <c r="M8" i="19"/>
  <c r="L8" i="19"/>
  <c r="J8" i="19"/>
  <c r="I8" i="19"/>
  <c r="H8" i="19"/>
  <c r="G8" i="19"/>
  <c r="E8" i="19"/>
  <c r="D8" i="19"/>
  <c r="C8" i="19"/>
  <c r="C23" i="21" s="1"/>
  <c r="V4" i="19"/>
  <c r="T4" i="19"/>
  <c r="S4" i="19"/>
  <c r="R4" i="19"/>
  <c r="Q4" i="19"/>
  <c r="O4" i="19"/>
  <c r="N4" i="19"/>
  <c r="M4" i="19"/>
  <c r="L4" i="19"/>
  <c r="J4" i="19"/>
  <c r="I4" i="19"/>
  <c r="H4" i="19"/>
  <c r="C8" i="21" s="1"/>
  <c r="G4" i="19"/>
  <c r="E4" i="19"/>
  <c r="D4" i="19"/>
  <c r="C4" i="19"/>
  <c r="C7" i="21" s="1"/>
  <c r="B16" i="22" l="1"/>
  <c r="C20" i="21"/>
  <c r="F7" i="21"/>
  <c r="E7" i="22"/>
  <c r="P8" i="19"/>
  <c r="F35" i="21"/>
  <c r="F56" i="21"/>
  <c r="F30" i="21"/>
  <c r="B7" i="22"/>
  <c r="C54" i="21"/>
  <c r="K11" i="19"/>
  <c r="P14" i="19"/>
  <c r="K15" i="19"/>
  <c r="P3" i="19"/>
  <c r="F20" i="21"/>
  <c r="U8" i="19"/>
  <c r="F8" i="19"/>
  <c r="D23" i="21" s="1"/>
  <c r="C18" i="21"/>
  <c r="B12" i="22"/>
  <c r="P4" i="19"/>
  <c r="P6" i="19"/>
  <c r="U11" i="19"/>
  <c r="U15" i="19"/>
  <c r="D28" i="21"/>
  <c r="D10" i="21"/>
  <c r="D40" i="21"/>
  <c r="D46" i="21"/>
  <c r="D7" i="22"/>
  <c r="F7" i="22" s="1"/>
  <c r="K13" i="19"/>
  <c r="D56" i="21" s="1"/>
  <c r="F14" i="19"/>
  <c r="U14" i="19"/>
  <c r="E8" i="21"/>
  <c r="G98" i="21"/>
  <c r="H98" i="21" s="1"/>
  <c r="G60" i="21"/>
  <c r="H60" i="21" s="1"/>
  <c r="G76" i="21"/>
  <c r="G164" i="21"/>
  <c r="H164" i="21" s="1"/>
  <c r="G168" i="21"/>
  <c r="H168" i="21" s="1"/>
  <c r="G180" i="21"/>
  <c r="H180" i="21" s="1"/>
  <c r="G184" i="21"/>
  <c r="H184" i="21" s="1"/>
  <c r="G196" i="21"/>
  <c r="H196" i="21" s="1"/>
  <c r="G200" i="21"/>
  <c r="G204" i="21"/>
  <c r="G274" i="21"/>
  <c r="H274" i="21" s="1"/>
  <c r="G278" i="21"/>
  <c r="H278" i="21" s="1"/>
  <c r="G290" i="21"/>
  <c r="H290" i="21" s="1"/>
  <c r="G294" i="21"/>
  <c r="H294" i="21" s="1"/>
  <c r="H76" i="21"/>
  <c r="G186" i="21"/>
  <c r="H186" i="21" s="1"/>
  <c r="G190" i="21"/>
  <c r="H190" i="21" s="1"/>
  <c r="G198" i="21"/>
  <c r="H198" i="21" s="1"/>
  <c r="G226" i="21"/>
  <c r="H226" i="21" s="1"/>
  <c r="G230" i="21"/>
  <c r="H230" i="21" s="1"/>
  <c r="G242" i="21"/>
  <c r="H242" i="21" s="1"/>
  <c r="G258" i="21"/>
  <c r="H258" i="21" s="1"/>
  <c r="G262" i="21"/>
  <c r="H262" i="21" s="1"/>
  <c r="G244" i="21"/>
  <c r="H244" i="21" s="1"/>
  <c r="G155" i="21"/>
  <c r="H155" i="21" s="1"/>
  <c r="G248" i="21"/>
  <c r="H248" i="21" s="1"/>
  <c r="C197" i="21"/>
  <c r="D197" i="21" s="1"/>
  <c r="C205" i="21"/>
  <c r="D205" i="21" s="1"/>
  <c r="C217" i="21"/>
  <c r="E217" i="21" s="1"/>
  <c r="C229" i="21"/>
  <c r="F229" i="21" s="1"/>
  <c r="C233" i="21"/>
  <c r="E233" i="21" s="1"/>
  <c r="C249" i="21"/>
  <c r="F249" i="21" s="1"/>
  <c r="G71" i="21"/>
  <c r="H71" i="21" s="1"/>
  <c r="G159" i="21"/>
  <c r="H159" i="21" s="1"/>
  <c r="G163" i="21"/>
  <c r="H163" i="21" s="1"/>
  <c r="G175" i="21"/>
  <c r="H175" i="21" s="1"/>
  <c r="G179" i="21"/>
  <c r="H179" i="21" s="1"/>
  <c r="G191" i="21"/>
  <c r="H191" i="21" s="1"/>
  <c r="G195" i="21"/>
  <c r="G199" i="21"/>
  <c r="H199" i="21" s="1"/>
  <c r="G203" i="21"/>
  <c r="H203" i="21" s="1"/>
  <c r="G219" i="21"/>
  <c r="H219" i="21" s="1"/>
  <c r="G231" i="21"/>
  <c r="G235" i="21"/>
  <c r="H235" i="21" s="1"/>
  <c r="G247" i="21"/>
  <c r="H247" i="21" s="1"/>
  <c r="G251" i="21"/>
  <c r="H251" i="21" s="1"/>
  <c r="G263" i="21"/>
  <c r="H263" i="21" s="1"/>
  <c r="G267" i="21"/>
  <c r="H267" i="21" s="1"/>
  <c r="G279" i="21"/>
  <c r="H279" i="21" s="1"/>
  <c r="G283" i="21"/>
  <c r="H283" i="21" s="1"/>
  <c r="G299" i="21"/>
  <c r="C10" i="21"/>
  <c r="B18" i="22"/>
  <c r="B15" i="22"/>
  <c r="D43" i="21"/>
  <c r="C48" i="21"/>
  <c r="C49" i="21" s="1"/>
  <c r="C169" i="21"/>
  <c r="F169" i="21" s="1"/>
  <c r="C185" i="21"/>
  <c r="D185" i="21" s="1"/>
  <c r="C24" i="21"/>
  <c r="C25" i="21" s="1"/>
  <c r="K6" i="19"/>
  <c r="D80" i="21" s="1"/>
  <c r="F11" i="19"/>
  <c r="D39" i="21" s="1"/>
  <c r="C34" i="21"/>
  <c r="H34" i="21" s="1"/>
  <c r="C36" i="21"/>
  <c r="C37" i="21" s="1"/>
  <c r="F37" i="21" s="1"/>
  <c r="C58" i="21"/>
  <c r="C44" i="21"/>
  <c r="C45" i="21" s="1"/>
  <c r="F24" i="21"/>
  <c r="E34" i="21"/>
  <c r="G34" i="21" s="1"/>
  <c r="E80" i="21"/>
  <c r="G80" i="21" s="1"/>
  <c r="E51" i="21"/>
  <c r="G51" i="21" s="1"/>
  <c r="H51" i="21" s="1"/>
  <c r="P9" i="19"/>
  <c r="D18" i="21" s="1"/>
  <c r="K10" i="19"/>
  <c r="E39" i="21"/>
  <c r="G39" i="21" s="1"/>
  <c r="H39" i="21" s="1"/>
  <c r="E58" i="21"/>
  <c r="G58" i="21" s="1"/>
  <c r="K14" i="19"/>
  <c r="E22" i="21"/>
  <c r="G22" i="21" s="1"/>
  <c r="K3" i="19"/>
  <c r="D48" i="21" s="1"/>
  <c r="G92" i="21"/>
  <c r="H92" i="21" s="1"/>
  <c r="G108" i="21"/>
  <c r="H108" i="21" s="1"/>
  <c r="G152" i="21"/>
  <c r="H152" i="21" s="1"/>
  <c r="C213" i="21"/>
  <c r="F213" i="21" s="1"/>
  <c r="D36" i="21"/>
  <c r="B19" i="22"/>
  <c r="D44" i="21"/>
  <c r="B10" i="22"/>
  <c r="E7" i="21"/>
  <c r="C52" i="21"/>
  <c r="C53" i="21" s="1"/>
  <c r="C40" i="21"/>
  <c r="C41" i="21" s="1"/>
  <c r="F41" i="21" s="1"/>
  <c r="C46" i="21"/>
  <c r="C28" i="21"/>
  <c r="C29" i="21" s="1"/>
  <c r="C50" i="21"/>
  <c r="E35" i="21"/>
  <c r="G35" i="21" s="1"/>
  <c r="H35" i="21" s="1"/>
  <c r="G66" i="21"/>
  <c r="H66" i="21" s="1"/>
  <c r="G220" i="21"/>
  <c r="H220" i="21" s="1"/>
  <c r="G224" i="21"/>
  <c r="H224" i="21" s="1"/>
  <c r="G236" i="21"/>
  <c r="H236" i="21" s="1"/>
  <c r="G240" i="21"/>
  <c r="H240" i="21" s="1"/>
  <c r="G256" i="21"/>
  <c r="H256" i="21" s="1"/>
  <c r="G268" i="21"/>
  <c r="H268" i="21" s="1"/>
  <c r="G272" i="21"/>
  <c r="H272" i="21" s="1"/>
  <c r="G288" i="21"/>
  <c r="H288" i="21" s="1"/>
  <c r="C26" i="21"/>
  <c r="B13" i="22"/>
  <c r="B9" i="22"/>
  <c r="F26" i="21"/>
  <c r="E52" i="21"/>
  <c r="E10" i="21"/>
  <c r="C22" i="21"/>
  <c r="C82" i="21"/>
  <c r="E31" i="21"/>
  <c r="D26" i="21"/>
  <c r="B11" i="22"/>
  <c r="F31" i="21"/>
  <c r="F82" i="21"/>
  <c r="F38" i="21"/>
  <c r="G38" i="21" s="1"/>
  <c r="F13" i="19"/>
  <c r="D55" i="21" s="1"/>
  <c r="U13" i="19"/>
  <c r="F28" i="21"/>
  <c r="F50" i="21"/>
  <c r="F10" i="21"/>
  <c r="C38" i="21"/>
  <c r="C80" i="21"/>
  <c r="C81" i="21" s="1"/>
  <c r="G158" i="21"/>
  <c r="H158" i="21" s="1"/>
  <c r="G174" i="21"/>
  <c r="H174" i="21" s="1"/>
  <c r="D82" i="21"/>
  <c r="B25" i="22"/>
  <c r="B14" i="22"/>
  <c r="D50" i="21"/>
  <c r="B17" i="22"/>
  <c r="E15" i="21"/>
  <c r="G15" i="21" s="1"/>
  <c r="H15" i="21" s="1"/>
  <c r="E24" i="21"/>
  <c r="F8" i="21"/>
  <c r="F23" i="21"/>
  <c r="K5" i="19"/>
  <c r="D32" i="21" s="1"/>
  <c r="E79" i="21"/>
  <c r="G79" i="21" s="1"/>
  <c r="H79" i="21" s="1"/>
  <c r="E54" i="21"/>
  <c r="G54" i="21" s="1"/>
  <c r="E16" i="21"/>
  <c r="G16" i="21" s="1"/>
  <c r="H16" i="21" s="1"/>
  <c r="E42" i="21"/>
  <c r="E56" i="21"/>
  <c r="G56" i="21" s="1"/>
  <c r="H56" i="21" s="1"/>
  <c r="E43" i="21"/>
  <c r="P15" i="19"/>
  <c r="D30" i="21" s="1"/>
  <c r="K12" i="19"/>
  <c r="D20" i="21" s="1"/>
  <c r="E47" i="21"/>
  <c r="G47" i="21" s="1"/>
  <c r="H47" i="21" s="1"/>
  <c r="G87" i="21"/>
  <c r="H87" i="21" s="1"/>
  <c r="G103" i="21"/>
  <c r="H103" i="21" s="1"/>
  <c r="G151" i="21"/>
  <c r="H151" i="21" s="1"/>
  <c r="G250" i="21"/>
  <c r="H250" i="21" s="1"/>
  <c r="G254" i="21"/>
  <c r="H254" i="21" s="1"/>
  <c r="G286" i="21"/>
  <c r="H286" i="21" s="1"/>
  <c r="C221" i="21"/>
  <c r="F221" i="21" s="1"/>
  <c r="C253" i="21"/>
  <c r="E253" i="21" s="1"/>
  <c r="P5" i="19"/>
  <c r="D34" i="21" s="1"/>
  <c r="K9" i="19"/>
  <c r="D16" i="21" s="1"/>
  <c r="E18" i="21"/>
  <c r="G18" i="21" s="1"/>
  <c r="H18" i="21" s="1"/>
  <c r="E23" i="21"/>
  <c r="E28" i="21"/>
  <c r="E44" i="21"/>
  <c r="G44" i="21" s="1"/>
  <c r="E50" i="21"/>
  <c r="E82" i="21"/>
  <c r="G114" i="21"/>
  <c r="H114" i="21" s="1"/>
  <c r="G119" i="21"/>
  <c r="H119" i="21" s="1"/>
  <c r="G124" i="21"/>
  <c r="H124" i="21" s="1"/>
  <c r="G130" i="21"/>
  <c r="H130" i="21" s="1"/>
  <c r="G135" i="21"/>
  <c r="H135" i="21" s="1"/>
  <c r="G140" i="21"/>
  <c r="H140" i="21" s="1"/>
  <c r="G146" i="21"/>
  <c r="H146" i="21" s="1"/>
  <c r="G208" i="21"/>
  <c r="H208" i="21" s="1"/>
  <c r="G214" i="21"/>
  <c r="H214" i="21" s="1"/>
  <c r="F55" i="21"/>
  <c r="G55" i="21" s="1"/>
  <c r="H55" i="21" s="1"/>
  <c r="P7" i="19"/>
  <c r="D54" i="21" s="1"/>
  <c r="K7" i="19"/>
  <c r="D52" i="21" s="1"/>
  <c r="K8" i="19"/>
  <c r="D24" i="21" s="1"/>
  <c r="P10" i="19"/>
  <c r="D38" i="21" s="1"/>
  <c r="G156" i="21"/>
  <c r="H156" i="21" s="1"/>
  <c r="G167" i="21"/>
  <c r="H167" i="21" s="1"/>
  <c r="G172" i="21"/>
  <c r="H172" i="21" s="1"/>
  <c r="G178" i="21"/>
  <c r="H178" i="21" s="1"/>
  <c r="G183" i="21"/>
  <c r="H183" i="21" s="1"/>
  <c r="G188" i="21"/>
  <c r="H188" i="21" s="1"/>
  <c r="G194" i="21"/>
  <c r="H194" i="21" s="1"/>
  <c r="G246" i="21"/>
  <c r="H246" i="21" s="1"/>
  <c r="P11" i="19"/>
  <c r="D42" i="21" s="1"/>
  <c r="G19" i="21"/>
  <c r="H19" i="21" s="1"/>
  <c r="E30" i="21"/>
  <c r="G30" i="21" s="1"/>
  <c r="H30" i="21" s="1"/>
  <c r="E40" i="21"/>
  <c r="G40" i="21" s="1"/>
  <c r="E46" i="21"/>
  <c r="G46" i="21" s="1"/>
  <c r="G62" i="21"/>
  <c r="H62" i="21" s="1"/>
  <c r="G67" i="21"/>
  <c r="H67" i="21" s="1"/>
  <c r="G72" i="21"/>
  <c r="H72" i="21" s="1"/>
  <c r="G78" i="21"/>
  <c r="H78" i="21" s="1"/>
  <c r="G83" i="21"/>
  <c r="H83" i="21" s="1"/>
  <c r="G88" i="21"/>
  <c r="H88" i="21" s="1"/>
  <c r="G94" i="21"/>
  <c r="H94" i="21" s="1"/>
  <c r="G99" i="21"/>
  <c r="H99" i="21" s="1"/>
  <c r="G104" i="21"/>
  <c r="H104" i="21" s="1"/>
  <c r="G110" i="21"/>
  <c r="H110" i="21" s="1"/>
  <c r="G115" i="21"/>
  <c r="H115" i="21" s="1"/>
  <c r="G120" i="21"/>
  <c r="H120" i="21" s="1"/>
  <c r="G126" i="21"/>
  <c r="H126" i="21" s="1"/>
  <c r="G131" i="21"/>
  <c r="H131" i="21" s="1"/>
  <c r="G136" i="21"/>
  <c r="H136" i="21" s="1"/>
  <c r="G142" i="21"/>
  <c r="H142" i="21" s="1"/>
  <c r="G147" i="21"/>
  <c r="H147" i="21" s="1"/>
  <c r="G210" i="21"/>
  <c r="H210" i="21" s="1"/>
  <c r="G215" i="21"/>
  <c r="H215" i="21" s="1"/>
  <c r="G252" i="21"/>
  <c r="H252" i="21" s="1"/>
  <c r="G284" i="21"/>
  <c r="H284" i="21" s="1"/>
  <c r="P13" i="19"/>
  <c r="D58" i="21" s="1"/>
  <c r="U5" i="19"/>
  <c r="U6" i="19"/>
  <c r="C25" i="22" s="1"/>
  <c r="U7" i="19"/>
  <c r="U9" i="19"/>
  <c r="U10" i="19"/>
  <c r="U12" i="19"/>
  <c r="U3" i="19"/>
  <c r="C293" i="21"/>
  <c r="E293" i="21" s="1"/>
  <c r="F15" i="19"/>
  <c r="D27" i="21" s="1"/>
  <c r="E20" i="21"/>
  <c r="E26" i="21"/>
  <c r="E36" i="21"/>
  <c r="G36" i="21" s="1"/>
  <c r="H36" i="21" s="1"/>
  <c r="G63" i="21"/>
  <c r="H63" i="21" s="1"/>
  <c r="G68" i="21"/>
  <c r="H68" i="21" s="1"/>
  <c r="G74" i="21"/>
  <c r="H74" i="21" s="1"/>
  <c r="G84" i="21"/>
  <c r="H84" i="21" s="1"/>
  <c r="G90" i="21"/>
  <c r="H90" i="21" s="1"/>
  <c r="G95" i="21"/>
  <c r="H95" i="21" s="1"/>
  <c r="G100" i="21"/>
  <c r="H100" i="21" s="1"/>
  <c r="G106" i="21"/>
  <c r="H106" i="21" s="1"/>
  <c r="G111" i="21"/>
  <c r="H111" i="21" s="1"/>
  <c r="G116" i="21"/>
  <c r="H116" i="21" s="1"/>
  <c r="G122" i="21"/>
  <c r="H122" i="21" s="1"/>
  <c r="G127" i="21"/>
  <c r="H127" i="21" s="1"/>
  <c r="G132" i="21"/>
  <c r="H132" i="21" s="1"/>
  <c r="G138" i="21"/>
  <c r="H138" i="21" s="1"/>
  <c r="G143" i="21"/>
  <c r="H143" i="21" s="1"/>
  <c r="G148" i="21"/>
  <c r="H148" i="21" s="1"/>
  <c r="G206" i="21"/>
  <c r="H206" i="21" s="1"/>
  <c r="G211" i="21"/>
  <c r="H211" i="21" s="1"/>
  <c r="G216" i="21"/>
  <c r="H216" i="21" s="1"/>
  <c r="P12" i="19"/>
  <c r="D22" i="21" s="1"/>
  <c r="F42" i="21"/>
  <c r="F52" i="21"/>
  <c r="G154" i="21"/>
  <c r="H154" i="21" s="1"/>
  <c r="G222" i="21"/>
  <c r="H222" i="21" s="1"/>
  <c r="G227" i="21"/>
  <c r="H227" i="21" s="1"/>
  <c r="G232" i="21"/>
  <c r="H232" i="21" s="1"/>
  <c r="G238" i="21"/>
  <c r="H238" i="21" s="1"/>
  <c r="G243" i="21"/>
  <c r="H243" i="21" s="1"/>
  <c r="G259" i="21"/>
  <c r="H259" i="21" s="1"/>
  <c r="G264" i="21"/>
  <c r="H264" i="21" s="1"/>
  <c r="G270" i="21"/>
  <c r="H270" i="21" s="1"/>
  <c r="G275" i="21"/>
  <c r="H275" i="21" s="1"/>
  <c r="G280" i="21"/>
  <c r="H280" i="21" s="1"/>
  <c r="G291" i="21"/>
  <c r="H291" i="21" s="1"/>
  <c r="G300" i="21"/>
  <c r="H300" i="21" s="1"/>
  <c r="F5" i="19"/>
  <c r="D31" i="21" s="1"/>
  <c r="F6" i="19"/>
  <c r="D79" i="21" s="1"/>
  <c r="F7" i="19"/>
  <c r="D51" i="21" s="1"/>
  <c r="F9" i="19"/>
  <c r="D15" i="21" s="1"/>
  <c r="F10" i="19"/>
  <c r="D35" i="21" s="1"/>
  <c r="F12" i="19"/>
  <c r="D19" i="21" s="1"/>
  <c r="F3" i="19"/>
  <c r="D47" i="21" s="1"/>
  <c r="G202" i="21"/>
  <c r="H202" i="21" s="1"/>
  <c r="G27" i="21"/>
  <c r="H27" i="21" s="1"/>
  <c r="E32" i="21"/>
  <c r="G32" i="21" s="1"/>
  <c r="H32" i="21" s="1"/>
  <c r="E48" i="21"/>
  <c r="G48" i="21" s="1"/>
  <c r="G59" i="21"/>
  <c r="H59" i="21" s="1"/>
  <c r="G64" i="21"/>
  <c r="H64" i="21" s="1"/>
  <c r="G70" i="21"/>
  <c r="H70" i="21" s="1"/>
  <c r="G75" i="21"/>
  <c r="H75" i="21" s="1"/>
  <c r="G86" i="21"/>
  <c r="H86" i="21" s="1"/>
  <c r="G91" i="21"/>
  <c r="H91" i="21" s="1"/>
  <c r="G96" i="21"/>
  <c r="H96" i="21" s="1"/>
  <c r="G102" i="21"/>
  <c r="H102" i="21" s="1"/>
  <c r="G107" i="21"/>
  <c r="H107" i="21" s="1"/>
  <c r="G112" i="21"/>
  <c r="H112" i="21" s="1"/>
  <c r="G118" i="21"/>
  <c r="H118" i="21" s="1"/>
  <c r="G123" i="21"/>
  <c r="H123" i="21" s="1"/>
  <c r="G128" i="21"/>
  <c r="H128" i="21" s="1"/>
  <c r="G134" i="21"/>
  <c r="H134" i="21" s="1"/>
  <c r="G139" i="21"/>
  <c r="H139" i="21" s="1"/>
  <c r="G144" i="21"/>
  <c r="H144" i="21" s="1"/>
  <c r="G150" i="21"/>
  <c r="H150" i="21" s="1"/>
  <c r="G207" i="21"/>
  <c r="H207" i="21" s="1"/>
  <c r="G212" i="21"/>
  <c r="H212" i="21" s="1"/>
  <c r="F43" i="21"/>
  <c r="G218" i="21"/>
  <c r="H218" i="21" s="1"/>
  <c r="G223" i="21"/>
  <c r="H223" i="21" s="1"/>
  <c r="G228" i="21"/>
  <c r="H228" i="21" s="1"/>
  <c r="G234" i="21"/>
  <c r="H234" i="21" s="1"/>
  <c r="G239" i="21"/>
  <c r="H239" i="21" s="1"/>
  <c r="G255" i="21"/>
  <c r="H255" i="21" s="1"/>
  <c r="G260" i="21"/>
  <c r="H260" i="21" s="1"/>
  <c r="G266" i="21"/>
  <c r="H266" i="21" s="1"/>
  <c r="G271" i="21"/>
  <c r="H271" i="21" s="1"/>
  <c r="G276" i="21"/>
  <c r="H276" i="21" s="1"/>
  <c r="G282" i="21"/>
  <c r="H282" i="21" s="1"/>
  <c r="G287" i="21"/>
  <c r="H287" i="21" s="1"/>
  <c r="G292" i="21"/>
  <c r="H292" i="21" s="1"/>
  <c r="G302" i="21"/>
  <c r="H302" i="21" s="1"/>
  <c r="G166" i="21"/>
  <c r="H166" i="21" s="1"/>
  <c r="G171" i="21"/>
  <c r="H171" i="21" s="1"/>
  <c r="G182" i="21"/>
  <c r="H182" i="21" s="1"/>
  <c r="G187" i="21"/>
  <c r="H187" i="21" s="1"/>
  <c r="G192" i="21"/>
  <c r="H192" i="21" s="1"/>
  <c r="H299" i="21"/>
  <c r="C301" i="21"/>
  <c r="C289" i="21"/>
  <c r="C285" i="21"/>
  <c r="C261" i="21"/>
  <c r="C265" i="21"/>
  <c r="C273" i="21"/>
  <c r="C269" i="21"/>
  <c r="C277" i="21"/>
  <c r="C281" i="21"/>
  <c r="C257" i="21"/>
  <c r="F233" i="21"/>
  <c r="D249" i="21"/>
  <c r="C237" i="21"/>
  <c r="C245" i="21"/>
  <c r="C241" i="21"/>
  <c r="H231" i="21"/>
  <c r="G162" i="21"/>
  <c r="H162" i="21" s="1"/>
  <c r="H195" i="21"/>
  <c r="C209" i="21"/>
  <c r="D217" i="21"/>
  <c r="C173" i="21"/>
  <c r="C189" i="21"/>
  <c r="C225" i="21"/>
  <c r="G160" i="21"/>
  <c r="H160" i="21" s="1"/>
  <c r="G176" i="21"/>
  <c r="H176" i="21" s="1"/>
  <c r="G170" i="21"/>
  <c r="H170" i="21" s="1"/>
  <c r="C193" i="21"/>
  <c r="H200" i="21"/>
  <c r="C177" i="21"/>
  <c r="H204" i="21"/>
  <c r="F197" i="21"/>
  <c r="C161" i="21"/>
  <c r="E197" i="21"/>
  <c r="C165" i="21"/>
  <c r="C181" i="21"/>
  <c r="C201" i="21"/>
  <c r="C117" i="21"/>
  <c r="C121" i="21"/>
  <c r="C97" i="21"/>
  <c r="C101" i="21"/>
  <c r="C133" i="21"/>
  <c r="C137" i="21"/>
  <c r="C153" i="21"/>
  <c r="C93" i="21"/>
  <c r="C125" i="21"/>
  <c r="C149" i="21"/>
  <c r="C157" i="21"/>
  <c r="C89" i="21"/>
  <c r="C105" i="21"/>
  <c r="C109" i="21"/>
  <c r="C113" i="21"/>
  <c r="C85" i="21"/>
  <c r="C129" i="21"/>
  <c r="C141" i="21"/>
  <c r="C145" i="21"/>
  <c r="C69" i="21"/>
  <c r="C73" i="21"/>
  <c r="C77" i="21"/>
  <c r="C57" i="21"/>
  <c r="C65" i="21"/>
  <c r="C61" i="21"/>
  <c r="C33" i="21"/>
  <c r="C21" i="21"/>
  <c r="C17" i="21"/>
  <c r="C9" i="21"/>
  <c r="U4" i="19"/>
  <c r="C7" i="22" s="1"/>
  <c r="K4" i="19"/>
  <c r="D8" i="21" s="1"/>
  <c r="F4" i="19"/>
  <c r="D7" i="21" s="1"/>
  <c r="E80" i="22"/>
  <c r="D80" i="22"/>
  <c r="C80" i="22"/>
  <c r="E78" i="22"/>
  <c r="D78" i="22"/>
  <c r="C78" i="22"/>
  <c r="E77" i="22"/>
  <c r="D77" i="22"/>
  <c r="C77" i="22"/>
  <c r="E76" i="22"/>
  <c r="D76" i="22"/>
  <c r="C76" i="22"/>
  <c r="E75" i="22"/>
  <c r="D75" i="22"/>
  <c r="C75" i="22"/>
  <c r="E74" i="22"/>
  <c r="D74" i="22"/>
  <c r="C74" i="22"/>
  <c r="E73" i="22"/>
  <c r="D73" i="22"/>
  <c r="C73" i="22"/>
  <c r="E72" i="22"/>
  <c r="D72" i="22"/>
  <c r="C72" i="22"/>
  <c r="E71" i="22"/>
  <c r="D71" i="22"/>
  <c r="C71" i="22"/>
  <c r="E70" i="22"/>
  <c r="D70" i="22"/>
  <c r="C70" i="22"/>
  <c r="E69" i="22"/>
  <c r="D69" i="22"/>
  <c r="C69" i="22"/>
  <c r="E68" i="22"/>
  <c r="D68" i="22"/>
  <c r="C68" i="22"/>
  <c r="E67" i="22"/>
  <c r="D67" i="22"/>
  <c r="C67" i="22"/>
  <c r="E66" i="22"/>
  <c r="D66" i="22"/>
  <c r="C66" i="22"/>
  <c r="E65" i="22"/>
  <c r="D65" i="22"/>
  <c r="C65" i="22"/>
  <c r="E64" i="22"/>
  <c r="D64" i="22"/>
  <c r="C64" i="22"/>
  <c r="E63" i="22"/>
  <c r="D63" i="22"/>
  <c r="C63" i="22"/>
  <c r="E62" i="22"/>
  <c r="D62" i="22"/>
  <c r="C62" i="22"/>
  <c r="E61" i="22"/>
  <c r="D61" i="22"/>
  <c r="C61" i="22"/>
  <c r="E60" i="22"/>
  <c r="D60" i="22"/>
  <c r="C60" i="22"/>
  <c r="E59" i="22"/>
  <c r="D59" i="22"/>
  <c r="C59" i="22"/>
  <c r="E58" i="22"/>
  <c r="D58" i="22"/>
  <c r="C58" i="22"/>
  <c r="E57" i="22"/>
  <c r="D57" i="22"/>
  <c r="C57" i="22"/>
  <c r="E56" i="22"/>
  <c r="D56" i="22"/>
  <c r="C56" i="22"/>
  <c r="E55" i="22"/>
  <c r="D55" i="22"/>
  <c r="C55" i="22"/>
  <c r="E54" i="22"/>
  <c r="D54" i="22"/>
  <c r="C54" i="22"/>
  <c r="E53" i="22"/>
  <c r="D53" i="22"/>
  <c r="C53" i="22"/>
  <c r="E52" i="22"/>
  <c r="D52" i="22"/>
  <c r="C52" i="22"/>
  <c r="E51" i="22"/>
  <c r="D51" i="22"/>
  <c r="C51" i="22"/>
  <c r="E50" i="22"/>
  <c r="D50" i="22"/>
  <c r="C50" i="22"/>
  <c r="E49" i="22"/>
  <c r="D49" i="22"/>
  <c r="C49" i="22"/>
  <c r="E48" i="22"/>
  <c r="D48" i="22"/>
  <c r="C48" i="22"/>
  <c r="E47" i="22"/>
  <c r="D47" i="22"/>
  <c r="C47" i="22"/>
  <c r="E46" i="22"/>
  <c r="D46" i="22"/>
  <c r="C46" i="22"/>
  <c r="E45" i="22"/>
  <c r="D45" i="22"/>
  <c r="C45" i="22"/>
  <c r="E44" i="22"/>
  <c r="D44" i="22"/>
  <c r="C44" i="22"/>
  <c r="E43" i="22"/>
  <c r="D43" i="22"/>
  <c r="C43" i="22"/>
  <c r="E42" i="22"/>
  <c r="D42" i="22"/>
  <c r="C42" i="22"/>
  <c r="E41" i="22"/>
  <c r="D41" i="22"/>
  <c r="C41" i="22"/>
  <c r="E40" i="22"/>
  <c r="D40" i="22"/>
  <c r="C40" i="22"/>
  <c r="E39" i="22"/>
  <c r="D39" i="22"/>
  <c r="C39" i="22"/>
  <c r="E38" i="22"/>
  <c r="D38" i="22"/>
  <c r="C38" i="22"/>
  <c r="E37" i="22"/>
  <c r="D37" i="22"/>
  <c r="C37" i="22"/>
  <c r="E36" i="22"/>
  <c r="D36" i="22"/>
  <c r="C36" i="22"/>
  <c r="E35" i="22"/>
  <c r="D35" i="22"/>
  <c r="C35" i="22"/>
  <c r="E34" i="22"/>
  <c r="D34" i="22"/>
  <c r="C34" i="22"/>
  <c r="E33" i="22"/>
  <c r="D33" i="22"/>
  <c r="C33" i="22"/>
  <c r="E32" i="22"/>
  <c r="D32" i="22"/>
  <c r="C32" i="22"/>
  <c r="E31" i="22"/>
  <c r="D31" i="22"/>
  <c r="C31" i="22"/>
  <c r="E30" i="22"/>
  <c r="D30" i="22"/>
  <c r="C30" i="22"/>
  <c r="E29" i="22"/>
  <c r="D29" i="22"/>
  <c r="C29" i="22"/>
  <c r="E28" i="22"/>
  <c r="D28" i="22"/>
  <c r="C28" i="22"/>
  <c r="E27" i="22"/>
  <c r="D27" i="22"/>
  <c r="C27" i="22"/>
  <c r="E26" i="22"/>
  <c r="D26" i="22"/>
  <c r="C26" i="22"/>
  <c r="E25" i="22"/>
  <c r="D25" i="22"/>
  <c r="E24" i="22"/>
  <c r="D24" i="22"/>
  <c r="C24" i="22"/>
  <c r="E23" i="22"/>
  <c r="D23" i="22"/>
  <c r="C23" i="22"/>
  <c r="E22" i="22"/>
  <c r="D22" i="22"/>
  <c r="C22" i="22"/>
  <c r="E21" i="22"/>
  <c r="D21" i="22"/>
  <c r="C21" i="22"/>
  <c r="E20" i="22"/>
  <c r="D20" i="22"/>
  <c r="C20" i="22"/>
  <c r="D8" i="22"/>
  <c r="G7" i="21" l="1"/>
  <c r="H7" i="21" s="1"/>
  <c r="D233" i="21"/>
  <c r="G7" i="22"/>
  <c r="G20" i="21"/>
  <c r="H20" i="21" s="1"/>
  <c r="D229" i="21"/>
  <c r="F205" i="21"/>
  <c r="E229" i="21"/>
  <c r="G229" i="21" s="1"/>
  <c r="H229" i="21" s="1"/>
  <c r="E205" i="21"/>
  <c r="G205" i="21" s="1"/>
  <c r="H205" i="21" s="1"/>
  <c r="H54" i="21"/>
  <c r="F217" i="21"/>
  <c r="G217" i="21" s="1"/>
  <c r="H217" i="21" s="1"/>
  <c r="F253" i="21"/>
  <c r="G253" i="21" s="1"/>
  <c r="H253" i="21" s="1"/>
  <c r="D213" i="21"/>
  <c r="E249" i="21"/>
  <c r="G249" i="21" s="1"/>
  <c r="H249" i="21" s="1"/>
  <c r="E213" i="21"/>
  <c r="G213" i="21" s="1"/>
  <c r="H213" i="21" s="1"/>
  <c r="H48" i="21"/>
  <c r="H44" i="21"/>
  <c r="H46" i="21"/>
  <c r="G50" i="21"/>
  <c r="H50" i="21" s="1"/>
  <c r="H22" i="21"/>
  <c r="E221" i="21"/>
  <c r="G221" i="21" s="1"/>
  <c r="H221" i="21" s="1"/>
  <c r="G8" i="21"/>
  <c r="H8" i="21" s="1"/>
  <c r="G31" i="21"/>
  <c r="H31" i="21" s="1"/>
  <c r="G24" i="21"/>
  <c r="H24" i="21" s="1"/>
  <c r="D253" i="21"/>
  <c r="G26" i="21"/>
  <c r="H26" i="21" s="1"/>
  <c r="E185" i="21"/>
  <c r="F185" i="21"/>
  <c r="H58" i="21"/>
  <c r="G23" i="21"/>
  <c r="H23" i="21" s="1"/>
  <c r="D293" i="21"/>
  <c r="E169" i="21"/>
  <c r="G169" i="21" s="1"/>
  <c r="H169" i="21" s="1"/>
  <c r="D169" i="21"/>
  <c r="G52" i="21"/>
  <c r="H52" i="21" s="1"/>
  <c r="D221" i="21"/>
  <c r="G10" i="21"/>
  <c r="H10" i="21" s="1"/>
  <c r="H80" i="21"/>
  <c r="G43" i="21"/>
  <c r="H43" i="21" s="1"/>
  <c r="H40" i="21"/>
  <c r="G197" i="21"/>
  <c r="H197" i="21" s="1"/>
  <c r="G82" i="21"/>
  <c r="H82" i="21" s="1"/>
  <c r="E41" i="21"/>
  <c r="G41" i="21" s="1"/>
  <c r="H41" i="21" s="1"/>
  <c r="H38" i="21"/>
  <c r="D41" i="21"/>
  <c r="G28" i="21"/>
  <c r="H28" i="21" s="1"/>
  <c r="G42" i="21"/>
  <c r="H42" i="21" s="1"/>
  <c r="F293" i="21"/>
  <c r="G293" i="21" s="1"/>
  <c r="H293" i="21" s="1"/>
  <c r="E37" i="21"/>
  <c r="G37" i="21" s="1"/>
  <c r="H37" i="21" s="1"/>
  <c r="D37" i="21"/>
  <c r="E301" i="21"/>
  <c r="F301" i="21"/>
  <c r="D301" i="21"/>
  <c r="F289" i="21"/>
  <c r="E289" i="21"/>
  <c r="D289" i="21"/>
  <c r="F285" i="21"/>
  <c r="E285" i="21"/>
  <c r="D285" i="21"/>
  <c r="F281" i="21"/>
  <c r="D281" i="21"/>
  <c r="E281" i="21"/>
  <c r="E277" i="21"/>
  <c r="F277" i="21"/>
  <c r="D277" i="21"/>
  <c r="F257" i="21"/>
  <c r="D257" i="21"/>
  <c r="E257" i="21"/>
  <c r="E269" i="21"/>
  <c r="F269" i="21"/>
  <c r="D269" i="21"/>
  <c r="F273" i="21"/>
  <c r="D273" i="21"/>
  <c r="E273" i="21"/>
  <c r="F265" i="21"/>
  <c r="D265" i="21"/>
  <c r="E265" i="21"/>
  <c r="F261" i="21"/>
  <c r="D261" i="21"/>
  <c r="E261" i="21"/>
  <c r="E241" i="21"/>
  <c r="D241" i="21"/>
  <c r="F241" i="21"/>
  <c r="E245" i="21"/>
  <c r="D245" i="21"/>
  <c r="F245" i="21"/>
  <c r="F237" i="21"/>
  <c r="E237" i="21"/>
  <c r="D237" i="21"/>
  <c r="G233" i="21"/>
  <c r="H233" i="21" s="1"/>
  <c r="F165" i="21"/>
  <c r="D165" i="21"/>
  <c r="E165" i="21"/>
  <c r="F177" i="21"/>
  <c r="E177" i="21"/>
  <c r="D177" i="21"/>
  <c r="F193" i="21"/>
  <c r="D193" i="21"/>
  <c r="E193" i="21"/>
  <c r="F189" i="21"/>
  <c r="D189" i="21"/>
  <c r="E189" i="21"/>
  <c r="F209" i="21"/>
  <c r="E209" i="21"/>
  <c r="D209" i="21"/>
  <c r="F161" i="21"/>
  <c r="E161" i="21"/>
  <c r="D161" i="21"/>
  <c r="F225" i="21"/>
  <c r="E225" i="21"/>
  <c r="D225" i="21"/>
  <c r="E201" i="21"/>
  <c r="F201" i="21"/>
  <c r="D201" i="21"/>
  <c r="F173" i="21"/>
  <c r="E173" i="21"/>
  <c r="D173" i="21"/>
  <c r="F181" i="21"/>
  <c r="D181" i="21"/>
  <c r="E181" i="21"/>
  <c r="F129" i="21"/>
  <c r="E129" i="21"/>
  <c r="D129" i="21"/>
  <c r="F133" i="21"/>
  <c r="E133" i="21"/>
  <c r="D133" i="21"/>
  <c r="F153" i="21"/>
  <c r="E153" i="21"/>
  <c r="D153" i="21"/>
  <c r="F101" i="21"/>
  <c r="E101" i="21"/>
  <c r="D101" i="21"/>
  <c r="E109" i="21"/>
  <c r="F109" i="21"/>
  <c r="D109" i="21"/>
  <c r="F121" i="21"/>
  <c r="E121" i="21"/>
  <c r="D121" i="21"/>
  <c r="F89" i="21"/>
  <c r="E89" i="21"/>
  <c r="D89" i="21"/>
  <c r="F137" i="21"/>
  <c r="E137" i="21"/>
  <c r="D137" i="21"/>
  <c r="E113" i="21"/>
  <c r="F113" i="21"/>
  <c r="D113" i="21"/>
  <c r="F157" i="21"/>
  <c r="E157" i="21"/>
  <c r="D157" i="21"/>
  <c r="F141" i="21"/>
  <c r="E141" i="21"/>
  <c r="D141" i="21"/>
  <c r="D97" i="21"/>
  <c r="F97" i="21"/>
  <c r="E97" i="21"/>
  <c r="F149" i="21"/>
  <c r="E149" i="21"/>
  <c r="D149" i="21"/>
  <c r="F117" i="21"/>
  <c r="E117" i="21"/>
  <c r="D117" i="21"/>
  <c r="F125" i="21"/>
  <c r="E125" i="21"/>
  <c r="D125" i="21"/>
  <c r="F145" i="21"/>
  <c r="E145" i="21"/>
  <c r="D145" i="21"/>
  <c r="F85" i="21"/>
  <c r="D85" i="21"/>
  <c r="E85" i="21"/>
  <c r="E105" i="21"/>
  <c r="F105" i="21"/>
  <c r="D105" i="21"/>
  <c r="F93" i="21"/>
  <c r="E93" i="21"/>
  <c r="D93" i="21"/>
  <c r="F77" i="21"/>
  <c r="E77" i="21"/>
  <c r="D77" i="21"/>
  <c r="F73" i="21"/>
  <c r="E73" i="21"/>
  <c r="D73" i="21"/>
  <c r="E81" i="21"/>
  <c r="F81" i="21"/>
  <c r="D81" i="21"/>
  <c r="E69" i="21"/>
  <c r="D69" i="21"/>
  <c r="F69" i="21"/>
  <c r="F61" i="21"/>
  <c r="E61" i="21"/>
  <c r="D61" i="21"/>
  <c r="F65" i="21"/>
  <c r="E65" i="21"/>
  <c r="D65" i="21"/>
  <c r="F57" i="21"/>
  <c r="E57" i="21"/>
  <c r="D57" i="21"/>
  <c r="E53" i="21"/>
  <c r="F53" i="21"/>
  <c r="D53" i="21"/>
  <c r="F49" i="21"/>
  <c r="E49" i="21"/>
  <c r="D49" i="21"/>
  <c r="E45" i="21"/>
  <c r="F45" i="21"/>
  <c r="D45" i="21"/>
  <c r="F33" i="21"/>
  <c r="E33" i="21"/>
  <c r="D33" i="21"/>
  <c r="E29" i="21"/>
  <c r="D29" i="21"/>
  <c r="F29" i="21"/>
  <c r="E25" i="21"/>
  <c r="F25" i="21"/>
  <c r="D25" i="21"/>
  <c r="D21" i="21"/>
  <c r="F21" i="21"/>
  <c r="E21" i="21"/>
  <c r="F17" i="21"/>
  <c r="E17" i="21"/>
  <c r="D17" i="21"/>
  <c r="E9" i="21"/>
  <c r="F9" i="21"/>
  <c r="D9" i="21"/>
  <c r="F20" i="22"/>
  <c r="G20" i="22" s="1"/>
  <c r="F73" i="22"/>
  <c r="G73" i="22" s="1"/>
  <c r="F76" i="22"/>
  <c r="G76" i="22" s="1"/>
  <c r="F80" i="22"/>
  <c r="G80" i="22" s="1"/>
  <c r="F22" i="22"/>
  <c r="G22" i="22" s="1"/>
  <c r="F25" i="22"/>
  <c r="G25" i="22" s="1"/>
  <c r="F28" i="22"/>
  <c r="G28" i="22" s="1"/>
  <c r="F75" i="22"/>
  <c r="G75" i="22" s="1"/>
  <c r="F78" i="22"/>
  <c r="G78" i="22" s="1"/>
  <c r="F38" i="22"/>
  <c r="G38" i="22" s="1"/>
  <c r="F68" i="22"/>
  <c r="G68" i="22" s="1"/>
  <c r="F74" i="22"/>
  <c r="G74" i="22" s="1"/>
  <c r="F24" i="22"/>
  <c r="G24" i="22" s="1"/>
  <c r="F30" i="22"/>
  <c r="G30" i="22" s="1"/>
  <c r="F54" i="22"/>
  <c r="G54" i="22" s="1"/>
  <c r="F60" i="22"/>
  <c r="G60" i="22" s="1"/>
  <c r="F66" i="22"/>
  <c r="G66" i="22" s="1"/>
  <c r="F33" i="22"/>
  <c r="G33" i="22" s="1"/>
  <c r="F37" i="22"/>
  <c r="G37" i="22" s="1"/>
  <c r="F41" i="22"/>
  <c r="G41" i="22" s="1"/>
  <c r="F49" i="22"/>
  <c r="G49" i="22" s="1"/>
  <c r="F46" i="22"/>
  <c r="G46" i="22" s="1"/>
  <c r="F62" i="22"/>
  <c r="G62" i="22" s="1"/>
  <c r="F70" i="22"/>
  <c r="G70" i="22" s="1"/>
  <c r="F35" i="22"/>
  <c r="G35" i="22" s="1"/>
  <c r="F39" i="22"/>
  <c r="G39" i="22" s="1"/>
  <c r="F43" i="22"/>
  <c r="G43" i="22" s="1"/>
  <c r="F55" i="22"/>
  <c r="G55" i="22" s="1"/>
  <c r="F59" i="22"/>
  <c r="G59" i="22" s="1"/>
  <c r="F63" i="22"/>
  <c r="G63" i="22" s="1"/>
  <c r="F36" i="22"/>
  <c r="G36" i="22" s="1"/>
  <c r="F40" i="22"/>
  <c r="G40" i="22" s="1"/>
  <c r="F44" i="22"/>
  <c r="G44" i="22" s="1"/>
  <c r="F52" i="22"/>
  <c r="G52" i="22" s="1"/>
  <c r="F21" i="22"/>
  <c r="G21" i="22" s="1"/>
  <c r="F47" i="22"/>
  <c r="G47" i="22" s="1"/>
  <c r="F51" i="22"/>
  <c r="G51" i="22" s="1"/>
  <c r="F69" i="22"/>
  <c r="G69" i="22" s="1"/>
  <c r="F29" i="22"/>
  <c r="G29" i="22" s="1"/>
  <c r="F45" i="22"/>
  <c r="G45" i="22" s="1"/>
  <c r="F34" i="22"/>
  <c r="G34" i="22" s="1"/>
  <c r="F56" i="22"/>
  <c r="G56" i="22" s="1"/>
  <c r="F67" i="22"/>
  <c r="G67" i="22" s="1"/>
  <c r="F23" i="22"/>
  <c r="G23" i="22" s="1"/>
  <c r="F27" i="22"/>
  <c r="G27" i="22" s="1"/>
  <c r="F53" i="22"/>
  <c r="G53" i="22" s="1"/>
  <c r="F31" i="22"/>
  <c r="G31" i="22" s="1"/>
  <c r="F71" i="22"/>
  <c r="G71" i="22" s="1"/>
  <c r="F57" i="22"/>
  <c r="G57" i="22" s="1"/>
  <c r="F50" i="22"/>
  <c r="G50" i="22" s="1"/>
  <c r="F61" i="22"/>
  <c r="G61" i="22" s="1"/>
  <c r="F65" i="22"/>
  <c r="G65" i="22" s="1"/>
  <c r="F72" i="22"/>
  <c r="G72" i="22" s="1"/>
  <c r="F77" i="22"/>
  <c r="G77" i="22" s="1"/>
  <c r="F32" i="22"/>
  <c r="G32" i="22" s="1"/>
  <c r="F48" i="22"/>
  <c r="G48" i="22" s="1"/>
  <c r="F64" i="22"/>
  <c r="G64" i="22" s="1"/>
  <c r="F26" i="22"/>
  <c r="G26" i="22" s="1"/>
  <c r="F42" i="22"/>
  <c r="G42" i="22" s="1"/>
  <c r="F58" i="22"/>
  <c r="G58" i="22" s="1"/>
  <c r="G97" i="21" l="1"/>
  <c r="H97" i="21" s="1"/>
  <c r="G193" i="21"/>
  <c r="H193" i="21" s="1"/>
  <c r="G237" i="21"/>
  <c r="H237" i="21" s="1"/>
  <c r="G225" i="21"/>
  <c r="H225" i="21" s="1"/>
  <c r="G181" i="21"/>
  <c r="H181" i="21" s="1"/>
  <c r="G185" i="21"/>
  <c r="H185" i="21" s="1"/>
  <c r="G173" i="21"/>
  <c r="H173" i="21" s="1"/>
  <c r="G29" i="21"/>
  <c r="H29" i="21" s="1"/>
  <c r="G189" i="21"/>
  <c r="H189" i="21" s="1"/>
  <c r="G49" i="21"/>
  <c r="H49" i="21" s="1"/>
  <c r="G61" i="21"/>
  <c r="H61" i="21" s="1"/>
  <c r="G77" i="21"/>
  <c r="H77" i="21" s="1"/>
  <c r="G145" i="21"/>
  <c r="H145" i="21" s="1"/>
  <c r="G137" i="21"/>
  <c r="H137" i="21" s="1"/>
  <c r="G101" i="21"/>
  <c r="H101" i="21" s="1"/>
  <c r="G161" i="21"/>
  <c r="H161" i="21" s="1"/>
  <c r="G93" i="21"/>
  <c r="H93" i="21" s="1"/>
  <c r="G89" i="21"/>
  <c r="H89" i="21" s="1"/>
  <c r="G177" i="21"/>
  <c r="H177" i="21" s="1"/>
  <c r="G17" i="21"/>
  <c r="H17" i="21" s="1"/>
  <c r="G33" i="21"/>
  <c r="H33" i="21" s="1"/>
  <c r="G117" i="21"/>
  <c r="H117" i="21" s="1"/>
  <c r="G157" i="21"/>
  <c r="H157" i="21" s="1"/>
  <c r="G133" i="21"/>
  <c r="H133" i="21" s="1"/>
  <c r="G285" i="21"/>
  <c r="H285" i="21" s="1"/>
  <c r="G85" i="21"/>
  <c r="H85" i="21" s="1"/>
  <c r="G261" i="21"/>
  <c r="H261" i="21" s="1"/>
  <c r="G257" i="21"/>
  <c r="H257" i="21" s="1"/>
  <c r="G65" i="21"/>
  <c r="H65" i="21" s="1"/>
  <c r="G149" i="21"/>
  <c r="H149" i="21" s="1"/>
  <c r="G129" i="21"/>
  <c r="H129" i="21" s="1"/>
  <c r="G289" i="21"/>
  <c r="H289" i="21" s="1"/>
  <c r="G9" i="21"/>
  <c r="H9" i="21" s="1"/>
  <c r="G245" i="21"/>
  <c r="H245" i="21" s="1"/>
  <c r="G269" i="21"/>
  <c r="H269" i="21" s="1"/>
  <c r="G201" i="21"/>
  <c r="H201" i="21" s="1"/>
  <c r="G241" i="21"/>
  <c r="H241" i="21" s="1"/>
  <c r="G113" i="21"/>
  <c r="H113" i="21" s="1"/>
  <c r="G105" i="21"/>
  <c r="H105" i="21" s="1"/>
  <c r="G165" i="21"/>
  <c r="H165" i="21" s="1"/>
  <c r="G281" i="21"/>
  <c r="H281" i="21" s="1"/>
  <c r="G25" i="21"/>
  <c r="H25" i="21" s="1"/>
  <c r="G141" i="21"/>
  <c r="H141" i="21" s="1"/>
  <c r="G265" i="21"/>
  <c r="H265" i="21" s="1"/>
  <c r="G301" i="21"/>
  <c r="H301" i="21" s="1"/>
  <c r="G273" i="21"/>
  <c r="H273" i="21" s="1"/>
  <c r="G277" i="21"/>
  <c r="H277" i="21" s="1"/>
  <c r="G209" i="21"/>
  <c r="H209" i="21" s="1"/>
  <c r="G125" i="21"/>
  <c r="H125" i="21" s="1"/>
  <c r="G121" i="21"/>
  <c r="H121" i="21" s="1"/>
  <c r="G153" i="21"/>
  <c r="H153" i="21" s="1"/>
  <c r="G109" i="21"/>
  <c r="H109" i="21" s="1"/>
  <c r="G73" i="21"/>
  <c r="H73" i="21" s="1"/>
  <c r="G69" i="21"/>
  <c r="H69" i="21" s="1"/>
  <c r="G81" i="21"/>
  <c r="H81" i="21" s="1"/>
  <c r="G57" i="21"/>
  <c r="H57" i="21" s="1"/>
  <c r="G53" i="21"/>
  <c r="H53" i="21" s="1"/>
  <c r="G45" i="21"/>
  <c r="H45" i="21" s="1"/>
  <c r="G21" i="21"/>
  <c r="H21" i="21" s="1"/>
  <c r="E8" i="22"/>
  <c r="F8" i="22" s="1"/>
  <c r="C8" i="22"/>
  <c r="B8" i="22"/>
  <c r="C9" i="22"/>
  <c r="D9" i="22"/>
  <c r="E9" i="22"/>
  <c r="F9" i="22" l="1"/>
  <c r="G9" i="22" s="1"/>
  <c r="G8" i="22"/>
  <c r="F14" i="21"/>
  <c r="E14" i="21"/>
  <c r="D14" i="21"/>
  <c r="C14" i="21"/>
  <c r="F12" i="21"/>
  <c r="E12" i="21"/>
  <c r="D12" i="21"/>
  <c r="C12" i="21"/>
  <c r="F11" i="21"/>
  <c r="E11" i="21"/>
  <c r="D11" i="21"/>
  <c r="C11" i="21"/>
  <c r="C13" i="21" l="1"/>
  <c r="D13" i="21" s="1"/>
  <c r="G11" i="21"/>
  <c r="H11" i="21" s="1"/>
  <c r="G14" i="21"/>
  <c r="H14" i="21" s="1"/>
  <c r="G12" i="21"/>
  <c r="H12" i="21" s="1"/>
  <c r="C19" i="22"/>
  <c r="C18" i="22"/>
  <c r="C17" i="22"/>
  <c r="C16" i="22"/>
  <c r="C15" i="22"/>
  <c r="C14" i="22"/>
  <c r="C13" i="22"/>
  <c r="C12" i="22"/>
  <c r="C11" i="22"/>
  <c r="C10" i="22"/>
  <c r="E13" i="21" l="1"/>
  <c r="F13" i="21"/>
  <c r="E19" i="22"/>
  <c r="D19" i="22"/>
  <c r="E18" i="22"/>
  <c r="D18" i="22"/>
  <c r="E17" i="22"/>
  <c r="D17" i="22"/>
  <c r="F17" i="22" s="1"/>
  <c r="E16" i="22"/>
  <c r="D16" i="22"/>
  <c r="F16" i="22" s="1"/>
  <c r="E15" i="22"/>
  <c r="D15" i="22"/>
  <c r="F15" i="22" s="1"/>
  <c r="E14" i="22"/>
  <c r="D14" i="22"/>
  <c r="E13" i="22"/>
  <c r="D13" i="22"/>
  <c r="E12" i="22"/>
  <c r="D12" i="22"/>
  <c r="E11" i="22"/>
  <c r="D11" i="22"/>
  <c r="E10" i="22"/>
  <c r="D10" i="22"/>
  <c r="C305" i="21"/>
  <c r="C312" i="21" s="1"/>
  <c r="C303" i="21"/>
  <c r="F19" i="22" l="1"/>
  <c r="G19" i="22" s="1"/>
  <c r="G13" i="21"/>
  <c r="H13" i="21" s="1"/>
  <c r="F13" i="22"/>
  <c r="G13" i="22" s="1"/>
  <c r="F11" i="22"/>
  <c r="G11" i="22" s="1"/>
  <c r="G17" i="22"/>
  <c r="G15" i="22"/>
  <c r="F18" i="22"/>
  <c r="G18" i="22" s="1"/>
  <c r="G16" i="22"/>
  <c r="F14" i="22"/>
  <c r="G14" i="22" s="1"/>
  <c r="F12" i="22"/>
  <c r="G12" i="22" s="1"/>
  <c r="B81" i="22"/>
  <c r="D81" i="22" s="1"/>
  <c r="C306" i="21"/>
  <c r="F305" i="21"/>
  <c r="F312" i="21" s="1"/>
  <c r="D305" i="21"/>
  <c r="D312" i="21" s="1"/>
  <c r="E305" i="21"/>
  <c r="C304" i="21"/>
  <c r="D304" i="21" s="1"/>
  <c r="D303" i="21"/>
  <c r="E303" i="21"/>
  <c r="F303" i="21"/>
  <c r="F10" i="22"/>
  <c r="G10" i="22" s="1"/>
  <c r="C313" i="21" l="1"/>
  <c r="C314" i="21" s="1"/>
  <c r="F306" i="21"/>
  <c r="F313" i="21" s="1"/>
  <c r="F314" i="21" s="1"/>
  <c r="C81" i="22"/>
  <c r="E81" i="22"/>
  <c r="E306" i="21"/>
  <c r="E313" i="21" s="1"/>
  <c r="D306" i="21"/>
  <c r="D313" i="21" s="1"/>
  <c r="E304" i="21"/>
  <c r="F304" i="21"/>
  <c r="G305" i="21"/>
  <c r="E312" i="21"/>
  <c r="G303" i="21"/>
  <c r="H303" i="21" s="1"/>
  <c r="D314" i="21" l="1"/>
  <c r="E314" i="21"/>
  <c r="G314" i="21" s="1"/>
  <c r="H314" i="21" s="1"/>
  <c r="F81" i="22"/>
  <c r="G81" i="22" s="1"/>
  <c r="G306" i="21"/>
  <c r="G313" i="21" s="1"/>
  <c r="G304" i="21"/>
  <c r="H304" i="21" s="1"/>
  <c r="H305" i="21"/>
  <c r="H312" i="21" s="1"/>
  <c r="G312" i="21"/>
  <c r="B67" i="17"/>
  <c r="B68" i="17" s="1"/>
  <c r="B53" i="17"/>
  <c r="B54" i="17" s="1"/>
  <c r="B67" i="16"/>
  <c r="B68" i="16" s="1"/>
  <c r="B53" i="16"/>
  <c r="B54" i="16" s="1"/>
  <c r="B67" i="15"/>
  <c r="B68" i="15" s="1"/>
  <c r="B53" i="15"/>
  <c r="B54" i="15" s="1"/>
  <c r="B67" i="14"/>
  <c r="B68" i="14" s="1"/>
  <c r="B53" i="14"/>
  <c r="B54" i="14" s="1"/>
  <c r="B67" i="13"/>
  <c r="B68" i="13" s="1"/>
  <c r="B53" i="13"/>
  <c r="B54" i="13" s="1"/>
  <c r="B68" i="6"/>
  <c r="H306" i="21" l="1"/>
  <c r="H313" i="21" s="1"/>
  <c r="B67" i="12"/>
  <c r="B68" i="12" s="1"/>
  <c r="B53" i="12"/>
  <c r="B54" i="12" s="1"/>
  <c r="B67" i="11"/>
  <c r="B68" i="11" s="1"/>
  <c r="B53" i="11"/>
  <c r="B54" i="11" s="1"/>
  <c r="B67" i="10"/>
  <c r="B68" i="10" s="1"/>
  <c r="B53" i="10"/>
  <c r="B54" i="10" s="1"/>
  <c r="B67" i="7"/>
  <c r="B68" i="7" s="1"/>
  <c r="B53" i="7"/>
  <c r="B54" i="7" s="1"/>
  <c r="B67" i="9"/>
  <c r="B68" i="9" s="1"/>
  <c r="B53" i="9"/>
  <c r="B54" i="9" s="1"/>
  <c r="B69" i="6"/>
  <c r="B53" i="6"/>
  <c r="B54" i="6" s="1"/>
  <c r="B67" i="5" l="1"/>
  <c r="B68" i="5" s="1"/>
  <c r="B53" i="5"/>
  <c r="B54" i="5" s="1"/>
  <c r="B67" i="8" l="1"/>
  <c r="B68" i="8" s="1"/>
  <c r="B53" i="8" l="1"/>
  <c r="B54" i="8" s="1"/>
</calcChain>
</file>

<file path=xl/sharedStrings.xml><?xml version="1.0" encoding="utf-8"?>
<sst xmlns="http://schemas.openxmlformats.org/spreadsheetml/2006/main" count="1532" uniqueCount="133">
  <si>
    <t>Medido</t>
  </si>
  <si>
    <t>Indicado</t>
  </si>
  <si>
    <t>Inferido</t>
  </si>
  <si>
    <t>Total</t>
  </si>
  <si>
    <t>Veta</t>
  </si>
  <si>
    <t>Cutoff</t>
  </si>
  <si>
    <t>Recursos</t>
  </si>
  <si>
    <t>Toneladas</t>
  </si>
  <si>
    <t>Ag</t>
  </si>
  <si>
    <t>Au</t>
  </si>
  <si>
    <t>Ag Eq</t>
  </si>
  <si>
    <t>t</t>
  </si>
  <si>
    <t>g/t</t>
  </si>
  <si>
    <t>M Oz</t>
  </si>
  <si>
    <t>Total Vetas</t>
  </si>
  <si>
    <t>Medidos</t>
  </si>
  <si>
    <t>Inferidos</t>
  </si>
  <si>
    <t>Nota: Los recursos incluyen a las reservas, ninguna perdida de mineral o dilucion han sido incluidas.</t>
  </si>
  <si>
    <t>Recursos Minerales</t>
  </si>
  <si>
    <t>Tonelaje</t>
  </si>
  <si>
    <t>Resumen Inmaculada</t>
  </si>
  <si>
    <t>Medido &amp; Indicado</t>
  </si>
  <si>
    <t>Total MII</t>
  </si>
  <si>
    <t>VP Ag</t>
  </si>
  <si>
    <t>$/g</t>
  </si>
  <si>
    <t>VP Au</t>
  </si>
  <si>
    <t>Cutoff Marg</t>
  </si>
  <si>
    <t>$/t</t>
  </si>
  <si>
    <t>g/t Ag Equivalente</t>
  </si>
  <si>
    <t>Ratio</t>
  </si>
  <si>
    <t>MED</t>
  </si>
  <si>
    <t>Weight</t>
  </si>
  <si>
    <t>Std.Dev.</t>
  </si>
  <si>
    <t>IND</t>
  </si>
  <si>
    <t>INF</t>
  </si>
  <si>
    <t>MED+IND</t>
  </si>
  <si>
    <t>MED+IND+INF</t>
  </si>
  <si>
    <t>Veta Lizina</t>
  </si>
  <si>
    <t>Veta Lola</t>
  </si>
  <si>
    <t>Veta Olga</t>
  </si>
  <si>
    <t>Veta Lady</t>
  </si>
  <si>
    <t>Veta Rosy</t>
  </si>
  <si>
    <t>Veta Gera</t>
  </si>
  <si>
    <t>Veta Naty</t>
  </si>
  <si>
    <t>Veta Nora</t>
  </si>
  <si>
    <t>Veta Ross</t>
  </si>
  <si>
    <t>Veta Diana</t>
  </si>
  <si>
    <t>Veta Lady Norte</t>
  </si>
  <si>
    <t>Veta Peta</t>
  </si>
  <si>
    <t>Pot</t>
  </si>
  <si>
    <t>VLPD</t>
  </si>
  <si>
    <t>AGD</t>
  </si>
  <si>
    <t>AUD</t>
  </si>
  <si>
    <t>Veta Xiomara</t>
  </si>
  <si>
    <t>Veta Veronica</t>
  </si>
  <si>
    <t>Veta Tula</t>
  </si>
  <si>
    <t>Veta Tensional Lourdes</t>
  </si>
  <si>
    <t>Veta Tensional Lourdes II</t>
  </si>
  <si>
    <t>Veta Thalia Techo</t>
  </si>
  <si>
    <t>Veta Thalia</t>
  </si>
  <si>
    <t>Veta Tensional</t>
  </si>
  <si>
    <t>Veta Susana-Beatriz</t>
  </si>
  <si>
    <t>Sigmoide Susana Beatriz</t>
  </si>
  <si>
    <t>Veta Split Salvador</t>
  </si>
  <si>
    <t>Veta Splay Angela</t>
  </si>
  <si>
    <t>Veta Shakira Oeste</t>
  </si>
  <si>
    <t>Veta Shakira Este</t>
  </si>
  <si>
    <t>Veta Sheyla</t>
  </si>
  <si>
    <t>Veta Sandra</t>
  </si>
  <si>
    <t>Veta Salvador</t>
  </si>
  <si>
    <t>Veta Rubi</t>
  </si>
  <si>
    <t>Veta Rosario</t>
  </si>
  <si>
    <t>Ramal Piso Angela NE</t>
  </si>
  <si>
    <t>Veta Pilar</t>
  </si>
  <si>
    <t>Veta Perla</t>
  </si>
  <si>
    <t>Veta Noelia</t>
  </si>
  <si>
    <t>Veta Millet SB</t>
  </si>
  <si>
    <t>Veta Mirella</t>
  </si>
  <si>
    <t>Veta Martha</t>
  </si>
  <si>
    <t>Veta Lupe</t>
  </si>
  <si>
    <t>Veta Lourdes</t>
  </si>
  <si>
    <t>Veta Lucy II</t>
  </si>
  <si>
    <t>Veta Lucy</t>
  </si>
  <si>
    <t>Veta Lucrecia</t>
  </si>
  <si>
    <t>Veta Luciana</t>
  </si>
  <si>
    <t>Veta Lady Sur</t>
  </si>
  <si>
    <t>Veta Keyla</t>
  </si>
  <si>
    <t>Veta Juliana Sur</t>
  </si>
  <si>
    <t>Veta Juliana</t>
  </si>
  <si>
    <t>Veta Jose</t>
  </si>
  <si>
    <t>Veta Juliana NE Techo</t>
  </si>
  <si>
    <t>Veta Juliana NE Split</t>
  </si>
  <si>
    <t>Veta Juliana NE Piso</t>
  </si>
  <si>
    <t>Veta Juliana NE</t>
  </si>
  <si>
    <t>Veta Angela SB</t>
  </si>
  <si>
    <t>Veta Extension Millet</t>
  </si>
  <si>
    <t>Veta Dora</t>
  </si>
  <si>
    <t>Veta Divina SB</t>
  </si>
  <si>
    <t>Veta Cimoide Angela SW</t>
  </si>
  <si>
    <t>Veta Brenda</t>
  </si>
  <si>
    <t>Veta Bety</t>
  </si>
  <si>
    <t>Veta Barbara</t>
  </si>
  <si>
    <t>Veta Angela NE_Split2</t>
  </si>
  <si>
    <t>Veta Angela NE_Split1</t>
  </si>
  <si>
    <t>Ramal 7- Angela</t>
  </si>
  <si>
    <t>Ramal 6 - Angela</t>
  </si>
  <si>
    <t>Ramal 5 - Angela</t>
  </si>
  <si>
    <t>Ramal 4 - Angela</t>
  </si>
  <si>
    <t>Ramal 3 - Angela</t>
  </si>
  <si>
    <t>Ramal 2 - Angela</t>
  </si>
  <si>
    <t>Ramal 1 - Angela</t>
  </si>
  <si>
    <t>Veta Angela Conexion</t>
  </si>
  <si>
    <t>Veta Angela NE_SB</t>
  </si>
  <si>
    <t>Veta Alessandra</t>
  </si>
  <si>
    <t>Potd</t>
  </si>
  <si>
    <t>AgEqd</t>
  </si>
  <si>
    <t>Aud</t>
  </si>
  <si>
    <t>Agd</t>
  </si>
  <si>
    <t>Tond</t>
  </si>
  <si>
    <t>Estimar-v0.9.8.9_T2</t>
  </si>
  <si>
    <t>m</t>
  </si>
  <si>
    <t>Cutoff 131 g/t Ag Equivalente</t>
  </si>
  <si>
    <t>POTD</t>
  </si>
  <si>
    <t>Weight.1</t>
  </si>
  <si>
    <t>Std.Dev..1</t>
  </si>
  <si>
    <t>Weight.2</t>
  </si>
  <si>
    <t>Std.Dev..2</t>
  </si>
  <si>
    <t>Weight.3</t>
  </si>
  <si>
    <t>Std.Dev..3</t>
  </si>
  <si>
    <t xml:space="preserve">Recursos Minerales - Inmaculada - Diciembre 2023 </t>
  </si>
  <si>
    <t>Fecha: 25/12/2023</t>
  </si>
  <si>
    <t xml:space="preserve">Recursos Minerales Totales - Inmaculada - Diciembre 2023 </t>
  </si>
  <si>
    <t>Veta Cimoide 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</si>
</sst>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"/>
  </numFmts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2" fillId="0" borderId="0"/>
    <xf numFmtId="0" fontId="1" fillId="0" borderId="0"/>
  </cellStyleXfs>
  <cellXfs count="124">
    <xf numFmtId="0" fontId="0" fillId="0" borderId="0" xfId="0"/>
    <xf numFmtId="0" fontId="4" fillId="0" borderId="0" xfId="0" applyFont="1"/>
    <xf numFmtId="2" fontId="4" fillId="0" borderId="0" xfId="0" applyNumberFormat="1" applyFont="1" applyFill="1"/>
    <xf numFmtId="164" fontId="4" fillId="0" borderId="0" xfId="0" applyNumberFormat="1" applyFont="1"/>
    <xf numFmtId="0" fontId="0" fillId="3" borderId="0" xfId="0" applyFill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6" fillId="2" borderId="0" xfId="0" applyFont="1" applyFill="1" applyBorder="1" applyAlignment="1" applyProtection="1"/>
    <xf numFmtId="3" fontId="5" fillId="2" borderId="0" xfId="0" applyNumberFormat="1" applyFont="1" applyFill="1" applyBorder="1" applyAlignment="1" applyProtection="1"/>
    <xf numFmtId="0" fontId="5" fillId="2" borderId="0" xfId="0" applyFont="1" applyFill="1" applyBorder="1" applyAlignment="1" applyProtection="1">
      <alignment horizontal="right"/>
    </xf>
    <xf numFmtId="0" fontId="7" fillId="2" borderId="2" xfId="0" applyFont="1" applyFill="1" applyBorder="1" applyAlignment="1" applyProtection="1"/>
    <xf numFmtId="0" fontId="5" fillId="2" borderId="3" xfId="0" applyFont="1" applyFill="1" applyBorder="1" applyAlignment="1" applyProtection="1"/>
    <xf numFmtId="0" fontId="7" fillId="2" borderId="1" xfId="0" applyFont="1" applyFill="1" applyBorder="1" applyAlignment="1" applyProtection="1"/>
    <xf numFmtId="0" fontId="5" fillId="2" borderId="4" xfId="0" applyFont="1" applyFill="1" applyBorder="1" applyAlignment="1" applyProtection="1"/>
    <xf numFmtId="2" fontId="7" fillId="2" borderId="1" xfId="0" applyNumberFormat="1" applyFont="1" applyFill="1" applyBorder="1" applyAlignment="1" applyProtection="1"/>
    <xf numFmtId="0" fontId="5" fillId="0" borderId="5" xfId="0" applyFont="1" applyFill="1" applyBorder="1" applyAlignment="1" applyProtection="1"/>
    <xf numFmtId="3" fontId="7" fillId="2" borderId="0" xfId="0" applyNumberFormat="1" applyFont="1" applyFill="1" applyBorder="1" applyAlignment="1" applyProtection="1"/>
    <xf numFmtId="2" fontId="7" fillId="2" borderId="0" xfId="0" applyNumberFormat="1" applyFont="1" applyFill="1" applyBorder="1" applyAlignment="1" applyProtection="1"/>
    <xf numFmtId="2" fontId="5" fillId="2" borderId="5" xfId="0" applyNumberFormat="1" applyFont="1" applyFill="1" applyBorder="1" applyAlignment="1" applyProtection="1"/>
    <xf numFmtId="3" fontId="5" fillId="2" borderId="5" xfId="0" applyNumberFormat="1" applyFont="1" applyFill="1" applyBorder="1" applyAlignment="1" applyProtection="1"/>
    <xf numFmtId="0" fontId="5" fillId="0" borderId="0" xfId="0" applyFont="1" applyFill="1" applyBorder="1" applyAlignment="1" applyProtection="1"/>
    <xf numFmtId="2" fontId="5" fillId="2" borderId="0" xfId="0" applyNumberFormat="1" applyFont="1" applyFill="1" applyBorder="1" applyAlignment="1" applyProtection="1"/>
    <xf numFmtId="0" fontId="5" fillId="2" borderId="2" xfId="0" applyFont="1" applyFill="1" applyBorder="1" applyAlignment="1" applyProtection="1"/>
    <xf numFmtId="0" fontId="5" fillId="2" borderId="1" xfId="0" applyFont="1" applyFill="1" applyBorder="1" applyAlignment="1" applyProtection="1">
      <alignment horizontal="right"/>
    </xf>
    <xf numFmtId="0" fontId="5" fillId="2" borderId="1" xfId="0" applyFont="1" applyFill="1" applyBorder="1" applyAlignment="1" applyProtection="1"/>
    <xf numFmtId="3" fontId="7" fillId="2" borderId="1" xfId="0" applyNumberFormat="1" applyFont="1" applyFill="1" applyBorder="1" applyAlignment="1" applyProtection="1"/>
    <xf numFmtId="0" fontId="7" fillId="2" borderId="0" xfId="0" applyFont="1" applyFill="1" applyBorder="1" applyAlignment="1" applyProtection="1">
      <alignment horizontal="right"/>
    </xf>
    <xf numFmtId="0" fontId="7" fillId="2" borderId="1" xfId="0" applyFont="1" applyFill="1" applyBorder="1" applyAlignment="1" applyProtection="1">
      <alignment horizontal="right"/>
    </xf>
    <xf numFmtId="0" fontId="0" fillId="0" borderId="0" xfId="0" applyFill="1"/>
    <xf numFmtId="3" fontId="0" fillId="2" borderId="0" xfId="0" applyNumberFormat="1" applyFont="1" applyFill="1" applyBorder="1" applyAlignment="1" applyProtection="1"/>
    <xf numFmtId="4" fontId="7" fillId="2" borderId="0" xfId="0" applyNumberFormat="1" applyFont="1" applyFill="1" applyBorder="1" applyAlignment="1" applyProtection="1"/>
    <xf numFmtId="3" fontId="5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right"/>
    </xf>
    <xf numFmtId="0" fontId="8" fillId="0" borderId="5" xfId="0" applyFont="1" applyBorder="1" applyAlignment="1">
      <alignment horizontal="center" vertical="top"/>
    </xf>
    <xf numFmtId="1" fontId="5" fillId="2" borderId="0" xfId="0" applyNumberFormat="1" applyFont="1" applyFill="1" applyBorder="1" applyAlignment="1" applyProtection="1"/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0" fontId="1" fillId="0" borderId="0" xfId="2"/>
    <xf numFmtId="0" fontId="8" fillId="0" borderId="5" xfId="2" applyFont="1" applyBorder="1" applyAlignment="1">
      <alignment horizontal="center" vertical="top"/>
    </xf>
    <xf numFmtId="165" fontId="7" fillId="2" borderId="0" xfId="0" applyNumberFormat="1" applyFont="1" applyFill="1" applyBorder="1" applyAlignment="1" applyProtection="1"/>
    <xf numFmtId="165" fontId="7" fillId="2" borderId="1" xfId="0" applyNumberFormat="1" applyFont="1" applyFill="1" applyBorder="1" applyAlignment="1" applyProtection="1"/>
    <xf numFmtId="165" fontId="5" fillId="2" borderId="2" xfId="0" applyNumberFormat="1" applyFont="1" applyFill="1" applyBorder="1" applyAlignment="1" applyProtection="1"/>
    <xf numFmtId="165" fontId="7" fillId="2" borderId="1" xfId="0" applyNumberFormat="1" applyFont="1" applyFill="1" applyBorder="1" applyAlignment="1" applyProtection="1">
      <alignment horizontal="right"/>
    </xf>
    <xf numFmtId="165" fontId="7" fillId="2" borderId="0" xfId="0" applyNumberFormat="1" applyFont="1" applyFill="1" applyBorder="1" applyAlignment="1" applyProtection="1">
      <alignment horizontal="right"/>
    </xf>
    <xf numFmtId="3" fontId="5" fillId="2" borderId="2" xfId="0" applyNumberFormat="1" applyFont="1" applyFill="1" applyBorder="1" applyAlignment="1" applyProtection="1"/>
    <xf numFmtId="3" fontId="7" fillId="2" borderId="1" xfId="0" applyNumberFormat="1" applyFont="1" applyFill="1" applyBorder="1" applyAlignment="1" applyProtection="1">
      <alignment horizontal="right"/>
    </xf>
    <xf numFmtId="3" fontId="7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0" fontId="9" fillId="0" borderId="5" xfId="0" applyFont="1" applyFill="1" applyBorder="1" applyAlignment="1" applyProtection="1"/>
    <xf numFmtId="2" fontId="9" fillId="2" borderId="5" xfId="0" applyNumberFormat="1" applyFont="1" applyFill="1" applyBorder="1" applyAlignment="1" applyProtection="1"/>
    <xf numFmtId="3" fontId="9" fillId="2" borderId="5" xfId="0" applyNumberFormat="1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76"/>
  <sheetViews>
    <sheetView zoomScale="115" zoomScaleNormal="115" workbookViewId="0">
      <selection activeCell="G43" sqref="G43"/>
    </sheetView>
  </sheetViews>
  <sheetFormatPr baseColWidth="10" defaultRowHeight="12.75" x14ac:dyDescent="0.2"/>
  <cols>
    <col min="1" max="1" width="25.140625" customWidth="1"/>
    <col min="23" max="23" width="11.42578125" customWidth="1"/>
    <col min="257" max="257" width="25.140625" customWidth="1"/>
    <col min="513" max="513" width="25.140625" customWidth="1"/>
    <col min="769" max="769" width="25.140625" customWidth="1"/>
    <col min="1025" max="1025" width="25.140625" customWidth="1"/>
    <col min="1281" max="1281" width="25.140625" customWidth="1"/>
    <col min="1537" max="1537" width="25.140625" customWidth="1"/>
    <col min="1793" max="1793" width="25.140625" customWidth="1"/>
    <col min="2049" max="2049" width="25.140625" customWidth="1"/>
    <col min="2305" max="2305" width="25.140625" customWidth="1"/>
    <col min="2561" max="2561" width="25.140625" customWidth="1"/>
    <col min="2817" max="2817" width="25.140625" customWidth="1"/>
    <col min="3073" max="3073" width="25.140625" customWidth="1"/>
    <col min="3329" max="3329" width="25.140625" customWidth="1"/>
    <col min="3585" max="3585" width="25.140625" customWidth="1"/>
    <col min="3841" max="3841" width="25.140625" customWidth="1"/>
    <col min="4097" max="4097" width="25.140625" customWidth="1"/>
    <col min="4353" max="4353" width="25.140625" customWidth="1"/>
    <col min="4609" max="4609" width="25.140625" customWidth="1"/>
    <col min="4865" max="4865" width="25.140625" customWidth="1"/>
    <col min="5121" max="5121" width="25.140625" customWidth="1"/>
    <col min="5377" max="5377" width="25.140625" customWidth="1"/>
    <col min="5633" max="5633" width="25.140625" customWidth="1"/>
    <col min="5889" max="5889" width="25.140625" customWidth="1"/>
    <col min="6145" max="6145" width="25.140625" customWidth="1"/>
    <col min="6401" max="6401" width="25.140625" customWidth="1"/>
    <col min="6657" max="6657" width="25.140625" customWidth="1"/>
    <col min="6913" max="6913" width="25.140625" customWidth="1"/>
    <col min="7169" max="7169" width="25.140625" customWidth="1"/>
    <col min="7425" max="7425" width="25.140625" customWidth="1"/>
    <col min="7681" max="7681" width="25.140625" customWidth="1"/>
    <col min="7937" max="7937" width="25.140625" customWidth="1"/>
    <col min="8193" max="8193" width="25.140625" customWidth="1"/>
    <col min="8449" max="8449" width="25.140625" customWidth="1"/>
    <col min="8705" max="8705" width="25.140625" customWidth="1"/>
    <col min="8961" max="8961" width="25.140625" customWidth="1"/>
    <col min="9217" max="9217" width="25.140625" customWidth="1"/>
    <col min="9473" max="9473" width="25.140625" customWidth="1"/>
    <col min="9729" max="9729" width="25.140625" customWidth="1"/>
    <col min="9985" max="9985" width="25.140625" customWidth="1"/>
    <col min="10241" max="10241" width="25.140625" customWidth="1"/>
    <col min="10497" max="10497" width="25.140625" customWidth="1"/>
    <col min="10753" max="10753" width="25.140625" customWidth="1"/>
    <col min="11009" max="11009" width="25.140625" customWidth="1"/>
    <col min="11265" max="11265" width="25.140625" customWidth="1"/>
    <col min="11521" max="11521" width="25.140625" customWidth="1"/>
    <col min="11777" max="11777" width="25.140625" customWidth="1"/>
    <col min="12033" max="12033" width="25.140625" customWidth="1"/>
    <col min="12289" max="12289" width="25.140625" customWidth="1"/>
    <col min="12545" max="12545" width="25.140625" customWidth="1"/>
    <col min="12801" max="12801" width="25.140625" customWidth="1"/>
    <col min="13057" max="13057" width="25.140625" customWidth="1"/>
    <col min="13313" max="13313" width="25.140625" customWidth="1"/>
    <col min="13569" max="13569" width="25.140625" customWidth="1"/>
    <col min="13825" max="13825" width="25.140625" customWidth="1"/>
    <col min="14081" max="14081" width="25.140625" customWidth="1"/>
    <col min="14337" max="14337" width="25.140625" customWidth="1"/>
    <col min="14593" max="14593" width="25.140625" customWidth="1"/>
    <col min="14849" max="14849" width="25.140625" customWidth="1"/>
    <col min="15105" max="15105" width="25.140625" customWidth="1"/>
    <col min="15361" max="15361" width="25.140625" customWidth="1"/>
    <col min="15617" max="15617" width="25.140625" customWidth="1"/>
    <col min="15873" max="15873" width="25.140625" customWidth="1"/>
    <col min="16129" max="16129" width="25.140625" customWidth="1"/>
  </cols>
  <sheetData>
    <row r="1" spans="1:22" x14ac:dyDescent="0.2">
      <c r="A1" s="21" t="s">
        <v>119</v>
      </c>
      <c r="C1" s="21" t="s">
        <v>0</v>
      </c>
      <c r="H1" s="21" t="s">
        <v>1</v>
      </c>
      <c r="M1" s="21" t="s">
        <v>2</v>
      </c>
      <c r="R1" s="21" t="s">
        <v>3</v>
      </c>
    </row>
    <row r="2" spans="1:22" x14ac:dyDescent="0.2">
      <c r="A2" s="16" t="s">
        <v>4</v>
      </c>
      <c r="B2" s="16" t="s">
        <v>5</v>
      </c>
      <c r="C2" s="16" t="s">
        <v>118</v>
      </c>
      <c r="D2" s="16" t="s">
        <v>117</v>
      </c>
      <c r="E2" s="16" t="s">
        <v>116</v>
      </c>
      <c r="F2" s="16" t="s">
        <v>115</v>
      </c>
      <c r="G2" s="16" t="s">
        <v>114</v>
      </c>
      <c r="H2" s="16" t="s">
        <v>118</v>
      </c>
      <c r="I2" s="16" t="s">
        <v>117</v>
      </c>
      <c r="J2" s="16" t="s">
        <v>116</v>
      </c>
      <c r="K2" s="16" t="s">
        <v>115</v>
      </c>
      <c r="L2" s="16" t="s">
        <v>114</v>
      </c>
      <c r="M2" s="16" t="s">
        <v>118</v>
      </c>
      <c r="N2" s="16" t="s">
        <v>117</v>
      </c>
      <c r="O2" s="16" t="s">
        <v>116</v>
      </c>
      <c r="P2" s="16" t="s">
        <v>115</v>
      </c>
      <c r="Q2" s="16" t="s">
        <v>114</v>
      </c>
      <c r="R2" s="16" t="s">
        <v>118</v>
      </c>
      <c r="S2" s="16" t="s">
        <v>117</v>
      </c>
      <c r="T2" s="16" t="s">
        <v>116</v>
      </c>
      <c r="U2" s="16" t="s">
        <v>115</v>
      </c>
      <c r="V2" s="16" t="s">
        <v>114</v>
      </c>
    </row>
    <row r="3" spans="1:22" x14ac:dyDescent="0.2">
      <c r="A3" s="16" t="s">
        <v>46</v>
      </c>
      <c r="B3" s="19">
        <v>87.7</v>
      </c>
      <c r="C3" s="20">
        <f>+Diana!$B$7</f>
        <v>0</v>
      </c>
      <c r="D3" s="20">
        <f>+Diana!$F$7</f>
        <v>0</v>
      </c>
      <c r="E3" s="19">
        <f>+Diana!$I$7</f>
        <v>0</v>
      </c>
      <c r="F3" s="20">
        <f>+D3+E3*'Reporte Recursos'!$B$321</f>
        <v>0</v>
      </c>
      <c r="G3" s="19">
        <f>+Diana!$L$3</f>
        <v>0</v>
      </c>
      <c r="H3" s="20">
        <f>+Diana!$B$20</f>
        <v>0</v>
      </c>
      <c r="I3" s="20">
        <f>+Diana!$F$20</f>
        <v>0</v>
      </c>
      <c r="J3" s="19">
        <f>+Diana!$I$20</f>
        <v>0</v>
      </c>
      <c r="K3" s="20">
        <f>+I3+J3*'Reporte Recursos'!$B$321</f>
        <v>0</v>
      </c>
      <c r="L3" s="19">
        <f>+Diana!$L$20</f>
        <v>0</v>
      </c>
      <c r="M3" s="20">
        <f>+Diana!$B$33</f>
        <v>90363.7</v>
      </c>
      <c r="N3" s="20">
        <f>+Diana!$F$33</f>
        <v>201.34</v>
      </c>
      <c r="O3" s="19">
        <f>+Diana!$I$33</f>
        <v>2.097</v>
      </c>
      <c r="P3" s="20">
        <f>+N3+O3*'Reporte Recursos'!$B$321</f>
        <v>358.61500000000001</v>
      </c>
      <c r="Q3" s="19">
        <f>+Diana!$L$33</f>
        <v>1.7749999999999999</v>
      </c>
      <c r="R3" s="20">
        <f>+Diana!$B$61</f>
        <v>90363.7</v>
      </c>
      <c r="S3" s="20">
        <f>+Diana!$F$61</f>
        <v>201.34</v>
      </c>
      <c r="T3" s="19">
        <f>+Diana!$I$61</f>
        <v>2.097</v>
      </c>
      <c r="U3" s="20">
        <f>+S3+T3*'Reporte Recursos'!$B$321</f>
        <v>358.61500000000001</v>
      </c>
      <c r="V3" s="19">
        <f>+Diana!$L$61</f>
        <v>1.7749999999999999</v>
      </c>
    </row>
    <row r="4" spans="1:22" x14ac:dyDescent="0.2">
      <c r="A4" s="16" t="s">
        <v>97</v>
      </c>
      <c r="B4" s="19">
        <v>87.7</v>
      </c>
      <c r="C4" s="20">
        <f>+Divina!$B$7</f>
        <v>171839.7</v>
      </c>
      <c r="D4" s="20">
        <f>+Divina!$F$7</f>
        <v>59.61</v>
      </c>
      <c r="E4" s="19">
        <f>+Divina!$I$7</f>
        <v>2.85</v>
      </c>
      <c r="F4" s="20">
        <f>+D4+E4*'Reporte Recursos'!$B$321</f>
        <v>273.36</v>
      </c>
      <c r="G4" s="19">
        <f>+Divina!$L$3</f>
        <v>2.4209999999999998</v>
      </c>
      <c r="H4" s="20">
        <f>+Divina!$B$20</f>
        <v>509826</v>
      </c>
      <c r="I4" s="20">
        <f>+Divina!$F$20</f>
        <v>49.37</v>
      </c>
      <c r="J4" s="19">
        <f>+Divina!$I$20</f>
        <v>2.6440000000000001</v>
      </c>
      <c r="K4" s="20">
        <f>+I4+J4*'Reporte Recursos'!$B$321</f>
        <v>247.67000000000002</v>
      </c>
      <c r="L4" s="19">
        <f>+Divina!$L$20</f>
        <v>1.8340000000000001</v>
      </c>
      <c r="M4" s="20">
        <f>+Divina!$B$33</f>
        <v>33908.199999999997</v>
      </c>
      <c r="N4" s="20">
        <f>+Divina!$F$33</f>
        <v>66.59</v>
      </c>
      <c r="O4" s="19">
        <f>+Divina!$I$33</f>
        <v>2.3029999999999999</v>
      </c>
      <c r="P4" s="20">
        <f>+N4+O4*'Reporte Recursos'!$B$321</f>
        <v>239.315</v>
      </c>
      <c r="Q4" s="19">
        <f>+Divina!$L$33</f>
        <v>1.2130000000000001</v>
      </c>
      <c r="R4" s="20">
        <f>+Divina!$B$61</f>
        <v>715574</v>
      </c>
      <c r="S4" s="20">
        <f>+Divina!$F$61</f>
        <v>52.64</v>
      </c>
      <c r="T4" s="19">
        <f>+Divina!$I$61</f>
        <v>2.677</v>
      </c>
      <c r="U4" s="20">
        <f>+S4+T4*'Reporte Recursos'!$B$321</f>
        <v>253.41500000000002</v>
      </c>
      <c r="V4" s="19">
        <f>+Divina!$L$61</f>
        <v>1.9890000000000001</v>
      </c>
    </row>
    <row r="5" spans="1:22" x14ac:dyDescent="0.2">
      <c r="A5" s="16" t="s">
        <v>42</v>
      </c>
      <c r="B5" s="19">
        <v>87.7</v>
      </c>
      <c r="C5" s="20">
        <f>+Gera!$B$7</f>
        <v>0</v>
      </c>
      <c r="D5" s="20">
        <f>+Gera!$F$7</f>
        <v>0</v>
      </c>
      <c r="E5" s="19">
        <f>+Gera!$I$7</f>
        <v>0</v>
      </c>
      <c r="F5" s="20">
        <f>+D5+E5*'Reporte Recursos'!$B$321</f>
        <v>0</v>
      </c>
      <c r="G5" s="19">
        <f>+Gera!$L$3</f>
        <v>0</v>
      </c>
      <c r="H5" s="20">
        <f>+Gera!$B$20</f>
        <v>0</v>
      </c>
      <c r="I5" s="20">
        <f>+Gera!$F$20</f>
        <v>0</v>
      </c>
      <c r="J5" s="19">
        <f>+Gera!$I$20</f>
        <v>0</v>
      </c>
      <c r="K5" s="20">
        <f>+I5+J5*'Reporte Recursos'!$B$321</f>
        <v>0</v>
      </c>
      <c r="L5" s="19">
        <f>+Gera!$L$20</f>
        <v>0</v>
      </c>
      <c r="M5" s="20">
        <f>+Gera!$B$33</f>
        <v>162024.6</v>
      </c>
      <c r="N5" s="20">
        <f>+Gera!$F$33</f>
        <v>65.61</v>
      </c>
      <c r="O5" s="19">
        <f>+Gera!$I$33</f>
        <v>2.3010000000000002</v>
      </c>
      <c r="P5" s="20">
        <f>+N5+O5*'Reporte Recursos'!$B$321</f>
        <v>238.185</v>
      </c>
      <c r="Q5" s="19">
        <f>+Gera!$L$33</f>
        <v>1.226</v>
      </c>
      <c r="R5" s="20">
        <f>+Gera!$B$61</f>
        <v>162024.6</v>
      </c>
      <c r="S5" s="20">
        <f>+Gera!$F$61</f>
        <v>65.61</v>
      </c>
      <c r="T5" s="19">
        <f>+Gera!$I$61</f>
        <v>2.3010000000000002</v>
      </c>
      <c r="U5" s="20">
        <f>+S5+T5*'Reporte Recursos'!$B$321</f>
        <v>238.185</v>
      </c>
      <c r="V5" s="19">
        <f>+Gera!$L$61</f>
        <v>1.226</v>
      </c>
    </row>
    <row r="6" spans="1:22" x14ac:dyDescent="0.2">
      <c r="A6" s="16" t="s">
        <v>40</v>
      </c>
      <c r="B6" s="19">
        <v>87.7</v>
      </c>
      <c r="C6" s="20">
        <f>+Lady!$B$7</f>
        <v>900.4</v>
      </c>
      <c r="D6" s="20">
        <f>+Lady!$F$7</f>
        <v>59.61</v>
      </c>
      <c r="E6" s="19">
        <f>+Lady!$I$7</f>
        <v>1.778</v>
      </c>
      <c r="F6" s="20">
        <f>+D6+E6*'Reporte Recursos'!$B$321</f>
        <v>192.95999999999998</v>
      </c>
      <c r="G6" s="19">
        <f>+Lady!$L$3</f>
        <v>1.444</v>
      </c>
      <c r="H6" s="20">
        <f>+Lady!$B$20</f>
        <v>53458</v>
      </c>
      <c r="I6" s="20">
        <f>+Lady!$F$20</f>
        <v>68.61</v>
      </c>
      <c r="J6" s="19">
        <f>+Lady!$I$20</f>
        <v>2.5259999999999998</v>
      </c>
      <c r="K6" s="20">
        <f>+I6+J6*'Reporte Recursos'!$B$321</f>
        <v>258.06</v>
      </c>
      <c r="L6" s="19">
        <f>+Lady!$L$20</f>
        <v>1.9990000000000001</v>
      </c>
      <c r="M6" s="20">
        <f>+Lady!$B$33</f>
        <v>358456.5</v>
      </c>
      <c r="N6" s="20">
        <f>+Lady!$F$33</f>
        <v>84.81</v>
      </c>
      <c r="O6" s="19">
        <f>+Lady!$I$33</f>
        <v>2.1589999999999998</v>
      </c>
      <c r="P6" s="20">
        <f>+N6+O6*'Reporte Recursos'!$B$321</f>
        <v>246.73499999999999</v>
      </c>
      <c r="Q6" s="19">
        <f>+Lady!$L$33</f>
        <v>1.6659999999999999</v>
      </c>
      <c r="R6" s="20">
        <f>+Lady!$B$61</f>
        <v>412814.9</v>
      </c>
      <c r="S6" s="20">
        <f>+Lady!$F$61</f>
        <v>82.66</v>
      </c>
      <c r="T6" s="19">
        <f>+Lady!$I$61</f>
        <v>2.2050000000000001</v>
      </c>
      <c r="U6" s="20">
        <f>+S6+T6*'Reporte Recursos'!$B$321</f>
        <v>248.035</v>
      </c>
      <c r="V6" s="19">
        <f>+Lady!$L$61</f>
        <v>1.7090000000000001</v>
      </c>
    </row>
    <row r="7" spans="1:22" x14ac:dyDescent="0.2">
      <c r="A7" s="16" t="s">
        <v>47</v>
      </c>
      <c r="B7" s="19">
        <v>87.7</v>
      </c>
      <c r="C7" s="20">
        <f>+Lady_Norte!$B$7</f>
        <v>0</v>
      </c>
      <c r="D7" s="20">
        <f>+Lady_Norte!$F$7</f>
        <v>0</v>
      </c>
      <c r="E7" s="19">
        <f>+Lady_Norte!$I$7</f>
        <v>0</v>
      </c>
      <c r="F7" s="20">
        <f>+D7+E7*'Reporte Recursos'!$B$321</f>
        <v>0</v>
      </c>
      <c r="G7" s="19">
        <f>+Lady_Norte!$L$3</f>
        <v>0</v>
      </c>
      <c r="H7" s="20">
        <f>+Lady_Norte!$B$20</f>
        <v>0</v>
      </c>
      <c r="I7" s="20">
        <f>+Lady_Norte!$F$20</f>
        <v>0</v>
      </c>
      <c r="J7" s="19">
        <f>+Lady_Norte!$I$20</f>
        <v>0</v>
      </c>
      <c r="K7" s="20">
        <f>+I7+J7*'Reporte Recursos'!$B$321</f>
        <v>0</v>
      </c>
      <c r="L7" s="19">
        <f>+Lady_Norte!$L$20</f>
        <v>0</v>
      </c>
      <c r="M7" s="20">
        <f>+Lady_Norte!$B$33</f>
        <v>72906.3</v>
      </c>
      <c r="N7" s="20">
        <f>+Lady_Norte!$F$33</f>
        <v>42.19</v>
      </c>
      <c r="O7" s="19">
        <f>+Lady_Norte!$I$33</f>
        <v>2.5299999999999998</v>
      </c>
      <c r="P7" s="20">
        <f>+N7+O7*'Reporte Recursos'!$B$321</f>
        <v>231.93999999999997</v>
      </c>
      <c r="Q7" s="19">
        <f>+Lady_Norte!$L$33</f>
        <v>0.95899999999999996</v>
      </c>
      <c r="R7" s="20">
        <f>+Lady_Norte!$B$61</f>
        <v>72906.3</v>
      </c>
      <c r="S7" s="20">
        <f>+Lady_Norte!$F$61</f>
        <v>42.19</v>
      </c>
      <c r="T7" s="19">
        <f>+Lady_Norte!$I$61</f>
        <v>2.5299999999999998</v>
      </c>
      <c r="U7" s="20">
        <f>+S7+T7*'Reporte Recursos'!$B$321</f>
        <v>231.93999999999997</v>
      </c>
      <c r="V7" s="19">
        <f>+Lady_Norte!$L$61</f>
        <v>0.95899999999999996</v>
      </c>
    </row>
    <row r="8" spans="1:22" x14ac:dyDescent="0.2">
      <c r="A8" s="16" t="s">
        <v>37</v>
      </c>
      <c r="B8" s="19">
        <v>87.7</v>
      </c>
      <c r="C8" s="20">
        <f>+Lizina!$B$7</f>
        <v>0</v>
      </c>
      <c r="D8" s="20">
        <f>+Lizina!$F$7</f>
        <v>0</v>
      </c>
      <c r="E8" s="19">
        <f>+Lizina!$I$7</f>
        <v>0</v>
      </c>
      <c r="F8" s="20">
        <f>+D8+E8*'Reporte Recursos'!$B$321</f>
        <v>0</v>
      </c>
      <c r="G8" s="19">
        <f>+Lizina!$L$3</f>
        <v>0</v>
      </c>
      <c r="H8" s="20">
        <f>+Lizina!$B$20</f>
        <v>41220.699999999997</v>
      </c>
      <c r="I8" s="20">
        <f>+Lizina!$F$20</f>
        <v>76.459999999999994</v>
      </c>
      <c r="J8" s="19">
        <f>+Lizina!$I$20</f>
        <v>1.68</v>
      </c>
      <c r="K8" s="20">
        <f>+I8+J8*'Reporte Recursos'!$B$321</f>
        <v>202.45999999999998</v>
      </c>
      <c r="L8" s="19">
        <f>+Lizina!$L$20</f>
        <v>1.82</v>
      </c>
      <c r="M8" s="20">
        <f>+Lizina!$B$33</f>
        <v>103973.2</v>
      </c>
      <c r="N8" s="20">
        <f>+Lizina!$F$33</f>
        <v>96.11</v>
      </c>
      <c r="O8" s="19">
        <f>+Lizina!$I$33</f>
        <v>1.869</v>
      </c>
      <c r="P8" s="20">
        <f>+N8+O8*'Reporte Recursos'!$B$321</f>
        <v>236.28500000000003</v>
      </c>
      <c r="Q8" s="19">
        <f>+Lizina!$L$33</f>
        <v>1.3720000000000001</v>
      </c>
      <c r="R8" s="20">
        <f>+Lizina!$B$61</f>
        <v>145193.9</v>
      </c>
      <c r="S8" s="20">
        <f>+Lizina!$F$61</f>
        <v>90.53</v>
      </c>
      <c r="T8" s="19">
        <f>+Lizina!$I$61</f>
        <v>1.8160000000000001</v>
      </c>
      <c r="U8" s="20">
        <f>+S8+T8*'Reporte Recursos'!$B$321</f>
        <v>226.73000000000002</v>
      </c>
      <c r="V8" s="19">
        <f>+Lizina!$L$61</f>
        <v>1.4990000000000001</v>
      </c>
    </row>
    <row r="9" spans="1:22" x14ac:dyDescent="0.2">
      <c r="A9" s="16" t="s">
        <v>38</v>
      </c>
      <c r="B9" s="19">
        <v>87.7</v>
      </c>
      <c r="C9" s="20">
        <f>+Lola!$B$7</f>
        <v>0</v>
      </c>
      <c r="D9" s="20">
        <f>+Lola!$F$7</f>
        <v>0</v>
      </c>
      <c r="E9" s="19">
        <f>+Lola!$I$7</f>
        <v>0</v>
      </c>
      <c r="F9" s="20">
        <f>+D9+E9*'Reporte Recursos'!$B$321</f>
        <v>0</v>
      </c>
      <c r="G9" s="19">
        <f>+Lola!$L$3</f>
        <v>0</v>
      </c>
      <c r="H9" s="20">
        <f>+Lola!$B$20</f>
        <v>0</v>
      </c>
      <c r="I9" s="20">
        <f>+Lola!$F$20</f>
        <v>0</v>
      </c>
      <c r="J9" s="19">
        <f>+Lola!$I$20</f>
        <v>0</v>
      </c>
      <c r="K9" s="20">
        <f>+I9+J9*'Reporte Recursos'!$B$321</f>
        <v>0</v>
      </c>
      <c r="L9" s="19">
        <f>+Lola!$L$20</f>
        <v>0</v>
      </c>
      <c r="M9" s="20">
        <f>+Lola!$B$33</f>
        <v>442133.5</v>
      </c>
      <c r="N9" s="20">
        <f>+Lola!$F$33</f>
        <v>54.84</v>
      </c>
      <c r="O9" s="19">
        <f>+Lola!$I$33</f>
        <v>2.3820000000000001</v>
      </c>
      <c r="P9" s="20">
        <f>+N9+O9*'Reporte Recursos'!$B$321</f>
        <v>233.49</v>
      </c>
      <c r="Q9" s="19">
        <f>+Lola!$L$33</f>
        <v>2.0640000000000001</v>
      </c>
      <c r="R9" s="20">
        <f>+Lola!$B$61</f>
        <v>442133.5</v>
      </c>
      <c r="S9" s="20">
        <f>+Lola!$F$61</f>
        <v>54.84</v>
      </c>
      <c r="T9" s="19">
        <f>+Lola!$I$61</f>
        <v>2.3820000000000001</v>
      </c>
      <c r="U9" s="20">
        <f>+S9+T9*'Reporte Recursos'!$B$321</f>
        <v>233.49</v>
      </c>
      <c r="V9" s="19">
        <f>+Lola!$L$61</f>
        <v>2.0640000000000001</v>
      </c>
    </row>
    <row r="10" spans="1:22" x14ac:dyDescent="0.2">
      <c r="A10" s="16" t="s">
        <v>43</v>
      </c>
      <c r="B10" s="19">
        <v>87.7</v>
      </c>
      <c r="C10" s="20">
        <f>+Naty!$B$7</f>
        <v>236112.8</v>
      </c>
      <c r="D10" s="20">
        <f>+Naty!$F$7</f>
        <v>85.22</v>
      </c>
      <c r="E10" s="19">
        <f>+Naty!$I$7</f>
        <v>2.4009999999999998</v>
      </c>
      <c r="F10" s="20">
        <f>+D10+E10*'Reporte Recursos'!$B$321</f>
        <v>265.29499999999996</v>
      </c>
      <c r="G10" s="19">
        <f>+Naty!$L$3</f>
        <v>3.1659999999999999</v>
      </c>
      <c r="H10" s="20">
        <f>+Naty!$B$20</f>
        <v>537761</v>
      </c>
      <c r="I10" s="20">
        <f>+Naty!$F$20</f>
        <v>95.15</v>
      </c>
      <c r="J10" s="19">
        <f>+Naty!$I$20</f>
        <v>2.552</v>
      </c>
      <c r="K10" s="20">
        <f>+I10+J10*'Reporte Recursos'!$B$321</f>
        <v>286.55</v>
      </c>
      <c r="L10" s="19">
        <f>+Naty!$L$20</f>
        <v>2.6230000000000002</v>
      </c>
      <c r="M10" s="20">
        <f>+Naty!$B$33</f>
        <v>214644.5</v>
      </c>
      <c r="N10" s="20">
        <f>+Naty!$F$33</f>
        <v>83.81</v>
      </c>
      <c r="O10" s="19">
        <f>+Naty!$I$33</f>
        <v>2.4319999999999999</v>
      </c>
      <c r="P10" s="20">
        <f>+N10+O10*'Reporte Recursos'!$B$321</f>
        <v>266.21000000000004</v>
      </c>
      <c r="Q10" s="19">
        <f>+Naty!$L$33</f>
        <v>1.897</v>
      </c>
      <c r="R10" s="20">
        <f>+Naty!$B$61</f>
        <v>988518.2</v>
      </c>
      <c r="S10" s="20">
        <f>+Naty!$F$61</f>
        <v>90.32</v>
      </c>
      <c r="T10" s="19">
        <f>+Naty!$I$61</f>
        <v>2.4900000000000002</v>
      </c>
      <c r="U10" s="20">
        <f>+S10+T10*'Reporte Recursos'!$B$321</f>
        <v>277.07000000000005</v>
      </c>
      <c r="V10" s="19">
        <f>+Naty!$L$61</f>
        <v>2.6309999999999998</v>
      </c>
    </row>
    <row r="11" spans="1:22" x14ac:dyDescent="0.2">
      <c r="A11" s="16" t="s">
        <v>44</v>
      </c>
      <c r="B11" s="19">
        <v>87.7</v>
      </c>
      <c r="C11" s="20">
        <f>+Nora!$B$7</f>
        <v>1652.2</v>
      </c>
      <c r="D11" s="20">
        <f>+Nora!$F$7</f>
        <v>174.09</v>
      </c>
      <c r="E11" s="19">
        <f>+Nora!$I$7</f>
        <v>2.121</v>
      </c>
      <c r="F11" s="20">
        <f>+D11+E11*'Reporte Recursos'!$B$321</f>
        <v>333.16499999999996</v>
      </c>
      <c r="G11" s="19">
        <f>+Nora!$L$3</f>
        <v>1.3620000000000001</v>
      </c>
      <c r="H11" s="20">
        <f>+Nora!$B$20</f>
        <v>103248.4</v>
      </c>
      <c r="I11" s="20">
        <f>+Nora!$F$20</f>
        <v>160.08000000000001</v>
      </c>
      <c r="J11" s="19">
        <f>+Nora!$I$20</f>
        <v>1.929</v>
      </c>
      <c r="K11" s="20">
        <f>+I11+J11*'Reporte Recursos'!$B$321</f>
        <v>304.755</v>
      </c>
      <c r="L11" s="19">
        <f>+Nora!$L$20</f>
        <v>2.0710000000000002</v>
      </c>
      <c r="M11" s="20">
        <f>+Nora!$B$33</f>
        <v>83882.8</v>
      </c>
      <c r="N11" s="20">
        <f>+Nora!$F$33</f>
        <v>90.35</v>
      </c>
      <c r="O11" s="19">
        <f>+Nora!$I$33</f>
        <v>2.0059999999999998</v>
      </c>
      <c r="P11" s="20">
        <f>+N11+O11*'Reporte Recursos'!$B$321</f>
        <v>240.79999999999998</v>
      </c>
      <c r="Q11" s="19">
        <f>+Nora!$L$33</f>
        <v>1.607</v>
      </c>
      <c r="R11" s="20">
        <f>+Nora!$B$61</f>
        <v>188783.4</v>
      </c>
      <c r="S11" s="20">
        <f>+Nora!$F$61</f>
        <v>129.22</v>
      </c>
      <c r="T11" s="19">
        <f>+Nora!$I$61</f>
        <v>1.9650000000000001</v>
      </c>
      <c r="U11" s="20">
        <f>+S11+T11*'Reporte Recursos'!$B$321</f>
        <v>276.59500000000003</v>
      </c>
      <c r="V11" s="19">
        <f>+Nora!$L$61</f>
        <v>1.86</v>
      </c>
    </row>
    <row r="12" spans="1:22" x14ac:dyDescent="0.2">
      <c r="A12" s="16" t="s">
        <v>39</v>
      </c>
      <c r="B12" s="19">
        <v>87.7</v>
      </c>
      <c r="C12" s="20">
        <f>+Olga!$B$7</f>
        <v>20509.2</v>
      </c>
      <c r="D12" s="20">
        <f>+Olga!$F$7</f>
        <v>111.35</v>
      </c>
      <c r="E12" s="19">
        <f>+Olga!$I$7</f>
        <v>2.0089999999999999</v>
      </c>
      <c r="F12" s="20">
        <f>+D12+E12*'Reporte Recursos'!$B$321</f>
        <v>262.02499999999998</v>
      </c>
      <c r="G12" s="19">
        <f>+Olga!$L$3</f>
        <v>1.7310000000000001</v>
      </c>
      <c r="H12" s="20">
        <f>+Olga!$B$20</f>
        <v>99327</v>
      </c>
      <c r="I12" s="20">
        <f>+Olga!$F$20</f>
        <v>98.72</v>
      </c>
      <c r="J12" s="19">
        <f>+Olga!$I$20</f>
        <v>2.0790000000000002</v>
      </c>
      <c r="K12" s="20">
        <f>+I12+J12*'Reporte Recursos'!$B$321</f>
        <v>254.64500000000001</v>
      </c>
      <c r="L12" s="19">
        <f>+Olga!$L$20</f>
        <v>1.786</v>
      </c>
      <c r="M12" s="20">
        <f>+Olga!$B$33</f>
        <v>149394.4</v>
      </c>
      <c r="N12" s="20">
        <f>+Olga!$F$33</f>
        <v>136.22</v>
      </c>
      <c r="O12" s="19">
        <f>+Olga!$I$33</f>
        <v>1.754</v>
      </c>
      <c r="P12" s="20">
        <f>+N12+O12*'Reporte Recursos'!$B$321</f>
        <v>267.77</v>
      </c>
      <c r="Q12" s="19">
        <f>+Olga!$L$33</f>
        <v>1.268</v>
      </c>
      <c r="R12" s="20">
        <f>+Olga!$B$61</f>
        <v>269230.59999999998</v>
      </c>
      <c r="S12" s="20">
        <f>+Olga!$F$61</f>
        <v>120.49</v>
      </c>
      <c r="T12" s="19">
        <f>+Olga!$I$61</f>
        <v>1.893</v>
      </c>
      <c r="U12" s="20">
        <f>+S12+T12*'Reporte Recursos'!$B$321</f>
        <v>262.46499999999997</v>
      </c>
      <c r="V12" s="19">
        <f>+Olga!$L$61</f>
        <v>1.5</v>
      </c>
    </row>
    <row r="13" spans="1:22" x14ac:dyDescent="0.2">
      <c r="A13" s="16" t="s">
        <v>48</v>
      </c>
      <c r="B13" s="19">
        <v>87.7</v>
      </c>
      <c r="C13" s="20">
        <f>+Peta!$B$7</f>
        <v>0</v>
      </c>
      <c r="D13" s="20">
        <f>+Peta!$F$7</f>
        <v>0</v>
      </c>
      <c r="E13" s="19">
        <f>+Peta!$I$7</f>
        <v>0</v>
      </c>
      <c r="F13" s="20">
        <f>+D13+E13*'Reporte Recursos'!$B$321</f>
        <v>0</v>
      </c>
      <c r="G13" s="19">
        <f>+Peta!$L$3</f>
        <v>0</v>
      </c>
      <c r="H13" s="20">
        <f>+Peta!$B$20</f>
        <v>0</v>
      </c>
      <c r="I13" s="20">
        <f>+Peta!$F$20</f>
        <v>0</v>
      </c>
      <c r="J13" s="19">
        <f>+Peta!$I$20</f>
        <v>0</v>
      </c>
      <c r="K13" s="20">
        <f>+I13+J13*'Reporte Recursos'!$B$321</f>
        <v>0</v>
      </c>
      <c r="L13" s="19">
        <f>+Peta!$L$20</f>
        <v>0</v>
      </c>
      <c r="M13" s="20">
        <f>+Peta!$B$33</f>
        <v>133837.1</v>
      </c>
      <c r="N13" s="20">
        <f>+Peta!$F$33</f>
        <v>63.67</v>
      </c>
      <c r="O13" s="19">
        <f>+Peta!$I$33</f>
        <v>2.6240000000000001</v>
      </c>
      <c r="P13" s="20">
        <f>+N13+O13*'Reporte Recursos'!$B$321</f>
        <v>260.47000000000003</v>
      </c>
      <c r="Q13" s="19">
        <f>+Peta!$L$33</f>
        <v>1.635</v>
      </c>
      <c r="R13" s="20">
        <f>+Peta!$B$61</f>
        <v>133837.1</v>
      </c>
      <c r="S13" s="20">
        <f>+Peta!$F$61</f>
        <v>63.67</v>
      </c>
      <c r="T13" s="19">
        <f>+Peta!$I$61</f>
        <v>2.6240000000000001</v>
      </c>
      <c r="U13" s="20">
        <f>+S13+T13*'Reporte Recursos'!$B$321</f>
        <v>260.47000000000003</v>
      </c>
      <c r="V13" s="19">
        <f>+Peta!$L$61</f>
        <v>1.635</v>
      </c>
    </row>
    <row r="14" spans="1:22" x14ac:dyDescent="0.2">
      <c r="A14" s="16" t="s">
        <v>45</v>
      </c>
      <c r="B14" s="19">
        <v>87.7</v>
      </c>
      <c r="C14" s="20">
        <f>+Ross!$B$7</f>
        <v>0</v>
      </c>
      <c r="D14" s="20">
        <f>+Ross!$F$7</f>
        <v>0</v>
      </c>
      <c r="E14" s="19">
        <f>+Ross!$I$7</f>
        <v>0</v>
      </c>
      <c r="F14" s="20">
        <f>+D14+E14*'Reporte Recursos'!$B$321</f>
        <v>0</v>
      </c>
      <c r="G14" s="19">
        <f>+Ross!$L$3</f>
        <v>0</v>
      </c>
      <c r="H14" s="20">
        <f>+Ross!$B$20</f>
        <v>0</v>
      </c>
      <c r="I14" s="20">
        <f>+Ross!$F$20</f>
        <v>0</v>
      </c>
      <c r="J14" s="19">
        <f>+Ross!$I$20</f>
        <v>0</v>
      </c>
      <c r="K14" s="20">
        <f>+I14+J14*'Reporte Recursos'!$B$321</f>
        <v>0</v>
      </c>
      <c r="L14" s="19">
        <f>+Ross!$L$20</f>
        <v>0</v>
      </c>
      <c r="M14" s="20">
        <f>+Ross!$B$33</f>
        <v>137884.20000000001</v>
      </c>
      <c r="N14" s="20">
        <f>+Ross!$F$33</f>
        <v>87.61</v>
      </c>
      <c r="O14" s="19">
        <f>+Ross!$I$33</f>
        <v>2.0990000000000002</v>
      </c>
      <c r="P14" s="20">
        <f>+N14+O14*'Reporte Recursos'!$B$321</f>
        <v>245.03500000000003</v>
      </c>
      <c r="Q14" s="19">
        <f>+Ross!$L$33</f>
        <v>0.99</v>
      </c>
      <c r="R14" s="20">
        <f>+Ross!$B$61</f>
        <v>137884.20000000001</v>
      </c>
      <c r="S14" s="20">
        <f>+Ross!$F$61</f>
        <v>87.61</v>
      </c>
      <c r="T14" s="19">
        <f>+Ross!$I$61</f>
        <v>2.0990000000000002</v>
      </c>
      <c r="U14" s="20">
        <f>+S14+T14*'Reporte Recursos'!$B$321</f>
        <v>245.03500000000003</v>
      </c>
      <c r="V14" s="19">
        <f>+Ross!$L$61</f>
        <v>0.99</v>
      </c>
    </row>
    <row r="15" spans="1:22" x14ac:dyDescent="0.2">
      <c r="A15" s="16" t="s">
        <v>41</v>
      </c>
      <c r="B15" s="19">
        <v>87.7</v>
      </c>
      <c r="C15" s="20">
        <f>+Rosy!$B$7</f>
        <v>0</v>
      </c>
      <c r="D15" s="20">
        <f>+Rosy!$F$7</f>
        <v>0</v>
      </c>
      <c r="E15" s="19">
        <f>+Rosy!$I$7</f>
        <v>0</v>
      </c>
      <c r="F15" s="20">
        <f>+D15+E15*'Reporte Recursos'!$B$321</f>
        <v>0</v>
      </c>
      <c r="G15" s="19">
        <f>+Rosy!$L$3</f>
        <v>0</v>
      </c>
      <c r="H15" s="20">
        <f>+Rosy!$B$20</f>
        <v>2705.6</v>
      </c>
      <c r="I15" s="20">
        <f>+Rosy!$F$20</f>
        <v>391.95</v>
      </c>
      <c r="J15" s="19">
        <f>+Rosy!$I$20</f>
        <v>1.9059999999999999</v>
      </c>
      <c r="K15" s="20">
        <f>+I15+J15*'Reporte Recursos'!$B$321</f>
        <v>534.9</v>
      </c>
      <c r="L15" s="19">
        <f>+Rosy!$L$20</f>
        <v>0.88300000000000001</v>
      </c>
      <c r="M15" s="20">
        <f>+Rosy!$B$33</f>
        <v>97671.7</v>
      </c>
      <c r="N15" s="20">
        <f>+Rosy!$F$33</f>
        <v>134.26</v>
      </c>
      <c r="O15" s="19">
        <f>+Rosy!$I$33</f>
        <v>1.8120000000000001</v>
      </c>
      <c r="P15" s="20">
        <f>+N15+O15*'Reporte Recursos'!$B$321</f>
        <v>270.15999999999997</v>
      </c>
      <c r="Q15" s="19">
        <f>+Rosy!$L$33</f>
        <v>1.833</v>
      </c>
      <c r="R15" s="20">
        <f>+Rosy!$B$61</f>
        <v>100377.3</v>
      </c>
      <c r="S15" s="20">
        <f>+Rosy!$F$61</f>
        <v>141.19999999999999</v>
      </c>
      <c r="T15" s="19">
        <f>+Rosy!$I$61</f>
        <v>1.8140000000000001</v>
      </c>
      <c r="U15" s="20">
        <f>+S15+T15*'Reporte Recursos'!$B$321</f>
        <v>277.25</v>
      </c>
      <c r="V15" s="19">
        <f>+Rosy!$L$61</f>
        <v>1.8069999999999999</v>
      </c>
    </row>
    <row r="16" spans="1:22" x14ac:dyDescent="0.2">
      <c r="A16" s="121" t="s">
        <v>113</v>
      </c>
      <c r="B16" s="122">
        <v>87.7</v>
      </c>
      <c r="C16" s="123">
        <v>16060.715715281565</v>
      </c>
      <c r="D16" s="123">
        <v>134.82879918559146</v>
      </c>
      <c r="E16" s="122">
        <v>5.3397584785164156</v>
      </c>
      <c r="F16" s="123">
        <v>578.02875290245413</v>
      </c>
      <c r="G16" s="122">
        <v>1.9745062045626465</v>
      </c>
      <c r="H16" s="123">
        <v>100665.2446078486</v>
      </c>
      <c r="I16" s="123">
        <v>106.82015481510881</v>
      </c>
      <c r="J16" s="122">
        <v>2.8792379320829071</v>
      </c>
      <c r="K16" s="123">
        <v>345.79690317799032</v>
      </c>
      <c r="L16" s="122">
        <v>2.1049467496711838</v>
      </c>
      <c r="M16" s="123">
        <v>230613.67774899333</v>
      </c>
      <c r="N16" s="123">
        <v>114.20340245583151</v>
      </c>
      <c r="O16" s="122">
        <v>2.8493090992757621</v>
      </c>
      <c r="P16" s="123">
        <v>350.69605769571973</v>
      </c>
      <c r="Q16" s="122">
        <v>2.3828442492707258</v>
      </c>
      <c r="R16" s="123">
        <v>347339.63807212352</v>
      </c>
      <c r="S16" s="123">
        <v>113.01730748939237</v>
      </c>
      <c r="T16" s="122">
        <v>2.9731394602370722</v>
      </c>
      <c r="U16" s="123">
        <v>359.78788268906982</v>
      </c>
      <c r="V16" s="122">
        <v>2.2834233446582859</v>
      </c>
    </row>
    <row r="17" spans="1:22" x14ac:dyDescent="0.2">
      <c r="A17" s="121" t="s">
        <v>112</v>
      </c>
      <c r="B17" s="122">
        <v>87.7</v>
      </c>
      <c r="C17" s="123">
        <v>322075.51512360759</v>
      </c>
      <c r="D17" s="123">
        <v>479.0730566275534</v>
      </c>
      <c r="E17" s="122">
        <v>10.270419545965121</v>
      </c>
      <c r="F17" s="123">
        <v>1331.5178789426532</v>
      </c>
      <c r="G17" s="122">
        <v>5.7281990578384114</v>
      </c>
      <c r="H17" s="123">
        <v>394447.70102218352</v>
      </c>
      <c r="I17" s="123">
        <v>327.70167151685348</v>
      </c>
      <c r="J17" s="122">
        <v>5.9369058937029431</v>
      </c>
      <c r="K17" s="123">
        <v>820.46486069418836</v>
      </c>
      <c r="L17" s="122">
        <v>5.0397820420612742</v>
      </c>
      <c r="M17" s="123">
        <v>230233.43978251889</v>
      </c>
      <c r="N17" s="123">
        <v>276.86244911354487</v>
      </c>
      <c r="O17" s="122">
        <v>5.1526361490240671</v>
      </c>
      <c r="P17" s="123">
        <v>704.53124948254458</v>
      </c>
      <c r="Q17" s="122">
        <v>3.5668739438581905</v>
      </c>
      <c r="R17" s="123">
        <v>946756.65592831001</v>
      </c>
      <c r="S17" s="123">
        <v>366.83329795194527</v>
      </c>
      <c r="T17" s="122">
        <v>7.2203967603409271</v>
      </c>
      <c r="U17" s="123">
        <v>966.12622906023739</v>
      </c>
      <c r="V17" s="122">
        <v>4.9157898501696078</v>
      </c>
    </row>
    <row r="18" spans="1:22" x14ac:dyDescent="0.2">
      <c r="A18" s="121" t="s">
        <v>111</v>
      </c>
      <c r="B18" s="122">
        <v>87.7</v>
      </c>
      <c r="C18" s="123">
        <v>44929.389593670654</v>
      </c>
      <c r="D18" s="123">
        <v>267.13212228423862</v>
      </c>
      <c r="E18" s="122">
        <v>6.7221432806517303</v>
      </c>
      <c r="F18" s="123">
        <v>825.07001457833394</v>
      </c>
      <c r="G18" s="122">
        <v>2.1500498722794363</v>
      </c>
      <c r="H18" s="123">
        <v>13927.499781498555</v>
      </c>
      <c r="I18" s="123">
        <v>183.37711161255459</v>
      </c>
      <c r="J18" s="122">
        <v>4.4426551419383822</v>
      </c>
      <c r="K18" s="123">
        <v>552.11748839344011</v>
      </c>
      <c r="L18" s="122">
        <v>1.4334366452715444</v>
      </c>
      <c r="M18" s="123">
        <v>36283.38080798489</v>
      </c>
      <c r="N18" s="123">
        <v>108.21810038751563</v>
      </c>
      <c r="O18" s="122">
        <v>1.8565924472764868</v>
      </c>
      <c r="P18" s="123">
        <v>262.31527351146428</v>
      </c>
      <c r="Q18" s="122">
        <v>1.5015900910181883</v>
      </c>
      <c r="R18" s="123">
        <v>95140.27018315412</v>
      </c>
      <c r="S18" s="123">
        <v>194.26670103106215</v>
      </c>
      <c r="T18" s="122">
        <v>4.5328894149558385</v>
      </c>
      <c r="U18" s="123">
        <v>570.4965224723984</v>
      </c>
      <c r="V18" s="122">
        <v>1.7978441902876994</v>
      </c>
    </row>
    <row r="19" spans="1:22" x14ac:dyDescent="0.2">
      <c r="A19" s="121" t="s">
        <v>110</v>
      </c>
      <c r="B19" s="122">
        <v>87.7</v>
      </c>
      <c r="C19" s="123">
        <v>36304.007007922402</v>
      </c>
      <c r="D19" s="123">
        <v>98.895338565024403</v>
      </c>
      <c r="E19" s="122">
        <v>3.5615365943674289</v>
      </c>
      <c r="F19" s="123">
        <v>394.50287589752088</v>
      </c>
      <c r="G19" s="122">
        <v>2.3965967642312309</v>
      </c>
      <c r="H19" s="123">
        <v>40193.35754728262</v>
      </c>
      <c r="I19" s="123">
        <v>93.873418739132092</v>
      </c>
      <c r="J19" s="122">
        <v>3.1266488572313245</v>
      </c>
      <c r="K19" s="123">
        <v>353.38527388933215</v>
      </c>
      <c r="L19" s="122">
        <v>1.4100992714292742</v>
      </c>
      <c r="M19" s="123">
        <v>4847.4079055635684</v>
      </c>
      <c r="N19" s="123">
        <v>71.603235923966537</v>
      </c>
      <c r="O19" s="122">
        <v>3.246166770139201</v>
      </c>
      <c r="P19" s="123">
        <v>341.03507784552033</v>
      </c>
      <c r="Q19" s="122">
        <v>1.016762439844243</v>
      </c>
      <c r="R19" s="123">
        <v>81344.77246076861</v>
      </c>
      <c r="S19" s="123">
        <v>94.787591218398717</v>
      </c>
      <c r="T19" s="122">
        <v>3.3278605520630813</v>
      </c>
      <c r="U19" s="123">
        <v>371.0000170396342</v>
      </c>
      <c r="V19" s="122">
        <v>1.8269318077961094</v>
      </c>
    </row>
    <row r="20" spans="1:22" x14ac:dyDescent="0.2">
      <c r="A20" s="121" t="s">
        <v>109</v>
      </c>
      <c r="B20" s="122">
        <v>87.7</v>
      </c>
      <c r="C20" s="123">
        <v>0</v>
      </c>
      <c r="D20" s="123">
        <v>0</v>
      </c>
      <c r="E20" s="122">
        <v>0</v>
      </c>
      <c r="F20" s="123">
        <v>0</v>
      </c>
      <c r="G20" s="122">
        <v>0</v>
      </c>
      <c r="H20" s="123">
        <v>0</v>
      </c>
      <c r="I20" s="123">
        <v>0</v>
      </c>
      <c r="J20" s="122">
        <v>0</v>
      </c>
      <c r="K20" s="123">
        <v>0</v>
      </c>
      <c r="L20" s="122">
        <v>0</v>
      </c>
      <c r="M20" s="123">
        <v>17359.80395625798</v>
      </c>
      <c r="N20" s="123">
        <v>91.894150859562629</v>
      </c>
      <c r="O20" s="122">
        <v>2.6025647906430738</v>
      </c>
      <c r="P20" s="123">
        <v>307.90702848293807</v>
      </c>
      <c r="Q20" s="122">
        <v>1.2496635444940458</v>
      </c>
      <c r="R20" s="123">
        <v>17359.80395625798</v>
      </c>
      <c r="S20" s="123">
        <v>91.894150859562629</v>
      </c>
      <c r="T20" s="122">
        <v>2.6025647906430738</v>
      </c>
      <c r="U20" s="123">
        <v>307.90702848293807</v>
      </c>
      <c r="V20" s="122">
        <v>1.2496635444940458</v>
      </c>
    </row>
    <row r="21" spans="1:22" x14ac:dyDescent="0.2">
      <c r="A21" s="121" t="s">
        <v>108</v>
      </c>
      <c r="B21" s="122">
        <v>87.7</v>
      </c>
      <c r="C21" s="123">
        <v>0</v>
      </c>
      <c r="D21" s="123">
        <v>0</v>
      </c>
      <c r="E21" s="122">
        <v>0</v>
      </c>
      <c r="F21" s="123">
        <v>0</v>
      </c>
      <c r="G21" s="122">
        <v>0</v>
      </c>
      <c r="H21" s="123">
        <v>12803.385092959943</v>
      </c>
      <c r="I21" s="123">
        <v>115.15987965152289</v>
      </c>
      <c r="J21" s="122">
        <v>1.533877520972331</v>
      </c>
      <c r="K21" s="123">
        <v>242.47171389222635</v>
      </c>
      <c r="L21" s="122">
        <v>1.1084895954703911</v>
      </c>
      <c r="M21" s="123">
        <v>43537.469108649901</v>
      </c>
      <c r="N21" s="123">
        <v>174.27896172902192</v>
      </c>
      <c r="O21" s="122">
        <v>0.97116217793734161</v>
      </c>
      <c r="P21" s="123">
        <v>254.88542249782088</v>
      </c>
      <c r="Q21" s="122">
        <v>1.1799216127712338</v>
      </c>
      <c r="R21" s="123">
        <v>56340.854201609865</v>
      </c>
      <c r="S21" s="123">
        <v>160.84422800148641</v>
      </c>
      <c r="T21" s="122">
        <v>1.0990385003092542</v>
      </c>
      <c r="U21" s="123">
        <v>252.06442352715405</v>
      </c>
      <c r="V21" s="122">
        <v>1.1636887806917455</v>
      </c>
    </row>
    <row r="22" spans="1:22" x14ac:dyDescent="0.2">
      <c r="A22" s="121" t="s">
        <v>107</v>
      </c>
      <c r="B22" s="122">
        <v>87.7</v>
      </c>
      <c r="C22" s="123">
        <v>0</v>
      </c>
      <c r="D22" s="123">
        <v>0</v>
      </c>
      <c r="E22" s="122">
        <v>0</v>
      </c>
      <c r="F22" s="123">
        <v>0</v>
      </c>
      <c r="G22" s="122">
        <v>0</v>
      </c>
      <c r="H22" s="123">
        <v>32548.321890537958</v>
      </c>
      <c r="I22" s="123">
        <v>176.32177675920528</v>
      </c>
      <c r="J22" s="122">
        <v>3.5714773190596767</v>
      </c>
      <c r="K22" s="123">
        <v>472.75439424115865</v>
      </c>
      <c r="L22" s="122">
        <v>1.0861872103147374</v>
      </c>
      <c r="M22" s="123">
        <v>131976.07326640081</v>
      </c>
      <c r="N22" s="123">
        <v>168.58336610568043</v>
      </c>
      <c r="O22" s="122">
        <v>2.0258862838451055</v>
      </c>
      <c r="P22" s="123">
        <v>336.73192766482458</v>
      </c>
      <c r="Q22" s="122">
        <v>1.0009082963292995</v>
      </c>
      <c r="R22" s="123">
        <v>164524.39515693879</v>
      </c>
      <c r="S22" s="123">
        <v>170.1142775588529</v>
      </c>
      <c r="T22" s="122">
        <v>2.3316548872021214</v>
      </c>
      <c r="U22" s="123">
        <v>363.6416331966289</v>
      </c>
      <c r="V22" s="122">
        <v>1.0177792627305216</v>
      </c>
    </row>
    <row r="23" spans="1:22" x14ac:dyDescent="0.2">
      <c r="A23" s="121" t="s">
        <v>106</v>
      </c>
      <c r="B23" s="122">
        <v>87.7</v>
      </c>
      <c r="C23" s="123">
        <v>1085.0416023194791</v>
      </c>
      <c r="D23" s="123">
        <v>212.45039492235173</v>
      </c>
      <c r="E23" s="122">
        <v>6.2836601580560858</v>
      </c>
      <c r="F23" s="123">
        <v>733.99418804100662</v>
      </c>
      <c r="G23" s="122">
        <v>2.1072046606829109</v>
      </c>
      <c r="H23" s="123">
        <v>3568.5902159485199</v>
      </c>
      <c r="I23" s="123">
        <v>147.68619990669197</v>
      </c>
      <c r="J23" s="122">
        <v>4.3296968445788497</v>
      </c>
      <c r="K23" s="123">
        <v>507.05103800673652</v>
      </c>
      <c r="L23" s="122">
        <v>1.9979352140438345</v>
      </c>
      <c r="M23" s="123">
        <v>13549.780706654272</v>
      </c>
      <c r="N23" s="123">
        <v>171.18062772272958</v>
      </c>
      <c r="O23" s="122">
        <v>4.1125210577729128</v>
      </c>
      <c r="P23" s="123">
        <v>512.51987551788136</v>
      </c>
      <c r="Q23" s="122">
        <v>2.0569385871452437</v>
      </c>
      <c r="R23" s="123">
        <v>18203.412524922285</v>
      </c>
      <c r="S23" s="123">
        <v>169.03473497594285</v>
      </c>
      <c r="T23" s="122">
        <v>4.2845101082808794</v>
      </c>
      <c r="U23" s="123">
        <v>524.64907396325634</v>
      </c>
      <c r="V23" s="122">
        <v>2.0483677722625702</v>
      </c>
    </row>
    <row r="24" spans="1:22" x14ac:dyDescent="0.2">
      <c r="A24" s="121" t="s">
        <v>105</v>
      </c>
      <c r="B24" s="122">
        <v>87.7</v>
      </c>
      <c r="C24" s="123">
        <v>5476.4421220791291</v>
      </c>
      <c r="D24" s="123">
        <v>93.438698262032517</v>
      </c>
      <c r="E24" s="122">
        <v>2.1780423130327411</v>
      </c>
      <c r="F24" s="123">
        <v>274.21621024375003</v>
      </c>
      <c r="G24" s="122">
        <v>1.8258569324334732</v>
      </c>
      <c r="H24" s="123">
        <v>1087.9594783061884</v>
      </c>
      <c r="I24" s="123">
        <v>60.178571483818729</v>
      </c>
      <c r="J24" s="122">
        <v>1.5819756596801993</v>
      </c>
      <c r="K24" s="123">
        <v>191.48255123727529</v>
      </c>
      <c r="L24" s="122">
        <v>1.2470933564024416</v>
      </c>
      <c r="M24" s="123">
        <v>21259.590294157977</v>
      </c>
      <c r="N24" s="123">
        <v>101.49799089980412</v>
      </c>
      <c r="O24" s="122">
        <v>2.2003568682504677</v>
      </c>
      <c r="P24" s="123">
        <v>284.12761096459332</v>
      </c>
      <c r="Q24" s="122">
        <v>1.7713903696690196</v>
      </c>
      <c r="R24" s="123">
        <v>27823.991894543291</v>
      </c>
      <c r="S24" s="123">
        <v>98.296074222820764</v>
      </c>
      <c r="T24" s="122">
        <v>2.1717851927621559</v>
      </c>
      <c r="U24" s="123">
        <v>278.55424522208017</v>
      </c>
      <c r="V24" s="122">
        <v>1.7616099281172</v>
      </c>
    </row>
    <row r="25" spans="1:22" x14ac:dyDescent="0.2">
      <c r="A25" s="121" t="s">
        <v>104</v>
      </c>
      <c r="B25" s="122">
        <v>87.7</v>
      </c>
      <c r="C25" s="123">
        <v>0</v>
      </c>
      <c r="D25" s="123">
        <v>0</v>
      </c>
      <c r="E25" s="122">
        <v>0</v>
      </c>
      <c r="F25" s="123">
        <v>0</v>
      </c>
      <c r="G25" s="122">
        <v>0</v>
      </c>
      <c r="H25" s="123">
        <v>0</v>
      </c>
      <c r="I25" s="123">
        <v>0</v>
      </c>
      <c r="J25" s="122">
        <v>0</v>
      </c>
      <c r="K25" s="123">
        <v>0</v>
      </c>
      <c r="L25" s="122">
        <v>0</v>
      </c>
      <c r="M25" s="123">
        <v>3542.9709536030132</v>
      </c>
      <c r="N25" s="123">
        <v>126.0376972566342</v>
      </c>
      <c r="O25" s="122">
        <v>2.6764514587949324</v>
      </c>
      <c r="P25" s="123">
        <v>348.18316833661373</v>
      </c>
      <c r="Q25" s="122">
        <v>1.1414644935880576</v>
      </c>
      <c r="R25" s="123">
        <v>3542.9709536030132</v>
      </c>
      <c r="S25" s="123">
        <v>126.0376972566342</v>
      </c>
      <c r="T25" s="122">
        <v>2.6764514587949324</v>
      </c>
      <c r="U25" s="123">
        <v>348.18316833661373</v>
      </c>
      <c r="V25" s="122">
        <v>1.1414644935880576</v>
      </c>
    </row>
    <row r="26" spans="1:22" x14ac:dyDescent="0.2">
      <c r="A26" s="121" t="s">
        <v>103</v>
      </c>
      <c r="B26" s="122">
        <v>87.7</v>
      </c>
      <c r="C26" s="123">
        <v>0</v>
      </c>
      <c r="D26" s="123">
        <v>0</v>
      </c>
      <c r="E26" s="122">
        <v>0</v>
      </c>
      <c r="F26" s="123">
        <v>0</v>
      </c>
      <c r="G26" s="122">
        <v>0</v>
      </c>
      <c r="H26" s="123">
        <v>0</v>
      </c>
      <c r="I26" s="123">
        <v>0</v>
      </c>
      <c r="J26" s="122">
        <v>0</v>
      </c>
      <c r="K26" s="123">
        <v>0</v>
      </c>
      <c r="L26" s="122">
        <v>0</v>
      </c>
      <c r="M26" s="123">
        <v>25297.29285443763</v>
      </c>
      <c r="N26" s="123">
        <v>101.23635702258188</v>
      </c>
      <c r="O26" s="122">
        <v>2.4730258905211731</v>
      </c>
      <c r="P26" s="123">
        <v>306.49750593583951</v>
      </c>
      <c r="Q26" s="122">
        <v>0.95993498452079151</v>
      </c>
      <c r="R26" s="123">
        <v>25297.29285443763</v>
      </c>
      <c r="S26" s="123">
        <v>101.23635702258188</v>
      </c>
      <c r="T26" s="122">
        <v>2.4730258905211731</v>
      </c>
      <c r="U26" s="123">
        <v>306.49750593583951</v>
      </c>
      <c r="V26" s="122">
        <v>0.95993498452079151</v>
      </c>
    </row>
    <row r="27" spans="1:22" x14ac:dyDescent="0.2">
      <c r="A27" s="121" t="s">
        <v>102</v>
      </c>
      <c r="B27" s="122">
        <v>87.7</v>
      </c>
      <c r="C27" s="123">
        <v>0</v>
      </c>
      <c r="D27" s="123">
        <v>0</v>
      </c>
      <c r="E27" s="122">
        <v>0</v>
      </c>
      <c r="F27" s="123">
        <v>0</v>
      </c>
      <c r="G27" s="122">
        <v>0</v>
      </c>
      <c r="H27" s="123">
        <v>0</v>
      </c>
      <c r="I27" s="123">
        <v>0</v>
      </c>
      <c r="J27" s="122">
        <v>0</v>
      </c>
      <c r="K27" s="123">
        <v>0</v>
      </c>
      <c r="L27" s="122">
        <v>0</v>
      </c>
      <c r="M27" s="123">
        <v>20834.039409042744</v>
      </c>
      <c r="N27" s="123">
        <v>142.75735811910258</v>
      </c>
      <c r="O27" s="122">
        <v>2.7150534286658918</v>
      </c>
      <c r="P27" s="123">
        <v>368.10679269837129</v>
      </c>
      <c r="Q27" s="122">
        <v>1.3022633169649318</v>
      </c>
      <c r="R27" s="123">
        <v>20834.039409042744</v>
      </c>
      <c r="S27" s="123">
        <v>142.75735811910258</v>
      </c>
      <c r="T27" s="122">
        <v>2.7150534286658918</v>
      </c>
      <c r="U27" s="123">
        <v>368.10679269837129</v>
      </c>
      <c r="V27" s="122">
        <v>1.3022633169649318</v>
      </c>
    </row>
    <row r="28" spans="1:22" x14ac:dyDescent="0.2">
      <c r="A28" s="121" t="s">
        <v>101</v>
      </c>
      <c r="B28" s="122">
        <v>87.7</v>
      </c>
      <c r="C28" s="123">
        <v>80519.290320203057</v>
      </c>
      <c r="D28" s="123">
        <v>256.31431296169904</v>
      </c>
      <c r="E28" s="122">
        <v>3.8132691493220943</v>
      </c>
      <c r="F28" s="123">
        <v>572.81565235543314</v>
      </c>
      <c r="G28" s="122">
        <v>1.7564871873608903</v>
      </c>
      <c r="H28" s="123">
        <v>49470.473781777524</v>
      </c>
      <c r="I28" s="123">
        <v>175.85813426114146</v>
      </c>
      <c r="J28" s="122">
        <v>2.3740596294398513</v>
      </c>
      <c r="K28" s="123">
        <v>372.90508350464899</v>
      </c>
      <c r="L28" s="122">
        <v>1.4559874472914367</v>
      </c>
      <c r="M28" s="123">
        <v>49942.501693294842</v>
      </c>
      <c r="N28" s="123">
        <v>129.1582078862007</v>
      </c>
      <c r="O28" s="122">
        <v>1.4985146441026402</v>
      </c>
      <c r="P28" s="123">
        <v>253.53492334671972</v>
      </c>
      <c r="Q28" s="122">
        <v>1.1772108612748864</v>
      </c>
      <c r="R28" s="123">
        <v>179932.26579527589</v>
      </c>
      <c r="S28" s="123">
        <v>198.89993413212321</v>
      </c>
      <c r="T28" s="122">
        <v>2.7750839923094772</v>
      </c>
      <c r="U28" s="123">
        <v>429.23190549381025</v>
      </c>
      <c r="V28" s="122">
        <v>1.5130824082602692</v>
      </c>
    </row>
    <row r="29" spans="1:22" x14ac:dyDescent="0.2">
      <c r="A29" s="121" t="s">
        <v>100</v>
      </c>
      <c r="B29" s="122">
        <v>87.7</v>
      </c>
      <c r="C29" s="123">
        <v>53239.03970929006</v>
      </c>
      <c r="D29" s="123">
        <v>214.81817080989265</v>
      </c>
      <c r="E29" s="122">
        <v>3.4465435930564219</v>
      </c>
      <c r="F29" s="123">
        <v>500.88128903357517</v>
      </c>
      <c r="G29" s="122">
        <v>2.4985431148420894</v>
      </c>
      <c r="H29" s="123">
        <v>108582.70295650177</v>
      </c>
      <c r="I29" s="123">
        <v>329.00643672317614</v>
      </c>
      <c r="J29" s="122">
        <v>4.9023959914591595</v>
      </c>
      <c r="K29" s="123">
        <v>735.90530401428623</v>
      </c>
      <c r="L29" s="122">
        <v>2.1531507505748704</v>
      </c>
      <c r="M29" s="123">
        <v>106619.97787327188</v>
      </c>
      <c r="N29" s="123">
        <v>122.7153048153675</v>
      </c>
      <c r="O29" s="122">
        <v>2.2074697147161011</v>
      </c>
      <c r="P29" s="123">
        <v>305.93529113680415</v>
      </c>
      <c r="Q29" s="122">
        <v>1.5673159901997313</v>
      </c>
      <c r="R29" s="123">
        <v>268441.7205390645</v>
      </c>
      <c r="S29" s="123">
        <v>224.42496747026334</v>
      </c>
      <c r="T29" s="122">
        <v>3.5432884618500116</v>
      </c>
      <c r="U29" s="123">
        <v>518.51790980381281</v>
      </c>
      <c r="V29" s="122">
        <v>1.9889686282744339</v>
      </c>
    </row>
    <row r="30" spans="1:22" x14ac:dyDescent="0.2">
      <c r="A30" s="121" t="s">
        <v>99</v>
      </c>
      <c r="B30" s="122">
        <v>87.7</v>
      </c>
      <c r="C30" s="123">
        <v>37083.335253836063</v>
      </c>
      <c r="D30" s="123">
        <v>167.5785176409783</v>
      </c>
      <c r="E30" s="122">
        <v>2.9645986716048527</v>
      </c>
      <c r="F30" s="123">
        <v>413.64020738418043</v>
      </c>
      <c r="G30" s="122">
        <v>1.2378049886058526</v>
      </c>
      <c r="H30" s="123">
        <v>47988.656385221526</v>
      </c>
      <c r="I30" s="123">
        <v>128.08632941493292</v>
      </c>
      <c r="J30" s="122">
        <v>1.8725113475019406</v>
      </c>
      <c r="K30" s="123">
        <v>283.50477125759375</v>
      </c>
      <c r="L30" s="122">
        <v>1.257071227341827</v>
      </c>
      <c r="M30" s="123">
        <v>3784.8988881690957</v>
      </c>
      <c r="N30" s="123">
        <v>123.056761262137</v>
      </c>
      <c r="O30" s="122">
        <v>1.4359932399278814</v>
      </c>
      <c r="P30" s="123">
        <v>242.24420017615122</v>
      </c>
      <c r="Q30" s="122">
        <v>0.87678633371047421</v>
      </c>
      <c r="R30" s="123">
        <v>88856.890527226846</v>
      </c>
      <c r="S30" s="123">
        <v>144.35367391019835</v>
      </c>
      <c r="T30" s="122">
        <v>2.3096869366505053</v>
      </c>
      <c r="U30" s="123">
        <v>336.05768965219045</v>
      </c>
      <c r="V30" s="122">
        <v>1.2328322938337997</v>
      </c>
    </row>
    <row r="31" spans="1:22" x14ac:dyDescent="0.2">
      <c r="A31" s="121" t="s">
        <v>98</v>
      </c>
      <c r="B31" s="122">
        <v>87.7</v>
      </c>
      <c r="C31" s="123">
        <v>0</v>
      </c>
      <c r="D31" s="123">
        <v>0</v>
      </c>
      <c r="E31" s="122">
        <v>0</v>
      </c>
      <c r="F31" s="123">
        <v>0</v>
      </c>
      <c r="G31" s="122">
        <v>0</v>
      </c>
      <c r="H31" s="123">
        <v>0</v>
      </c>
      <c r="I31" s="123">
        <v>0</v>
      </c>
      <c r="J31" s="122">
        <v>0</v>
      </c>
      <c r="K31" s="123">
        <v>0</v>
      </c>
      <c r="L31" s="122">
        <v>0</v>
      </c>
      <c r="M31" s="123">
        <v>270161.41556212655</v>
      </c>
      <c r="N31" s="123">
        <v>60.474262273425204</v>
      </c>
      <c r="O31" s="122">
        <v>4.0813802171109064</v>
      </c>
      <c r="P31" s="123">
        <v>399.22882029363114</v>
      </c>
      <c r="Q31" s="122">
        <v>0.83876138893219809</v>
      </c>
      <c r="R31" s="123">
        <v>270161.41556212655</v>
      </c>
      <c r="S31" s="123">
        <v>60.474262273425204</v>
      </c>
      <c r="T31" s="122">
        <v>4.0813802171109064</v>
      </c>
      <c r="U31" s="123">
        <v>399.22882029363114</v>
      </c>
      <c r="V31" s="122">
        <v>0.83876138893219809</v>
      </c>
    </row>
    <row r="32" spans="1:22" x14ac:dyDescent="0.2">
      <c r="A32" s="121" t="s">
        <v>132</v>
      </c>
      <c r="B32" s="122">
        <v>87.7</v>
      </c>
      <c r="C32" s="123">
        <v>0</v>
      </c>
      <c r="D32" s="123">
        <v>0</v>
      </c>
      <c r="E32" s="122">
        <v>0</v>
      </c>
      <c r="F32" s="123">
        <v>0</v>
      </c>
      <c r="G32" s="122">
        <v>0</v>
      </c>
      <c r="H32" s="123">
        <v>0</v>
      </c>
      <c r="I32" s="123">
        <v>0</v>
      </c>
      <c r="J32" s="122">
        <v>0</v>
      </c>
      <c r="K32" s="123">
        <v>0</v>
      </c>
      <c r="L32" s="122">
        <v>0</v>
      </c>
      <c r="M32" s="123">
        <v>10720.374504012507</v>
      </c>
      <c r="N32" s="123">
        <v>68.38733943904586</v>
      </c>
      <c r="O32" s="122">
        <v>2.2603530414487611</v>
      </c>
      <c r="P32" s="123">
        <v>255.99664187929295</v>
      </c>
      <c r="Q32" s="122">
        <v>1.6372718058098781</v>
      </c>
      <c r="R32" s="123">
        <v>10720.374504012507</v>
      </c>
      <c r="S32" s="123">
        <v>68.38733943904586</v>
      </c>
      <c r="T32" s="122">
        <v>2.2603530414487611</v>
      </c>
      <c r="U32" s="123">
        <v>255.99664187929295</v>
      </c>
      <c r="V32" s="122">
        <v>1.6372718058098781</v>
      </c>
    </row>
    <row r="33" spans="1:22" x14ac:dyDescent="0.2">
      <c r="A33" s="121" t="s">
        <v>96</v>
      </c>
      <c r="B33" s="122">
        <v>87.7</v>
      </c>
      <c r="C33" s="123">
        <v>0</v>
      </c>
      <c r="D33" s="123">
        <v>0</v>
      </c>
      <c r="E33" s="122">
        <v>0</v>
      </c>
      <c r="F33" s="123">
        <v>0</v>
      </c>
      <c r="G33" s="122">
        <v>0</v>
      </c>
      <c r="H33" s="123">
        <v>42029.138263982626</v>
      </c>
      <c r="I33" s="123">
        <v>175.18702727686596</v>
      </c>
      <c r="J33" s="122">
        <v>4.4072879389976825</v>
      </c>
      <c r="K33" s="123">
        <v>540.99192621367274</v>
      </c>
      <c r="L33" s="122">
        <v>1.300063809084627</v>
      </c>
      <c r="M33" s="123">
        <v>118381.52402189038</v>
      </c>
      <c r="N33" s="123">
        <v>96.962062098964452</v>
      </c>
      <c r="O33" s="122">
        <v>1.6618889941594295</v>
      </c>
      <c r="P33" s="123">
        <v>234.89884861419739</v>
      </c>
      <c r="Q33" s="122">
        <v>0.88336998510565623</v>
      </c>
      <c r="R33" s="123">
        <v>160410.66228587262</v>
      </c>
      <c r="S33" s="123">
        <v>117.45775627730991</v>
      </c>
      <c r="T33" s="122">
        <v>2.3812099557347035</v>
      </c>
      <c r="U33" s="123">
        <v>315.09818260329189</v>
      </c>
      <c r="V33" s="122">
        <v>0.9925477797247485</v>
      </c>
    </row>
    <row r="34" spans="1:22" x14ac:dyDescent="0.2">
      <c r="A34" s="121" t="s">
        <v>95</v>
      </c>
      <c r="B34" s="122">
        <v>87.7</v>
      </c>
      <c r="C34" s="123">
        <v>0</v>
      </c>
      <c r="D34" s="123">
        <v>0</v>
      </c>
      <c r="E34" s="122">
        <v>0</v>
      </c>
      <c r="F34" s="123">
        <v>0</v>
      </c>
      <c r="G34" s="122">
        <v>0</v>
      </c>
      <c r="H34" s="123">
        <v>0</v>
      </c>
      <c r="I34" s="123">
        <v>0</v>
      </c>
      <c r="J34" s="122">
        <v>0</v>
      </c>
      <c r="K34" s="123">
        <v>0</v>
      </c>
      <c r="L34" s="122">
        <v>0</v>
      </c>
      <c r="M34" s="123">
        <v>172049.29729937401</v>
      </c>
      <c r="N34" s="123">
        <v>63.328251179432442</v>
      </c>
      <c r="O34" s="122">
        <v>2.0868716890997292</v>
      </c>
      <c r="P34" s="123">
        <v>236.53860137470909</v>
      </c>
      <c r="Q34" s="122">
        <v>1.2862676861455036</v>
      </c>
      <c r="R34" s="123">
        <v>172049.29729937401</v>
      </c>
      <c r="S34" s="123">
        <v>63.328251179432442</v>
      </c>
      <c r="T34" s="122">
        <v>2.0868716890997292</v>
      </c>
      <c r="U34" s="123">
        <v>236.53860137470909</v>
      </c>
      <c r="V34" s="122">
        <v>1.2862676861455036</v>
      </c>
    </row>
    <row r="35" spans="1:22" x14ac:dyDescent="0.2">
      <c r="A35" s="121" t="s">
        <v>94</v>
      </c>
      <c r="B35" s="122">
        <v>87.7</v>
      </c>
      <c r="C35" s="123">
        <v>454652.56049102917</v>
      </c>
      <c r="D35" s="123">
        <v>149.65789035228801</v>
      </c>
      <c r="E35" s="122">
        <v>4.2609598949372849</v>
      </c>
      <c r="F35" s="123">
        <v>503.31756163207604</v>
      </c>
      <c r="G35" s="122">
        <v>3.2805197676339124</v>
      </c>
      <c r="H35" s="123">
        <v>289709.95658468641</v>
      </c>
      <c r="I35" s="123">
        <v>96.65287149096595</v>
      </c>
      <c r="J35" s="122">
        <v>2.4293663483659351</v>
      </c>
      <c r="K35" s="123">
        <v>298.29027840533479</v>
      </c>
      <c r="L35" s="122">
        <v>1.8071045846382516</v>
      </c>
      <c r="M35" s="123">
        <v>137424.915656453</v>
      </c>
      <c r="N35" s="123">
        <v>132.49458010619608</v>
      </c>
      <c r="O35" s="122">
        <v>2.7003366457215248</v>
      </c>
      <c r="P35" s="123">
        <v>356.62252170108223</v>
      </c>
      <c r="Q35" s="122">
        <v>1.1693986093755471</v>
      </c>
      <c r="R35" s="123">
        <v>881787.43273216859</v>
      </c>
      <c r="S35" s="123">
        <v>129.56830014215024</v>
      </c>
      <c r="T35" s="122">
        <v>3.4159723417076711</v>
      </c>
      <c r="U35" s="123">
        <v>413.09400450388938</v>
      </c>
      <c r="V35" s="122">
        <v>2.4674171204465121</v>
      </c>
    </row>
    <row r="36" spans="1:22" x14ac:dyDescent="0.2">
      <c r="A36" s="121" t="s">
        <v>93</v>
      </c>
      <c r="B36" s="122">
        <v>87.7</v>
      </c>
      <c r="C36" s="123">
        <v>0</v>
      </c>
      <c r="D36" s="123">
        <v>0</v>
      </c>
      <c r="E36" s="122">
        <v>0</v>
      </c>
      <c r="F36" s="123">
        <v>0</v>
      </c>
      <c r="G36" s="122">
        <v>0</v>
      </c>
      <c r="H36" s="123">
        <v>0</v>
      </c>
      <c r="I36" s="123">
        <v>0</v>
      </c>
      <c r="J36" s="122">
        <v>0</v>
      </c>
      <c r="K36" s="123">
        <v>0</v>
      </c>
      <c r="L36" s="122">
        <v>0</v>
      </c>
      <c r="M36" s="123">
        <v>483999.08753896097</v>
      </c>
      <c r="N36" s="123">
        <v>163.5045200275471</v>
      </c>
      <c r="O36" s="122">
        <v>5.338039483722925</v>
      </c>
      <c r="P36" s="123">
        <v>606.56179717654777</v>
      </c>
      <c r="Q36" s="122">
        <v>3.3126436667425279</v>
      </c>
      <c r="R36" s="123">
        <v>483999.08753896097</v>
      </c>
      <c r="S36" s="123">
        <v>163.5045200275471</v>
      </c>
      <c r="T36" s="122">
        <v>5.338039483722925</v>
      </c>
      <c r="U36" s="123">
        <v>606.56179717654777</v>
      </c>
      <c r="V36" s="122">
        <v>3.3126436667425279</v>
      </c>
    </row>
    <row r="37" spans="1:22" x14ac:dyDescent="0.2">
      <c r="A37" s="121" t="s">
        <v>92</v>
      </c>
      <c r="B37" s="122">
        <v>87.7</v>
      </c>
      <c r="C37" s="123">
        <v>0</v>
      </c>
      <c r="D37" s="123">
        <v>0</v>
      </c>
      <c r="E37" s="122">
        <v>0</v>
      </c>
      <c r="F37" s="123">
        <v>0</v>
      </c>
      <c r="G37" s="122">
        <v>0</v>
      </c>
      <c r="H37" s="123">
        <v>0</v>
      </c>
      <c r="I37" s="123">
        <v>0</v>
      </c>
      <c r="J37" s="122">
        <v>0</v>
      </c>
      <c r="K37" s="123">
        <v>0</v>
      </c>
      <c r="L37" s="122">
        <v>0</v>
      </c>
      <c r="M37" s="123">
        <v>241534.97931516243</v>
      </c>
      <c r="N37" s="123">
        <v>113.67425770039601</v>
      </c>
      <c r="O37" s="122">
        <v>3.2849821562703263</v>
      </c>
      <c r="P37" s="123">
        <v>386.32777667083315</v>
      </c>
      <c r="Q37" s="122">
        <v>2.5192756034136989</v>
      </c>
      <c r="R37" s="123">
        <v>241534.97931516243</v>
      </c>
      <c r="S37" s="123">
        <v>113.67425770039601</v>
      </c>
      <c r="T37" s="122">
        <v>3.2849821562703263</v>
      </c>
      <c r="U37" s="123">
        <v>386.32777667083315</v>
      </c>
      <c r="V37" s="122">
        <v>2.5192756034136989</v>
      </c>
    </row>
    <row r="38" spans="1:22" x14ac:dyDescent="0.2">
      <c r="A38" s="121" t="s">
        <v>91</v>
      </c>
      <c r="B38" s="122">
        <v>87.7</v>
      </c>
      <c r="C38" s="123">
        <v>0</v>
      </c>
      <c r="D38" s="123">
        <v>0</v>
      </c>
      <c r="E38" s="122">
        <v>0</v>
      </c>
      <c r="F38" s="123">
        <v>0</v>
      </c>
      <c r="G38" s="122">
        <v>0</v>
      </c>
      <c r="H38" s="123">
        <v>0</v>
      </c>
      <c r="I38" s="123">
        <v>0</v>
      </c>
      <c r="J38" s="122">
        <v>0</v>
      </c>
      <c r="K38" s="123">
        <v>0</v>
      </c>
      <c r="L38" s="122">
        <v>0</v>
      </c>
      <c r="M38" s="123">
        <v>55521.628845336003</v>
      </c>
      <c r="N38" s="123">
        <v>61.270408016105051</v>
      </c>
      <c r="O38" s="122">
        <v>1.2959548761866373</v>
      </c>
      <c r="P38" s="123">
        <v>168.83466273959604</v>
      </c>
      <c r="Q38" s="122">
        <v>0.80428933211627129</v>
      </c>
      <c r="R38" s="123">
        <v>55521.628845336003</v>
      </c>
      <c r="S38" s="123">
        <v>61.270408016105051</v>
      </c>
      <c r="T38" s="122">
        <v>1.2959548761866373</v>
      </c>
      <c r="U38" s="123">
        <v>168.83466273959604</v>
      </c>
      <c r="V38" s="122">
        <v>0.80428933211627129</v>
      </c>
    </row>
    <row r="39" spans="1:22" x14ac:dyDescent="0.2">
      <c r="A39" s="121" t="s">
        <v>90</v>
      </c>
      <c r="B39" s="122">
        <v>87.7</v>
      </c>
      <c r="C39" s="123">
        <v>0</v>
      </c>
      <c r="D39" s="123">
        <v>0</v>
      </c>
      <c r="E39" s="122">
        <v>0</v>
      </c>
      <c r="F39" s="123">
        <v>0</v>
      </c>
      <c r="G39" s="122">
        <v>0</v>
      </c>
      <c r="H39" s="123">
        <v>0</v>
      </c>
      <c r="I39" s="123">
        <v>0</v>
      </c>
      <c r="J39" s="122">
        <v>0</v>
      </c>
      <c r="K39" s="123">
        <v>0</v>
      </c>
      <c r="L39" s="122">
        <v>0</v>
      </c>
      <c r="M39" s="123">
        <v>162584.33058930351</v>
      </c>
      <c r="N39" s="123">
        <v>68.298983499123452</v>
      </c>
      <c r="O39" s="122">
        <v>1.7679787273593208</v>
      </c>
      <c r="P39" s="123">
        <v>215.04121786994679</v>
      </c>
      <c r="Q39" s="122">
        <v>1.2546169853525719</v>
      </c>
      <c r="R39" s="123">
        <v>162584.33058930351</v>
      </c>
      <c r="S39" s="123">
        <v>68.298983499123452</v>
      </c>
      <c r="T39" s="122">
        <v>1.7679787273593208</v>
      </c>
      <c r="U39" s="123">
        <v>215.04121786994679</v>
      </c>
      <c r="V39" s="122">
        <v>1.2546169853525719</v>
      </c>
    </row>
    <row r="40" spans="1:22" x14ac:dyDescent="0.2">
      <c r="A40" s="121" t="s">
        <v>89</v>
      </c>
      <c r="B40" s="122">
        <v>87.7</v>
      </c>
      <c r="C40" s="123">
        <v>0</v>
      </c>
      <c r="D40" s="123">
        <v>0</v>
      </c>
      <c r="E40" s="122">
        <v>0</v>
      </c>
      <c r="F40" s="123">
        <v>0</v>
      </c>
      <c r="G40" s="122">
        <v>0</v>
      </c>
      <c r="H40" s="123">
        <v>0</v>
      </c>
      <c r="I40" s="123">
        <v>0</v>
      </c>
      <c r="J40" s="122">
        <v>0</v>
      </c>
      <c r="K40" s="123">
        <v>0</v>
      </c>
      <c r="L40" s="122">
        <v>0</v>
      </c>
      <c r="M40" s="123">
        <v>200379.74562047608</v>
      </c>
      <c r="N40" s="123">
        <v>98.574892877131845</v>
      </c>
      <c r="O40" s="122">
        <v>2.7874761819324969</v>
      </c>
      <c r="P40" s="123">
        <v>329.93541597752926</v>
      </c>
      <c r="Q40" s="122">
        <v>1.371892881115482</v>
      </c>
      <c r="R40" s="123">
        <v>200379.74562047608</v>
      </c>
      <c r="S40" s="123">
        <v>98.574892877131845</v>
      </c>
      <c r="T40" s="122">
        <v>2.7874761819324969</v>
      </c>
      <c r="U40" s="123">
        <v>329.93541597752926</v>
      </c>
      <c r="V40" s="122">
        <v>1.371892881115482</v>
      </c>
    </row>
    <row r="41" spans="1:22" x14ac:dyDescent="0.2">
      <c r="A41" s="121" t="s">
        <v>88</v>
      </c>
      <c r="B41" s="122">
        <v>87.7</v>
      </c>
      <c r="C41" s="123">
        <v>0</v>
      </c>
      <c r="D41" s="123">
        <v>0</v>
      </c>
      <c r="E41" s="122">
        <v>0</v>
      </c>
      <c r="F41" s="123">
        <v>0</v>
      </c>
      <c r="G41" s="122">
        <v>0</v>
      </c>
      <c r="H41" s="123">
        <v>37706.275478955824</v>
      </c>
      <c r="I41" s="123">
        <v>65.239964418033296</v>
      </c>
      <c r="J41" s="122">
        <v>2.58879199091594</v>
      </c>
      <c r="K41" s="123">
        <v>280.10969966405662</v>
      </c>
      <c r="L41" s="122">
        <v>3.2745582785336511</v>
      </c>
      <c r="M41" s="123">
        <v>54165.888932167138</v>
      </c>
      <c r="N41" s="123">
        <v>66.393938538786131</v>
      </c>
      <c r="O41" s="122">
        <v>2.0073129792939075</v>
      </c>
      <c r="P41" s="123">
        <v>233.00091582018052</v>
      </c>
      <c r="Q41" s="122">
        <v>2.7366130768956971</v>
      </c>
      <c r="R41" s="123">
        <v>91872.164411122911</v>
      </c>
      <c r="S41" s="123">
        <v>65.920323201958212</v>
      </c>
      <c r="T41" s="122">
        <v>2.2459642393136083</v>
      </c>
      <c r="U41" s="123">
        <v>252.33535506498734</v>
      </c>
      <c r="V41" s="122">
        <v>2.9573971424019057</v>
      </c>
    </row>
    <row r="42" spans="1:22" x14ac:dyDescent="0.2">
      <c r="A42" s="121" t="s">
        <v>87</v>
      </c>
      <c r="B42" s="122">
        <v>87.7</v>
      </c>
      <c r="C42" s="123">
        <v>27417.697565579561</v>
      </c>
      <c r="D42" s="123">
        <v>384.44504880986273</v>
      </c>
      <c r="E42" s="122">
        <v>5.613502659333375</v>
      </c>
      <c r="F42" s="123">
        <v>850.36576953453175</v>
      </c>
      <c r="G42" s="122">
        <v>2.2388978026995603</v>
      </c>
      <c r="H42" s="123">
        <v>51709.278201682835</v>
      </c>
      <c r="I42" s="123">
        <v>158.84201993812917</v>
      </c>
      <c r="J42" s="122">
        <v>2.0949455134964845</v>
      </c>
      <c r="K42" s="123">
        <v>332.72249755833747</v>
      </c>
      <c r="L42" s="122">
        <v>1.4504200371255302</v>
      </c>
      <c r="M42" s="123">
        <v>13961.23338566038</v>
      </c>
      <c r="N42" s="123">
        <v>84.378371359276642</v>
      </c>
      <c r="O42" s="122">
        <v>1.290717710483851</v>
      </c>
      <c r="P42" s="123">
        <v>191.50794132943628</v>
      </c>
      <c r="Q42" s="122">
        <v>1.077183965655564</v>
      </c>
      <c r="R42" s="123">
        <v>93088.209152922762</v>
      </c>
      <c r="S42" s="123">
        <v>214.12196662260325</v>
      </c>
      <c r="T42" s="122">
        <v>3.0106653926772498</v>
      </c>
      <c r="U42" s="123">
        <v>464.00719421481602</v>
      </c>
      <c r="V42" s="122">
        <v>1.6266766131329125</v>
      </c>
    </row>
    <row r="43" spans="1:22" x14ac:dyDescent="0.2">
      <c r="A43" s="121" t="s">
        <v>86</v>
      </c>
      <c r="B43" s="122">
        <v>87.7</v>
      </c>
      <c r="C43" s="123">
        <v>52232.172416143214</v>
      </c>
      <c r="D43" s="123">
        <v>187.94670078096036</v>
      </c>
      <c r="E43" s="122">
        <v>3.3198405146537344</v>
      </c>
      <c r="F43" s="123">
        <v>463.49346349722123</v>
      </c>
      <c r="G43" s="122">
        <v>1.6752720045995777</v>
      </c>
      <c r="H43" s="123">
        <v>79031.29853552948</v>
      </c>
      <c r="I43" s="123">
        <v>157.41387359212263</v>
      </c>
      <c r="J43" s="122">
        <v>2.6187241986282022</v>
      </c>
      <c r="K43" s="123">
        <v>374.7679820782634</v>
      </c>
      <c r="L43" s="122">
        <v>1.2990702313962743</v>
      </c>
      <c r="M43" s="123">
        <v>51112.98225624342</v>
      </c>
      <c r="N43" s="123">
        <v>84.087488254747015</v>
      </c>
      <c r="O43" s="122">
        <v>2.0296337858600819</v>
      </c>
      <c r="P43" s="123">
        <v>252.54709248113429</v>
      </c>
      <c r="Q43" s="122">
        <v>1.1265254275566554</v>
      </c>
      <c r="R43" s="123">
        <v>182376.45320791696</v>
      </c>
      <c r="S43" s="123">
        <v>145.60788493124264</v>
      </c>
      <c r="T43" s="122">
        <v>2.6544232177326643</v>
      </c>
      <c r="U43" s="123">
        <v>365.92501200305327</v>
      </c>
      <c r="V43" s="122">
        <v>1.358455948102826</v>
      </c>
    </row>
    <row r="44" spans="1:22" x14ac:dyDescent="0.2">
      <c r="A44" s="121" t="s">
        <v>85</v>
      </c>
      <c r="B44" s="122">
        <v>87.7</v>
      </c>
      <c r="C44" s="123">
        <v>0</v>
      </c>
      <c r="D44" s="123">
        <v>0</v>
      </c>
      <c r="E44" s="122">
        <v>0</v>
      </c>
      <c r="F44" s="123">
        <v>0</v>
      </c>
      <c r="G44" s="122">
        <v>0</v>
      </c>
      <c r="H44" s="123">
        <v>0</v>
      </c>
      <c r="I44" s="123">
        <v>0</v>
      </c>
      <c r="J44" s="122">
        <v>0</v>
      </c>
      <c r="K44" s="123">
        <v>0</v>
      </c>
      <c r="L44" s="122">
        <v>0</v>
      </c>
      <c r="M44" s="123">
        <v>82788.833529529395</v>
      </c>
      <c r="N44" s="123">
        <v>63.197659753988248</v>
      </c>
      <c r="O44" s="122">
        <v>2.9507246502214852</v>
      </c>
      <c r="P44" s="123">
        <v>308.10780572237064</v>
      </c>
      <c r="Q44" s="122">
        <v>1.0401137115959165</v>
      </c>
      <c r="R44" s="123">
        <v>82788.833529529395</v>
      </c>
      <c r="S44" s="123">
        <v>63.197659753988248</v>
      </c>
      <c r="T44" s="122">
        <v>2.9507246502214852</v>
      </c>
      <c r="U44" s="123">
        <v>308.10780572237064</v>
      </c>
      <c r="V44" s="122">
        <v>1.0401137115959165</v>
      </c>
    </row>
    <row r="45" spans="1:22" x14ac:dyDescent="0.2">
      <c r="A45" s="121" t="s">
        <v>84</v>
      </c>
      <c r="B45" s="122">
        <v>87.7</v>
      </c>
      <c r="C45" s="123">
        <v>12202.940565366616</v>
      </c>
      <c r="D45" s="123">
        <v>160.91721016680955</v>
      </c>
      <c r="E45" s="122">
        <v>5.9221703284982503</v>
      </c>
      <c r="F45" s="123">
        <v>652.45734743216462</v>
      </c>
      <c r="G45" s="122">
        <v>1.0348090851130602</v>
      </c>
      <c r="H45" s="123">
        <v>1164.2901292028141</v>
      </c>
      <c r="I45" s="123">
        <v>164.04708254853813</v>
      </c>
      <c r="J45" s="122">
        <v>5.2815178305554458</v>
      </c>
      <c r="K45" s="123">
        <v>602.41306248464002</v>
      </c>
      <c r="L45" s="122">
        <v>0.93562904511843836</v>
      </c>
      <c r="M45" s="123">
        <v>0</v>
      </c>
      <c r="N45" s="123">
        <v>0</v>
      </c>
      <c r="O45" s="122">
        <v>0</v>
      </c>
      <c r="P45" s="123">
        <v>0</v>
      </c>
      <c r="Q45" s="122">
        <v>0</v>
      </c>
      <c r="R45" s="123">
        <v>13367.230694569429</v>
      </c>
      <c r="S45" s="123">
        <v>161.1898230664427</v>
      </c>
      <c r="T45" s="122">
        <v>5.8663692881296612</v>
      </c>
      <c r="U45" s="123">
        <v>648.09847398120485</v>
      </c>
      <c r="V45" s="122">
        <v>1.0261704714601525</v>
      </c>
    </row>
    <row r="46" spans="1:22" x14ac:dyDescent="0.2">
      <c r="A46" s="121" t="s">
        <v>83</v>
      </c>
      <c r="B46" s="122">
        <v>87.7</v>
      </c>
      <c r="C46" s="123">
        <v>0</v>
      </c>
      <c r="D46" s="123">
        <v>0</v>
      </c>
      <c r="E46" s="122">
        <v>0</v>
      </c>
      <c r="F46" s="123">
        <v>0</v>
      </c>
      <c r="G46" s="122">
        <v>0</v>
      </c>
      <c r="H46" s="123">
        <v>0</v>
      </c>
      <c r="I46" s="123">
        <v>0</v>
      </c>
      <c r="J46" s="122">
        <v>0</v>
      </c>
      <c r="K46" s="123">
        <v>0</v>
      </c>
      <c r="L46" s="122">
        <v>0</v>
      </c>
      <c r="M46" s="123">
        <v>84482.630609785236</v>
      </c>
      <c r="N46" s="123">
        <v>109.04008196924859</v>
      </c>
      <c r="O46" s="122">
        <v>1.8244492951450126</v>
      </c>
      <c r="P46" s="123">
        <v>260.46937346628397</v>
      </c>
      <c r="Q46" s="122">
        <v>1.1224736160624293</v>
      </c>
      <c r="R46" s="123">
        <v>84482.630609785236</v>
      </c>
      <c r="S46" s="123">
        <v>109.04008196924859</v>
      </c>
      <c r="T46" s="122">
        <v>1.8244492951450126</v>
      </c>
      <c r="U46" s="123">
        <v>260.46937346628397</v>
      </c>
      <c r="V46" s="122">
        <v>1.1224736160624293</v>
      </c>
    </row>
    <row r="47" spans="1:22" x14ac:dyDescent="0.2">
      <c r="A47" s="121" t="s">
        <v>82</v>
      </c>
      <c r="B47" s="122">
        <v>87.7</v>
      </c>
      <c r="C47" s="123">
        <v>0</v>
      </c>
      <c r="D47" s="123">
        <v>0</v>
      </c>
      <c r="E47" s="122">
        <v>0</v>
      </c>
      <c r="F47" s="123">
        <v>0</v>
      </c>
      <c r="G47" s="122">
        <v>0</v>
      </c>
      <c r="H47" s="123">
        <v>119800.38981520018</v>
      </c>
      <c r="I47" s="123">
        <v>75.434456365547121</v>
      </c>
      <c r="J47" s="122">
        <v>4.5508206814730974</v>
      </c>
      <c r="K47" s="123">
        <v>453.15257292781462</v>
      </c>
      <c r="L47" s="122">
        <v>1.3699061500190846</v>
      </c>
      <c r="M47" s="123">
        <v>279837.96598311252</v>
      </c>
      <c r="N47" s="123">
        <v>58.093323999615997</v>
      </c>
      <c r="O47" s="122">
        <v>3.861232721927645</v>
      </c>
      <c r="P47" s="123">
        <v>378.57563991961138</v>
      </c>
      <c r="Q47" s="122">
        <v>1.274549065982107</v>
      </c>
      <c r="R47" s="123">
        <v>399638.3557983127</v>
      </c>
      <c r="S47" s="123">
        <v>63.291709958154868</v>
      </c>
      <c r="T47" s="122">
        <v>4.0679518848077736</v>
      </c>
      <c r="U47" s="123">
        <v>400.9317163972014</v>
      </c>
      <c r="V47" s="122">
        <v>1.303134449926175</v>
      </c>
    </row>
    <row r="48" spans="1:22" x14ac:dyDescent="0.2">
      <c r="A48" s="121" t="s">
        <v>81</v>
      </c>
      <c r="B48" s="122">
        <v>87.7</v>
      </c>
      <c r="C48" s="123">
        <v>0</v>
      </c>
      <c r="D48" s="123">
        <v>0</v>
      </c>
      <c r="E48" s="122">
        <v>0</v>
      </c>
      <c r="F48" s="123">
        <v>0</v>
      </c>
      <c r="G48" s="122">
        <v>0</v>
      </c>
      <c r="H48" s="123">
        <v>19124.406056040782</v>
      </c>
      <c r="I48" s="123">
        <v>71.010009930473288</v>
      </c>
      <c r="J48" s="122">
        <v>2.9111448299117342</v>
      </c>
      <c r="K48" s="123">
        <v>312.6350308131473</v>
      </c>
      <c r="L48" s="122">
        <v>1.1540244955023398</v>
      </c>
      <c r="M48" s="123">
        <v>150720.91737669916</v>
      </c>
      <c r="N48" s="123">
        <v>48.867815133520836</v>
      </c>
      <c r="O48" s="122">
        <v>2.8870019915724794</v>
      </c>
      <c r="P48" s="123">
        <v>288.48898043403648</v>
      </c>
      <c r="Q48" s="122">
        <v>1.0641471629384129</v>
      </c>
      <c r="R48" s="123">
        <v>169845.32343273997</v>
      </c>
      <c r="S48" s="123">
        <v>51.361003145474427</v>
      </c>
      <c r="T48" s="122">
        <v>2.8897204499581099</v>
      </c>
      <c r="U48" s="123">
        <v>291.20780049199698</v>
      </c>
      <c r="V48" s="122">
        <v>1.074267256729909</v>
      </c>
    </row>
    <row r="49" spans="1:22" x14ac:dyDescent="0.2">
      <c r="A49" s="121" t="s">
        <v>80</v>
      </c>
      <c r="B49" s="122">
        <v>87.7</v>
      </c>
      <c r="C49" s="123">
        <v>0</v>
      </c>
      <c r="D49" s="123">
        <v>0</v>
      </c>
      <c r="E49" s="122">
        <v>0</v>
      </c>
      <c r="F49" s="123">
        <v>0</v>
      </c>
      <c r="G49" s="122">
        <v>0</v>
      </c>
      <c r="H49" s="123">
        <v>0</v>
      </c>
      <c r="I49" s="123">
        <v>0</v>
      </c>
      <c r="J49" s="122">
        <v>0</v>
      </c>
      <c r="K49" s="123">
        <v>0</v>
      </c>
      <c r="L49" s="122">
        <v>0</v>
      </c>
      <c r="M49" s="123">
        <v>48225.801526619456</v>
      </c>
      <c r="N49" s="123">
        <v>155.61296808852308</v>
      </c>
      <c r="O49" s="122">
        <v>2.0923042951211821</v>
      </c>
      <c r="P49" s="123">
        <v>329.2742245835808</v>
      </c>
      <c r="Q49" s="122">
        <v>1.2217397033781279</v>
      </c>
      <c r="R49" s="123">
        <v>48225.801526619456</v>
      </c>
      <c r="S49" s="123">
        <v>155.61296808852308</v>
      </c>
      <c r="T49" s="122">
        <v>2.0923042951211821</v>
      </c>
      <c r="U49" s="123">
        <v>329.2742245835808</v>
      </c>
      <c r="V49" s="122">
        <v>1.2217397033781279</v>
      </c>
    </row>
    <row r="50" spans="1:22" x14ac:dyDescent="0.2">
      <c r="A50" s="121" t="s">
        <v>79</v>
      </c>
      <c r="B50" s="122">
        <v>87.7</v>
      </c>
      <c r="C50" s="123">
        <v>16435.219073042375</v>
      </c>
      <c r="D50" s="123">
        <v>63.974219069284615</v>
      </c>
      <c r="E50" s="122">
        <v>4.4577355200181428</v>
      </c>
      <c r="F50" s="123">
        <v>433.96626723079032</v>
      </c>
      <c r="G50" s="122">
        <v>1.1701826114823155</v>
      </c>
      <c r="H50" s="123">
        <v>34633.441128360406</v>
      </c>
      <c r="I50" s="123">
        <v>50.780592062268433</v>
      </c>
      <c r="J50" s="122">
        <v>2.9187654741033411</v>
      </c>
      <c r="K50" s="123">
        <v>293.03812641284605</v>
      </c>
      <c r="L50" s="122">
        <v>1.0326524658105887</v>
      </c>
      <c r="M50" s="123">
        <v>85873.71804093456</v>
      </c>
      <c r="N50" s="123">
        <v>36.276589984213608</v>
      </c>
      <c r="O50" s="122">
        <v>4.1626358424677861</v>
      </c>
      <c r="P50" s="123">
        <v>381.77536490903839</v>
      </c>
      <c r="Q50" s="122">
        <v>0.85091405119251928</v>
      </c>
      <c r="R50" s="123">
        <v>136942.37824233741</v>
      </c>
      <c r="S50" s="123">
        <v>43.268874740787965</v>
      </c>
      <c r="T50" s="122">
        <v>3.8834711031386298</v>
      </c>
      <c r="U50" s="123">
        <v>365.5969763012925</v>
      </c>
      <c r="V50" s="122">
        <v>0.9351938450961228</v>
      </c>
    </row>
    <row r="51" spans="1:22" x14ac:dyDescent="0.2">
      <c r="A51" s="121" t="s">
        <v>78</v>
      </c>
      <c r="B51" s="122">
        <v>87.7</v>
      </c>
      <c r="C51" s="123">
        <v>0</v>
      </c>
      <c r="D51" s="123">
        <v>0</v>
      </c>
      <c r="E51" s="122">
        <v>0</v>
      </c>
      <c r="F51" s="123">
        <v>0</v>
      </c>
      <c r="G51" s="122">
        <v>0</v>
      </c>
      <c r="H51" s="123">
        <v>0</v>
      </c>
      <c r="I51" s="123">
        <v>0</v>
      </c>
      <c r="J51" s="122">
        <v>0</v>
      </c>
      <c r="K51" s="123">
        <v>0</v>
      </c>
      <c r="L51" s="122">
        <v>0</v>
      </c>
      <c r="M51" s="123">
        <v>404635.15015318833</v>
      </c>
      <c r="N51" s="123">
        <v>70.474012876885581</v>
      </c>
      <c r="O51" s="122">
        <v>3.3660498345851777</v>
      </c>
      <c r="P51" s="123">
        <v>349.85614914745662</v>
      </c>
      <c r="Q51" s="122">
        <v>0.91440060901278541</v>
      </c>
      <c r="R51" s="123">
        <v>404635.15015318833</v>
      </c>
      <c r="S51" s="123">
        <v>70.474012876885581</v>
      </c>
      <c r="T51" s="122">
        <v>3.3660498345851777</v>
      </c>
      <c r="U51" s="123">
        <v>349.85614914745662</v>
      </c>
      <c r="V51" s="122">
        <v>0.91440060901278541</v>
      </c>
    </row>
    <row r="52" spans="1:22" x14ac:dyDescent="0.2">
      <c r="A52" s="121" t="s">
        <v>77</v>
      </c>
      <c r="B52" s="122">
        <v>87.7</v>
      </c>
      <c r="C52" s="123">
        <v>0</v>
      </c>
      <c r="D52" s="123">
        <v>0</v>
      </c>
      <c r="E52" s="122">
        <v>0</v>
      </c>
      <c r="F52" s="123">
        <v>0</v>
      </c>
      <c r="G52" s="122">
        <v>0</v>
      </c>
      <c r="H52" s="123">
        <v>0</v>
      </c>
      <c r="I52" s="123">
        <v>0</v>
      </c>
      <c r="J52" s="122">
        <v>0</v>
      </c>
      <c r="K52" s="123">
        <v>0</v>
      </c>
      <c r="L52" s="122">
        <v>0</v>
      </c>
      <c r="M52" s="123">
        <v>12635.620591246505</v>
      </c>
      <c r="N52" s="123">
        <v>107.75530238151281</v>
      </c>
      <c r="O52" s="122">
        <v>0.91597582736018512</v>
      </c>
      <c r="P52" s="123">
        <v>183.78129605240815</v>
      </c>
      <c r="Q52" s="122">
        <v>1.0971692876074606</v>
      </c>
      <c r="R52" s="123">
        <v>12635.620591246505</v>
      </c>
      <c r="S52" s="123">
        <v>107.75530238151281</v>
      </c>
      <c r="T52" s="122">
        <v>0.91597582736018512</v>
      </c>
      <c r="U52" s="123">
        <v>183.78129605240815</v>
      </c>
      <c r="V52" s="122">
        <v>1.0971692876074606</v>
      </c>
    </row>
    <row r="53" spans="1:22" x14ac:dyDescent="0.2">
      <c r="A53" s="121" t="s">
        <v>76</v>
      </c>
      <c r="B53" s="122">
        <v>87.7</v>
      </c>
      <c r="C53" s="123">
        <v>497615.336585382</v>
      </c>
      <c r="D53" s="123">
        <v>142.32204794947484</v>
      </c>
      <c r="E53" s="122">
        <v>3.3770880534376539</v>
      </c>
      <c r="F53" s="123">
        <v>422.62035638479972</v>
      </c>
      <c r="G53" s="122">
        <v>5.0206940471438974</v>
      </c>
      <c r="H53" s="123">
        <v>1100691.3981771413</v>
      </c>
      <c r="I53" s="123">
        <v>100.11973515301725</v>
      </c>
      <c r="J53" s="122">
        <v>3.0916836320853953</v>
      </c>
      <c r="K53" s="123">
        <v>356.7294766161051</v>
      </c>
      <c r="L53" s="122">
        <v>5.5495921003132853</v>
      </c>
      <c r="M53" s="123">
        <v>359004.43715505674</v>
      </c>
      <c r="N53" s="123">
        <v>114.64880636369645</v>
      </c>
      <c r="O53" s="122">
        <v>1.9051343732139145</v>
      </c>
      <c r="P53" s="123">
        <v>272.77495934045379</v>
      </c>
      <c r="Q53" s="122">
        <v>2.1561980852511042</v>
      </c>
      <c r="R53" s="123">
        <v>1957311.1719175801</v>
      </c>
      <c r="S53" s="123">
        <v>113.51388499255731</v>
      </c>
      <c r="T53" s="122">
        <v>2.9466096981509984</v>
      </c>
      <c r="U53" s="123">
        <v>358.08248993909626</v>
      </c>
      <c r="V53" s="122">
        <v>4.7927214951564032</v>
      </c>
    </row>
    <row r="54" spans="1:22" x14ac:dyDescent="0.2">
      <c r="A54" s="121" t="s">
        <v>75</v>
      </c>
      <c r="B54" s="122">
        <v>87.7</v>
      </c>
      <c r="C54" s="123">
        <v>10706.620397998926</v>
      </c>
      <c r="D54" s="123">
        <v>204.30429347720414</v>
      </c>
      <c r="E54" s="122">
        <v>4.1187781696859025</v>
      </c>
      <c r="F54" s="123">
        <v>546.16288156113421</v>
      </c>
      <c r="G54" s="122">
        <v>1.6613833819545221</v>
      </c>
      <c r="H54" s="123">
        <v>19552.36991487772</v>
      </c>
      <c r="I54" s="123">
        <v>118.76365041630454</v>
      </c>
      <c r="J54" s="122">
        <v>2.7233540511660528</v>
      </c>
      <c r="K54" s="123">
        <v>344.80203666308688</v>
      </c>
      <c r="L54" s="122">
        <v>1.057757904266831</v>
      </c>
      <c r="M54" s="123">
        <v>36228.761618970973</v>
      </c>
      <c r="N54" s="123">
        <v>201.30761319327274</v>
      </c>
      <c r="O54" s="122">
        <v>3.6020211184883633</v>
      </c>
      <c r="P54" s="123">
        <v>500.27536602780742</v>
      </c>
      <c r="Q54" s="122">
        <v>1.0639092291746988</v>
      </c>
      <c r="R54" s="123">
        <v>66487.751931847699</v>
      </c>
      <c r="S54" s="123">
        <v>177.5160767036287</v>
      </c>
      <c r="T54" s="122">
        <v>3.4268414559381148</v>
      </c>
      <c r="U54" s="123">
        <v>461.94391754649257</v>
      </c>
      <c r="V54" s="122">
        <v>1.1583124205744944</v>
      </c>
    </row>
    <row r="55" spans="1:22" x14ac:dyDescent="0.2">
      <c r="A55" s="121" t="s">
        <v>74</v>
      </c>
      <c r="B55" s="122">
        <v>87.7</v>
      </c>
      <c r="C55" s="123">
        <v>0</v>
      </c>
      <c r="D55" s="123">
        <v>0</v>
      </c>
      <c r="E55" s="122">
        <v>0</v>
      </c>
      <c r="F55" s="123">
        <v>0</v>
      </c>
      <c r="G55" s="122">
        <v>0</v>
      </c>
      <c r="H55" s="123">
        <v>0</v>
      </c>
      <c r="I55" s="123">
        <v>0</v>
      </c>
      <c r="J55" s="122">
        <v>0</v>
      </c>
      <c r="K55" s="123">
        <v>0</v>
      </c>
      <c r="L55" s="122">
        <v>0</v>
      </c>
      <c r="M55" s="123">
        <v>71531.564270880481</v>
      </c>
      <c r="N55" s="123">
        <v>178.2010192998242</v>
      </c>
      <c r="O55" s="122">
        <v>3.0441167502177771</v>
      </c>
      <c r="P55" s="123">
        <v>430.86270956789878</v>
      </c>
      <c r="Q55" s="122">
        <v>0.98380528677243861</v>
      </c>
      <c r="R55" s="123">
        <v>71531.564270880481</v>
      </c>
      <c r="S55" s="123">
        <v>178.2010192998242</v>
      </c>
      <c r="T55" s="122">
        <v>3.0441167502177771</v>
      </c>
      <c r="U55" s="123">
        <v>430.86270956789878</v>
      </c>
      <c r="V55" s="122">
        <v>0.98380528677243861</v>
      </c>
    </row>
    <row r="56" spans="1:22" x14ac:dyDescent="0.2">
      <c r="A56" s="121" t="s">
        <v>73</v>
      </c>
      <c r="B56" s="122">
        <v>87.7</v>
      </c>
      <c r="C56" s="123">
        <v>34583.667456890602</v>
      </c>
      <c r="D56" s="123">
        <v>243.2365525228127</v>
      </c>
      <c r="E56" s="122">
        <v>4.1304413305639311</v>
      </c>
      <c r="F56" s="123">
        <v>586.06318295961887</v>
      </c>
      <c r="G56" s="122">
        <v>2.1073741106643875</v>
      </c>
      <c r="H56" s="123">
        <v>64056.51103043319</v>
      </c>
      <c r="I56" s="123">
        <v>223.91953633100451</v>
      </c>
      <c r="J56" s="122">
        <v>4.1051117665957779</v>
      </c>
      <c r="K56" s="123">
        <v>564.64381295845419</v>
      </c>
      <c r="L56" s="122">
        <v>1.5233242191735203</v>
      </c>
      <c r="M56" s="123">
        <v>35437.047909730551</v>
      </c>
      <c r="N56" s="123">
        <v>110.95914725235482</v>
      </c>
      <c r="O56" s="122">
        <v>2.469360187417085</v>
      </c>
      <c r="P56" s="123">
        <v>315.91604280797276</v>
      </c>
      <c r="Q56" s="122">
        <v>1.1465002101901243</v>
      </c>
      <c r="R56" s="123">
        <v>134077.22639705444</v>
      </c>
      <c r="S56" s="123">
        <v>199.04633791348172</v>
      </c>
      <c r="T56" s="122">
        <v>3.6793107607366271</v>
      </c>
      <c r="U56" s="123">
        <v>504.42913105462048</v>
      </c>
      <c r="V56" s="122">
        <v>1.5743773096170868</v>
      </c>
    </row>
    <row r="57" spans="1:22" x14ac:dyDescent="0.2">
      <c r="A57" s="121" t="s">
        <v>72</v>
      </c>
      <c r="B57" s="122">
        <v>87.7</v>
      </c>
      <c r="C57" s="123">
        <v>0</v>
      </c>
      <c r="D57" s="123">
        <v>0</v>
      </c>
      <c r="E57" s="122">
        <v>0</v>
      </c>
      <c r="F57" s="123">
        <v>0</v>
      </c>
      <c r="G57" s="122">
        <v>0</v>
      </c>
      <c r="H57" s="123">
        <v>0</v>
      </c>
      <c r="I57" s="123">
        <v>0</v>
      </c>
      <c r="J57" s="122">
        <v>0</v>
      </c>
      <c r="K57" s="123">
        <v>0</v>
      </c>
      <c r="L57" s="122">
        <v>0</v>
      </c>
      <c r="M57" s="123">
        <v>41213.507144064024</v>
      </c>
      <c r="N57" s="123">
        <v>97.958982002704246</v>
      </c>
      <c r="O57" s="122">
        <v>1.0011082660118145</v>
      </c>
      <c r="P57" s="123">
        <v>181.05096808168497</v>
      </c>
      <c r="Q57" s="122">
        <v>1.2252471739579824</v>
      </c>
      <c r="R57" s="123">
        <v>41213.507144064024</v>
      </c>
      <c r="S57" s="123">
        <v>97.958982002704246</v>
      </c>
      <c r="T57" s="122">
        <v>1.0011082660118145</v>
      </c>
      <c r="U57" s="123">
        <v>181.05096808168497</v>
      </c>
      <c r="V57" s="122">
        <v>1.2252471739579824</v>
      </c>
    </row>
    <row r="58" spans="1:22" x14ac:dyDescent="0.2">
      <c r="A58" s="121" t="s">
        <v>71</v>
      </c>
      <c r="B58" s="122">
        <v>87.7</v>
      </c>
      <c r="C58" s="123">
        <v>0</v>
      </c>
      <c r="D58" s="123">
        <v>0</v>
      </c>
      <c r="E58" s="122">
        <v>0</v>
      </c>
      <c r="F58" s="123">
        <v>0</v>
      </c>
      <c r="G58" s="122">
        <v>0</v>
      </c>
      <c r="H58" s="123">
        <v>0</v>
      </c>
      <c r="I58" s="123">
        <v>0</v>
      </c>
      <c r="J58" s="122">
        <v>0</v>
      </c>
      <c r="K58" s="123">
        <v>0</v>
      </c>
      <c r="L58" s="122">
        <v>0</v>
      </c>
      <c r="M58" s="123">
        <v>48540.847567863821</v>
      </c>
      <c r="N58" s="123">
        <v>62.825086482580161</v>
      </c>
      <c r="O58" s="122">
        <v>3.9966126211066832</v>
      </c>
      <c r="P58" s="123">
        <v>394.5439340344351</v>
      </c>
      <c r="Q58" s="122">
        <v>0.97056036533008772</v>
      </c>
      <c r="R58" s="123">
        <v>48540.847567863821</v>
      </c>
      <c r="S58" s="123">
        <v>62.825086482580161</v>
      </c>
      <c r="T58" s="122">
        <v>3.9966126211066832</v>
      </c>
      <c r="U58" s="123">
        <v>394.5439340344351</v>
      </c>
      <c r="V58" s="122">
        <v>0.97056036533008772</v>
      </c>
    </row>
    <row r="59" spans="1:22" x14ac:dyDescent="0.2">
      <c r="A59" s="121" t="s">
        <v>70</v>
      </c>
      <c r="B59" s="122">
        <v>87.7</v>
      </c>
      <c r="C59" s="123">
        <v>17064.070197004225</v>
      </c>
      <c r="D59" s="123">
        <v>276.68145736542084</v>
      </c>
      <c r="E59" s="122">
        <v>7.6392220937660058</v>
      </c>
      <c r="F59" s="123">
        <v>910.73689114799913</v>
      </c>
      <c r="G59" s="122">
        <v>1.844594741257781</v>
      </c>
      <c r="H59" s="123">
        <v>6329.8747379168408</v>
      </c>
      <c r="I59" s="123">
        <v>187.55633747614431</v>
      </c>
      <c r="J59" s="122">
        <v>4.2669443035681782</v>
      </c>
      <c r="K59" s="123">
        <v>541.71271467230338</v>
      </c>
      <c r="L59" s="122">
        <v>1.3202392739613524</v>
      </c>
      <c r="M59" s="123">
        <v>978.61760906958955</v>
      </c>
      <c r="N59" s="123">
        <v>144.40223006972752</v>
      </c>
      <c r="O59" s="122">
        <v>3.2316790479991679</v>
      </c>
      <c r="P59" s="123">
        <v>412.6315910536585</v>
      </c>
      <c r="Q59" s="122">
        <v>0.8809159413398725</v>
      </c>
      <c r="R59" s="123">
        <v>24372.562543990651</v>
      </c>
      <c r="S59" s="123">
        <v>248.22316026208077</v>
      </c>
      <c r="T59" s="122">
        <v>6.586423678153464</v>
      </c>
      <c r="U59" s="123">
        <v>794.89632554881871</v>
      </c>
      <c r="V59" s="122">
        <v>1.6697186911287865</v>
      </c>
    </row>
    <row r="60" spans="1:22" x14ac:dyDescent="0.2">
      <c r="A60" s="121" t="s">
        <v>69</v>
      </c>
      <c r="B60" s="122">
        <v>87.7</v>
      </c>
      <c r="C60" s="123">
        <v>51964.024068073064</v>
      </c>
      <c r="D60" s="123">
        <v>118.00969344637542</v>
      </c>
      <c r="E60" s="122">
        <v>2.9852670814373705</v>
      </c>
      <c r="F60" s="123">
        <v>365.78686120567738</v>
      </c>
      <c r="G60" s="122">
        <v>1.546870059157974</v>
      </c>
      <c r="H60" s="123">
        <v>142275.34954486683</v>
      </c>
      <c r="I60" s="123">
        <v>129.57346993823413</v>
      </c>
      <c r="J60" s="122">
        <v>3.0223632210926796</v>
      </c>
      <c r="K60" s="123">
        <v>380.42961728892635</v>
      </c>
      <c r="L60" s="122">
        <v>1.4344601508062267</v>
      </c>
      <c r="M60" s="123">
        <v>222775.36404535695</v>
      </c>
      <c r="N60" s="123">
        <v>157.38489491921922</v>
      </c>
      <c r="O60" s="122">
        <v>2.2736032720957096</v>
      </c>
      <c r="P60" s="123">
        <v>346.09396650316341</v>
      </c>
      <c r="Q60" s="122">
        <v>1.4271942198259366</v>
      </c>
      <c r="R60" s="123">
        <v>417014.73765829747</v>
      </c>
      <c r="S60" s="123">
        <v>142.9897822638732</v>
      </c>
      <c r="T60" s="122">
        <v>2.6177421857264775</v>
      </c>
      <c r="U60" s="123">
        <v>360.26238367916864</v>
      </c>
      <c r="V60" s="122">
        <v>1.4445859338601397</v>
      </c>
    </row>
    <row r="61" spans="1:22" x14ac:dyDescent="0.2">
      <c r="A61" s="121" t="s">
        <v>68</v>
      </c>
      <c r="B61" s="122">
        <v>87.7</v>
      </c>
      <c r="C61" s="123">
        <v>62677.34381620543</v>
      </c>
      <c r="D61" s="123">
        <v>90.311727992793024</v>
      </c>
      <c r="E61" s="122">
        <v>2.3435941300953114</v>
      </c>
      <c r="F61" s="123">
        <v>284.83004079070366</v>
      </c>
      <c r="G61" s="122">
        <v>3.1204999338832384</v>
      </c>
      <c r="H61" s="123">
        <v>20947.283976346363</v>
      </c>
      <c r="I61" s="123">
        <v>94.693793216208874</v>
      </c>
      <c r="J61" s="122">
        <v>2.4254492914517458</v>
      </c>
      <c r="K61" s="123">
        <v>296.00608440670351</v>
      </c>
      <c r="L61" s="122">
        <v>3.8460041987075115</v>
      </c>
      <c r="M61" s="123">
        <v>159248.37629009897</v>
      </c>
      <c r="N61" s="123">
        <v>142.25114057133328</v>
      </c>
      <c r="O61" s="122">
        <v>2.9048409406314621</v>
      </c>
      <c r="P61" s="123">
        <v>383.35293864374438</v>
      </c>
      <c r="Q61" s="122">
        <v>1.299341812488874</v>
      </c>
      <c r="R61" s="123">
        <v>242873.00408265088</v>
      </c>
      <c r="S61" s="123">
        <v>124.74560636811822</v>
      </c>
      <c r="T61" s="122">
        <v>2.7186555204289276</v>
      </c>
      <c r="U61" s="123">
        <v>350.39401456372025</v>
      </c>
      <c r="V61" s="122">
        <v>1.9889656533391022</v>
      </c>
    </row>
    <row r="62" spans="1:22" x14ac:dyDescent="0.2">
      <c r="A62" s="121" t="s">
        <v>67</v>
      </c>
      <c r="B62" s="122">
        <v>87.7</v>
      </c>
      <c r="C62" s="123">
        <v>13677.298099719937</v>
      </c>
      <c r="D62" s="123">
        <v>267.90199299427036</v>
      </c>
      <c r="E62" s="122">
        <v>3.4075635411316552</v>
      </c>
      <c r="F62" s="123">
        <v>550.72976690819735</v>
      </c>
      <c r="G62" s="122">
        <v>1.2642270241857809</v>
      </c>
      <c r="H62" s="123">
        <v>36956.760312727012</v>
      </c>
      <c r="I62" s="123">
        <v>168.6868628816305</v>
      </c>
      <c r="J62" s="122">
        <v>3.0844410848678443</v>
      </c>
      <c r="K62" s="123">
        <v>424.69547292566182</v>
      </c>
      <c r="L62" s="122">
        <v>1.1796931784943039</v>
      </c>
      <c r="M62" s="123">
        <v>4132.248308638048</v>
      </c>
      <c r="N62" s="123">
        <v>151.00941342357055</v>
      </c>
      <c r="O62" s="122">
        <v>3.6693229876216216</v>
      </c>
      <c r="P62" s="123">
        <v>455.56322139616475</v>
      </c>
      <c r="Q62" s="122">
        <v>1.0467327979283367</v>
      </c>
      <c r="R62" s="123">
        <v>54766.306721084977</v>
      </c>
      <c r="S62" s="123">
        <v>192.13097253225757</v>
      </c>
      <c r="T62" s="122">
        <v>3.2092681878758573</v>
      </c>
      <c r="U62" s="123">
        <v>458.50023212595386</v>
      </c>
      <c r="V62" s="122">
        <v>1.1907724229359413</v>
      </c>
    </row>
    <row r="63" spans="1:22" x14ac:dyDescent="0.2">
      <c r="A63" s="121" t="s">
        <v>66</v>
      </c>
      <c r="B63" s="122">
        <v>87.7</v>
      </c>
      <c r="C63" s="123">
        <v>0</v>
      </c>
      <c r="D63" s="123">
        <v>0</v>
      </c>
      <c r="E63" s="122">
        <v>0</v>
      </c>
      <c r="F63" s="123">
        <v>0</v>
      </c>
      <c r="G63" s="122">
        <v>0</v>
      </c>
      <c r="H63" s="123">
        <v>0</v>
      </c>
      <c r="I63" s="123">
        <v>0</v>
      </c>
      <c r="J63" s="122">
        <v>0</v>
      </c>
      <c r="K63" s="123">
        <v>0</v>
      </c>
      <c r="L63" s="122">
        <v>0</v>
      </c>
      <c r="M63" s="123">
        <v>276862.5142519527</v>
      </c>
      <c r="N63" s="123">
        <v>163.94644086134321</v>
      </c>
      <c r="O63" s="122">
        <v>2.1870653166080434</v>
      </c>
      <c r="P63" s="123">
        <v>345.47286213981096</v>
      </c>
      <c r="Q63" s="122">
        <v>1.846127858198191</v>
      </c>
      <c r="R63" s="123">
        <v>276862.5142519527</v>
      </c>
      <c r="S63" s="123">
        <v>163.94644086134321</v>
      </c>
      <c r="T63" s="122">
        <v>2.1870653166080434</v>
      </c>
      <c r="U63" s="123">
        <v>345.47286213981096</v>
      </c>
      <c r="V63" s="122">
        <v>1.846127858198191</v>
      </c>
    </row>
    <row r="64" spans="1:22" x14ac:dyDescent="0.2">
      <c r="A64" s="121" t="s">
        <v>65</v>
      </c>
      <c r="B64" s="122">
        <v>87.7</v>
      </c>
      <c r="C64" s="123">
        <v>0</v>
      </c>
      <c r="D64" s="123">
        <v>0</v>
      </c>
      <c r="E64" s="122">
        <v>0</v>
      </c>
      <c r="F64" s="123">
        <v>0</v>
      </c>
      <c r="G64" s="122">
        <v>0</v>
      </c>
      <c r="H64" s="123">
        <v>10112.694142996799</v>
      </c>
      <c r="I64" s="123">
        <v>100.90248661581212</v>
      </c>
      <c r="J64" s="122">
        <v>2.5869170102785879</v>
      </c>
      <c r="K64" s="123">
        <v>315.61659846893491</v>
      </c>
      <c r="L64" s="122">
        <v>1.2489820703976564</v>
      </c>
      <c r="M64" s="123">
        <v>94764.946259122051</v>
      </c>
      <c r="N64" s="123">
        <v>101.10239152713228</v>
      </c>
      <c r="O64" s="122">
        <v>1.8977198528642891</v>
      </c>
      <c r="P64" s="123">
        <v>258.61313931486842</v>
      </c>
      <c r="Q64" s="122">
        <v>0.98576083545525683</v>
      </c>
      <c r="R64" s="123">
        <v>104877.64040211885</v>
      </c>
      <c r="S64" s="123">
        <v>101.08311594829466</v>
      </c>
      <c r="T64" s="122">
        <v>1.9641748191510113</v>
      </c>
      <c r="U64" s="123">
        <v>264.1096259378283</v>
      </c>
      <c r="V64" s="122">
        <v>1.0111416109066145</v>
      </c>
    </row>
    <row r="65" spans="1:22" x14ac:dyDescent="0.2">
      <c r="A65" s="121" t="s">
        <v>64</v>
      </c>
      <c r="B65" s="122">
        <v>87.7</v>
      </c>
      <c r="C65" s="123">
        <v>33796.733780552982</v>
      </c>
      <c r="D65" s="123">
        <v>141.85301747064833</v>
      </c>
      <c r="E65" s="122">
        <v>3.0825098981372574</v>
      </c>
      <c r="F65" s="123">
        <v>397.70133901604117</v>
      </c>
      <c r="G65" s="122">
        <v>1.0333741643378636</v>
      </c>
      <c r="H65" s="123">
        <v>36195.304467138034</v>
      </c>
      <c r="I65" s="123">
        <v>114.88689160543883</v>
      </c>
      <c r="J65" s="122">
        <v>2.5300141686743065</v>
      </c>
      <c r="K65" s="123">
        <v>324.87806760540616</v>
      </c>
      <c r="L65" s="122">
        <v>1.012036070257494</v>
      </c>
      <c r="M65" s="123">
        <v>38137.57843790116</v>
      </c>
      <c r="N65" s="123">
        <v>100.83018751906712</v>
      </c>
      <c r="O65" s="122">
        <v>2.890924235952633</v>
      </c>
      <c r="P65" s="123">
        <v>340.77689910313524</v>
      </c>
      <c r="Q65" s="122">
        <v>0.87409392664561514</v>
      </c>
      <c r="R65" s="123">
        <v>108129.61668559234</v>
      </c>
      <c r="S65" s="123">
        <v>118.35752558889413</v>
      </c>
      <c r="T65" s="122">
        <v>2.8299947667533907</v>
      </c>
      <c r="U65" s="123">
        <v>353.24709122942642</v>
      </c>
      <c r="V65" s="122">
        <v>0.97005292469551774</v>
      </c>
    </row>
    <row r="66" spans="1:22" x14ac:dyDescent="0.2">
      <c r="A66" s="121" t="s">
        <v>63</v>
      </c>
      <c r="B66" s="122">
        <v>87.7</v>
      </c>
      <c r="C66" s="123">
        <v>0</v>
      </c>
      <c r="D66" s="123">
        <v>0</v>
      </c>
      <c r="E66" s="122">
        <v>0</v>
      </c>
      <c r="F66" s="123">
        <v>0</v>
      </c>
      <c r="G66" s="122">
        <v>0</v>
      </c>
      <c r="H66" s="123">
        <v>0</v>
      </c>
      <c r="I66" s="123">
        <v>0</v>
      </c>
      <c r="J66" s="122">
        <v>0</v>
      </c>
      <c r="K66" s="123">
        <v>0</v>
      </c>
      <c r="L66" s="122">
        <v>0</v>
      </c>
      <c r="M66" s="123">
        <v>48278.63631835363</v>
      </c>
      <c r="N66" s="123">
        <v>130.07725306959031</v>
      </c>
      <c r="O66" s="122">
        <v>2.2672776013762794</v>
      </c>
      <c r="P66" s="123">
        <v>318.26129398382153</v>
      </c>
      <c r="Q66" s="122">
        <v>1.7359604822859298</v>
      </c>
      <c r="R66" s="123">
        <v>48278.63631835363</v>
      </c>
      <c r="S66" s="123">
        <v>130.07725306959031</v>
      </c>
      <c r="T66" s="122">
        <v>2.2672776013762794</v>
      </c>
      <c r="U66" s="123">
        <v>318.26129398382153</v>
      </c>
      <c r="V66" s="122">
        <v>1.7359604822859298</v>
      </c>
    </row>
    <row r="67" spans="1:22" x14ac:dyDescent="0.2">
      <c r="A67" s="121" t="s">
        <v>62</v>
      </c>
      <c r="B67" s="122">
        <v>87.7</v>
      </c>
      <c r="C67" s="123">
        <v>0</v>
      </c>
      <c r="D67" s="123">
        <v>0</v>
      </c>
      <c r="E67" s="122">
        <v>0</v>
      </c>
      <c r="F67" s="123">
        <v>0</v>
      </c>
      <c r="G67" s="122">
        <v>0</v>
      </c>
      <c r="H67" s="123">
        <v>0</v>
      </c>
      <c r="I67" s="123">
        <v>0</v>
      </c>
      <c r="J67" s="122">
        <v>0</v>
      </c>
      <c r="K67" s="123">
        <v>0</v>
      </c>
      <c r="L67" s="122">
        <v>0</v>
      </c>
      <c r="M67" s="123">
        <v>42002.149847089502</v>
      </c>
      <c r="N67" s="123">
        <v>102.13927965818471</v>
      </c>
      <c r="O67" s="122">
        <v>1.9437974586146161</v>
      </c>
      <c r="P67" s="123">
        <v>263.47446872319807</v>
      </c>
      <c r="Q67" s="122">
        <v>0.99759964868498563</v>
      </c>
      <c r="R67" s="123">
        <v>42002.149847089502</v>
      </c>
      <c r="S67" s="123">
        <v>102.13927965818471</v>
      </c>
      <c r="T67" s="122">
        <v>1.9437974586146161</v>
      </c>
      <c r="U67" s="123">
        <v>263.47446872319807</v>
      </c>
      <c r="V67" s="122">
        <v>0.99759964868498563</v>
      </c>
    </row>
    <row r="68" spans="1:22" x14ac:dyDescent="0.2">
      <c r="A68" s="121" t="s">
        <v>61</v>
      </c>
      <c r="B68" s="122">
        <v>87.7</v>
      </c>
      <c r="C68" s="123">
        <v>106645.21120692273</v>
      </c>
      <c r="D68" s="123">
        <v>194.6216767305873</v>
      </c>
      <c r="E68" s="122">
        <v>3.8256656283689137</v>
      </c>
      <c r="F68" s="123">
        <v>512.15192388520654</v>
      </c>
      <c r="G68" s="122">
        <v>2.3917359554166158</v>
      </c>
      <c r="H68" s="123">
        <v>355045.38326240197</v>
      </c>
      <c r="I68" s="123">
        <v>210.90692681504987</v>
      </c>
      <c r="J68" s="122">
        <v>3.6572637918195432</v>
      </c>
      <c r="K68" s="123">
        <v>514.45982153607224</v>
      </c>
      <c r="L68" s="122">
        <v>2.1848396642250099</v>
      </c>
      <c r="M68" s="123">
        <v>157348.07884214251</v>
      </c>
      <c r="N68" s="123">
        <v>214.26301267881615</v>
      </c>
      <c r="O68" s="122">
        <v>3.8878244648259508</v>
      </c>
      <c r="P68" s="123">
        <v>536.95244325936824</v>
      </c>
      <c r="Q68" s="122">
        <v>1.6986553363470862</v>
      </c>
      <c r="R68" s="123">
        <v>619038.67331146763</v>
      </c>
      <c r="S68" s="123">
        <v>208.95443123790452</v>
      </c>
      <c r="T68" s="122">
        <v>3.7448795268598389</v>
      </c>
      <c r="U68" s="123">
        <v>519.77943196726812</v>
      </c>
      <c r="V68" s="122">
        <v>2.0969038475634987</v>
      </c>
    </row>
    <row r="69" spans="1:22" x14ac:dyDescent="0.2">
      <c r="A69" s="121" t="s">
        <v>60</v>
      </c>
      <c r="B69" s="122">
        <v>87.7</v>
      </c>
      <c r="C69" s="123">
        <v>0</v>
      </c>
      <c r="D69" s="123">
        <v>0</v>
      </c>
      <c r="E69" s="122">
        <v>0</v>
      </c>
      <c r="F69" s="123">
        <v>0</v>
      </c>
      <c r="G69" s="122">
        <v>0</v>
      </c>
      <c r="H69" s="123">
        <v>3993.4961010990623</v>
      </c>
      <c r="I69" s="123">
        <v>49.57501132629001</v>
      </c>
      <c r="J69" s="122">
        <v>2.6774479517620295</v>
      </c>
      <c r="K69" s="123">
        <v>271.80319132253845</v>
      </c>
      <c r="L69" s="122">
        <v>0.81114775846247955</v>
      </c>
      <c r="M69" s="123">
        <v>36071.9436784258</v>
      </c>
      <c r="N69" s="123">
        <v>80.742228427203585</v>
      </c>
      <c r="O69" s="122">
        <v>2.7743483000746925</v>
      </c>
      <c r="P69" s="123">
        <v>311.01313733340311</v>
      </c>
      <c r="Q69" s="122">
        <v>0.93874341690061014</v>
      </c>
      <c r="R69" s="123">
        <v>40065.439779524844</v>
      </c>
      <c r="S69" s="123">
        <v>77.635656761959794</v>
      </c>
      <c r="T69" s="122">
        <v>2.7646898222116962</v>
      </c>
      <c r="U69" s="123">
        <v>307.10491200553059</v>
      </c>
      <c r="V69" s="122">
        <v>0.92602540438673719</v>
      </c>
    </row>
    <row r="70" spans="1:22" x14ac:dyDescent="0.2">
      <c r="A70" s="121" t="s">
        <v>59</v>
      </c>
      <c r="B70" s="122">
        <v>87.7</v>
      </c>
      <c r="C70" s="123">
        <v>74755.670959075447</v>
      </c>
      <c r="D70" s="123">
        <v>96.153586036424301</v>
      </c>
      <c r="E70" s="122">
        <v>4.578607103134761</v>
      </c>
      <c r="F70" s="123">
        <v>476.17797559660983</v>
      </c>
      <c r="G70" s="122">
        <v>1.326038866758029</v>
      </c>
      <c r="H70" s="123">
        <v>20976.183704802028</v>
      </c>
      <c r="I70" s="123">
        <v>91.241810459973536</v>
      </c>
      <c r="J70" s="122">
        <v>3.3110752093044393</v>
      </c>
      <c r="K70" s="123">
        <v>366.06105283224213</v>
      </c>
      <c r="L70" s="122">
        <v>1.1333250413978535</v>
      </c>
      <c r="M70" s="123">
        <v>160870.86439461296</v>
      </c>
      <c r="N70" s="123">
        <v>64.867869990509448</v>
      </c>
      <c r="O70" s="122">
        <v>3.0870601452380018</v>
      </c>
      <c r="P70" s="123">
        <v>321.09386204526396</v>
      </c>
      <c r="Q70" s="122">
        <v>1.3476216103077432</v>
      </c>
      <c r="R70" s="123">
        <v>256602.71905849004</v>
      </c>
      <c r="S70" s="123">
        <v>76.138246724496213</v>
      </c>
      <c r="T70" s="122">
        <v>3.5399024813106599</v>
      </c>
      <c r="U70" s="123">
        <v>369.95015267328199</v>
      </c>
      <c r="V70" s="122">
        <v>1.3238161078003154</v>
      </c>
    </row>
    <row r="71" spans="1:22" x14ac:dyDescent="0.2">
      <c r="A71" s="121" t="s">
        <v>58</v>
      </c>
      <c r="B71" s="122">
        <v>87.7</v>
      </c>
      <c r="C71" s="123">
        <v>0</v>
      </c>
      <c r="D71" s="123">
        <v>0</v>
      </c>
      <c r="E71" s="122">
        <v>0</v>
      </c>
      <c r="F71" s="123">
        <v>0</v>
      </c>
      <c r="G71" s="122">
        <v>0</v>
      </c>
      <c r="H71" s="123">
        <v>0</v>
      </c>
      <c r="I71" s="123">
        <v>0</v>
      </c>
      <c r="J71" s="122">
        <v>0</v>
      </c>
      <c r="K71" s="123">
        <v>0</v>
      </c>
      <c r="L71" s="122">
        <v>0</v>
      </c>
      <c r="M71" s="123">
        <v>87021.331918871525</v>
      </c>
      <c r="N71" s="123">
        <v>89.550334663630579</v>
      </c>
      <c r="O71" s="122">
        <v>2.5844243830960272</v>
      </c>
      <c r="P71" s="123">
        <v>304.05755846060077</v>
      </c>
      <c r="Q71" s="122">
        <v>1.4589827597025342</v>
      </c>
      <c r="R71" s="123">
        <v>87021.331918871525</v>
      </c>
      <c r="S71" s="123">
        <v>89.550334663630579</v>
      </c>
      <c r="T71" s="122">
        <v>2.5844243830960272</v>
      </c>
      <c r="U71" s="123">
        <v>304.05755846060077</v>
      </c>
      <c r="V71" s="122">
        <v>1.4589827597025342</v>
      </c>
    </row>
    <row r="72" spans="1:22" x14ac:dyDescent="0.2">
      <c r="A72" s="121" t="s">
        <v>57</v>
      </c>
      <c r="B72" s="122">
        <v>87.7</v>
      </c>
      <c r="C72" s="123">
        <v>0</v>
      </c>
      <c r="D72" s="123">
        <v>0</v>
      </c>
      <c r="E72" s="122">
        <v>0</v>
      </c>
      <c r="F72" s="123">
        <v>0</v>
      </c>
      <c r="G72" s="122">
        <v>0</v>
      </c>
      <c r="H72" s="123">
        <v>1727.5074721168726</v>
      </c>
      <c r="I72" s="123">
        <v>111.62920589432564</v>
      </c>
      <c r="J72" s="122">
        <v>1.5252583389310106</v>
      </c>
      <c r="K72" s="123">
        <v>238.2256480255995</v>
      </c>
      <c r="L72" s="122">
        <v>1.02506408177955</v>
      </c>
      <c r="M72" s="123">
        <v>42084.120740322345</v>
      </c>
      <c r="N72" s="123">
        <v>99.467162589127852</v>
      </c>
      <c r="O72" s="122">
        <v>2.131171588957435</v>
      </c>
      <c r="P72" s="123">
        <v>276.35440447259515</v>
      </c>
      <c r="Q72" s="122">
        <v>1.2045907854877995</v>
      </c>
      <c r="R72" s="123">
        <v>43811.628212439209</v>
      </c>
      <c r="S72" s="123">
        <v>99.946716112773686</v>
      </c>
      <c r="T72" s="122">
        <v>2.1072802224508136</v>
      </c>
      <c r="U72" s="123">
        <v>274.85097457619133</v>
      </c>
      <c r="V72" s="122">
        <v>1.1975119862111174</v>
      </c>
    </row>
    <row r="73" spans="1:22" x14ac:dyDescent="0.2">
      <c r="A73" s="121" t="s">
        <v>56</v>
      </c>
      <c r="B73" s="122">
        <v>87.7</v>
      </c>
      <c r="C73" s="123">
        <v>18812.118271815601</v>
      </c>
      <c r="D73" s="123">
        <v>223.58571121759104</v>
      </c>
      <c r="E73" s="122">
        <v>3.0733335821530496</v>
      </c>
      <c r="F73" s="123">
        <v>478.67239853629417</v>
      </c>
      <c r="G73" s="122">
        <v>1.1356665381205162</v>
      </c>
      <c r="H73" s="123">
        <v>82374.84698004766</v>
      </c>
      <c r="I73" s="123">
        <v>142.930923189292</v>
      </c>
      <c r="J73" s="122">
        <v>2.5800282006617281</v>
      </c>
      <c r="K73" s="123">
        <v>357.07326384421594</v>
      </c>
      <c r="L73" s="122">
        <v>1.0733629248306236</v>
      </c>
      <c r="M73" s="123">
        <v>158476.36925035872</v>
      </c>
      <c r="N73" s="123">
        <v>88.715077050816859</v>
      </c>
      <c r="O73" s="122">
        <v>2.4027957001165574</v>
      </c>
      <c r="P73" s="123">
        <v>288.14712016049134</v>
      </c>
      <c r="Q73" s="122">
        <v>0.94358052507835366</v>
      </c>
      <c r="R73" s="123">
        <v>259663.33450222228</v>
      </c>
      <c r="S73" s="123">
        <v>115.68547841424419</v>
      </c>
      <c r="T73" s="122">
        <v>2.5075996305870412</v>
      </c>
      <c r="U73" s="123">
        <v>323.81624775296768</v>
      </c>
      <c r="V73" s="122">
        <v>0.99866858802504799</v>
      </c>
    </row>
    <row r="74" spans="1:22" x14ac:dyDescent="0.2">
      <c r="A74" s="121" t="s">
        <v>55</v>
      </c>
      <c r="B74" s="122">
        <v>87.7</v>
      </c>
      <c r="C74" s="123">
        <v>162391.71228730542</v>
      </c>
      <c r="D74" s="123">
        <v>86.955004452647302</v>
      </c>
      <c r="E74" s="122">
        <v>3.0555045423831411</v>
      </c>
      <c r="F74" s="123">
        <v>340.56188147044747</v>
      </c>
      <c r="G74" s="122">
        <v>2.4719109726696238</v>
      </c>
      <c r="H74" s="123">
        <v>60968.574127521904</v>
      </c>
      <c r="I74" s="123">
        <v>79.713273531527747</v>
      </c>
      <c r="J74" s="122">
        <v>3.1179088511001014</v>
      </c>
      <c r="K74" s="123">
        <v>338.49970817283656</v>
      </c>
      <c r="L74" s="122">
        <v>1.6465822748187877</v>
      </c>
      <c r="M74" s="123">
        <v>103645.61448195305</v>
      </c>
      <c r="N74" s="123">
        <v>67.980288264872172</v>
      </c>
      <c r="O74" s="122">
        <v>1.9196576492591473</v>
      </c>
      <c r="P74" s="123">
        <v>227.31187315338161</v>
      </c>
      <c r="Q74" s="122">
        <v>1.3671642885112181</v>
      </c>
      <c r="R74" s="123">
        <v>327005.90089677955</v>
      </c>
      <c r="S74" s="123">
        <v>79.590721053557928</v>
      </c>
      <c r="T74" s="122">
        <v>2.7071290324582518</v>
      </c>
      <c r="U74" s="123">
        <v>304.28243074759172</v>
      </c>
      <c r="V74" s="122">
        <v>1.9678795091119918</v>
      </c>
    </row>
    <row r="75" spans="1:22" x14ac:dyDescent="0.2">
      <c r="A75" s="121" t="s">
        <v>54</v>
      </c>
      <c r="B75" s="122">
        <v>87.7</v>
      </c>
      <c r="C75" s="123">
        <v>0</v>
      </c>
      <c r="D75" s="123">
        <v>0</v>
      </c>
      <c r="E75" s="122">
        <v>0</v>
      </c>
      <c r="F75" s="123">
        <v>0</v>
      </c>
      <c r="G75" s="122">
        <v>0</v>
      </c>
      <c r="H75" s="123">
        <v>224469.3708480075</v>
      </c>
      <c r="I75" s="123">
        <v>66.672330517782513</v>
      </c>
      <c r="J75" s="122">
        <v>2.8712240229083581</v>
      </c>
      <c r="K75" s="123">
        <v>304.98392441917554</v>
      </c>
      <c r="L75" s="122">
        <v>2.7321400418864981</v>
      </c>
      <c r="M75" s="123">
        <v>162226.99721118063</v>
      </c>
      <c r="N75" s="123">
        <v>46.382000885382958</v>
      </c>
      <c r="O75" s="122">
        <v>2.2639060795724868</v>
      </c>
      <c r="P75" s="123">
        <v>234.28620548989915</v>
      </c>
      <c r="Q75" s="122">
        <v>3.0332934380118353</v>
      </c>
      <c r="R75" s="123">
        <v>386696.36805918813</v>
      </c>
      <c r="S75" s="123">
        <v>58.160124248016132</v>
      </c>
      <c r="T75" s="122">
        <v>2.616441784341359</v>
      </c>
      <c r="U75" s="123">
        <v>275.32479234834767</v>
      </c>
      <c r="V75" s="122">
        <v>2.8584800212314456</v>
      </c>
    </row>
    <row r="76" spans="1:22" x14ac:dyDescent="0.2">
      <c r="A76" s="121" t="s">
        <v>53</v>
      </c>
      <c r="B76" s="122">
        <v>87.7</v>
      </c>
      <c r="C76" s="123">
        <v>0</v>
      </c>
      <c r="D76" s="123">
        <v>0</v>
      </c>
      <c r="E76" s="122">
        <v>0</v>
      </c>
      <c r="F76" s="123">
        <v>0</v>
      </c>
      <c r="G76" s="122">
        <v>0</v>
      </c>
      <c r="H76" s="123">
        <v>1821.1618324120764</v>
      </c>
      <c r="I76" s="123">
        <v>53.907097008232689</v>
      </c>
      <c r="J76" s="122">
        <v>1.2680657214395916</v>
      </c>
      <c r="K76" s="123">
        <v>159.15655188771876</v>
      </c>
      <c r="L76" s="122">
        <v>1.1327509514200496</v>
      </c>
      <c r="M76" s="123">
        <v>1224.6939308093399</v>
      </c>
      <c r="N76" s="123">
        <v>90.085134425449738</v>
      </c>
      <c r="O76" s="122">
        <v>1.3691504187170316</v>
      </c>
      <c r="P76" s="123">
        <v>203.72461917896334</v>
      </c>
      <c r="Q76" s="122">
        <v>0.83964007342374858</v>
      </c>
      <c r="R76" s="123">
        <v>3045.8557632214161</v>
      </c>
      <c r="S76" s="123">
        <v>68.453755253992185</v>
      </c>
      <c r="T76" s="122">
        <v>1.3087103956714561</v>
      </c>
      <c r="U76" s="123">
        <v>177.07671809472299</v>
      </c>
      <c r="V76" s="122">
        <v>1.0148953662440121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4" workbookViewId="0">
      <selection activeCell="A56" sqref="A56:M65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x14ac:dyDescent="0.2">
      <c r="A15" t="s">
        <v>5</v>
      </c>
      <c r="B15" t="s">
        <v>31</v>
      </c>
      <c r="C15" t="s">
        <v>50</v>
      </c>
      <c r="D15" t="s">
        <v>32</v>
      </c>
      <c r="E15" t="s">
        <v>31</v>
      </c>
      <c r="F15" t="s">
        <v>51</v>
      </c>
      <c r="G15" t="s">
        <v>32</v>
      </c>
      <c r="H15" t="s">
        <v>31</v>
      </c>
      <c r="I15" t="s">
        <v>52</v>
      </c>
      <c r="J15" t="s">
        <v>32</v>
      </c>
      <c r="K15" t="s">
        <v>31</v>
      </c>
      <c r="L15" t="s">
        <v>122</v>
      </c>
      <c r="M15" t="s">
        <v>32</v>
      </c>
    </row>
    <row r="20" spans="1:13" x14ac:dyDescent="0.2">
      <c r="B20" s="4"/>
      <c r="C20" s="4"/>
      <c r="D20" s="4"/>
      <c r="E20" s="4"/>
      <c r="F20" s="4"/>
      <c r="G20" s="4"/>
      <c r="H20" s="4"/>
      <c r="I20" s="4"/>
      <c r="J20" s="4"/>
    </row>
    <row r="27" spans="1:13" x14ac:dyDescent="0.2">
      <c r="A27" s="5" t="s">
        <v>34</v>
      </c>
    </row>
    <row r="28" spans="1:13" ht="15" x14ac:dyDescent="0.2">
      <c r="A28" s="51" t="s">
        <v>5</v>
      </c>
      <c r="B28" s="51" t="s">
        <v>31</v>
      </c>
      <c r="C28" s="51" t="s">
        <v>50</v>
      </c>
      <c r="D28" s="51" t="s">
        <v>32</v>
      </c>
      <c r="E28" s="51" t="s">
        <v>123</v>
      </c>
      <c r="F28" s="51" t="s">
        <v>51</v>
      </c>
      <c r="G28" s="51" t="s">
        <v>124</v>
      </c>
      <c r="H28" s="51" t="s">
        <v>125</v>
      </c>
      <c r="I28" s="51" t="s">
        <v>52</v>
      </c>
      <c r="J28" s="51" t="s">
        <v>126</v>
      </c>
      <c r="K28" s="51" t="s">
        <v>127</v>
      </c>
      <c r="L28" s="51" t="s">
        <v>122</v>
      </c>
      <c r="M28" s="51" t="s">
        <v>128</v>
      </c>
    </row>
    <row r="29" spans="1:13" ht="15" x14ac:dyDescent="0.25">
      <c r="A29" s="50">
        <v>0</v>
      </c>
      <c r="B29" s="50">
        <v>251349.5</v>
      </c>
      <c r="C29" s="50">
        <v>121.35</v>
      </c>
      <c r="D29" s="50">
        <v>77.48</v>
      </c>
      <c r="E29" s="50">
        <v>251349.5</v>
      </c>
      <c r="F29" s="50">
        <v>48.3</v>
      </c>
      <c r="G29" s="50">
        <v>41.35</v>
      </c>
      <c r="H29" s="50">
        <v>251349.5</v>
      </c>
      <c r="I29" s="50">
        <v>1.673</v>
      </c>
      <c r="J29" s="50">
        <v>1.3280000000000001</v>
      </c>
      <c r="K29" s="50">
        <v>251349.5</v>
      </c>
      <c r="L29" s="50">
        <v>1.1659999999999999</v>
      </c>
      <c r="M29" s="50">
        <v>0.40699999999999997</v>
      </c>
    </row>
    <row r="30" spans="1:13" ht="15" x14ac:dyDescent="0.25">
      <c r="A30" s="50">
        <v>20</v>
      </c>
      <c r="B30" s="50">
        <v>225829</v>
      </c>
      <c r="C30" s="50">
        <v>133.91</v>
      </c>
      <c r="D30" s="50">
        <v>71.61</v>
      </c>
      <c r="E30" s="50">
        <v>225829</v>
      </c>
      <c r="F30" s="50">
        <v>53.42</v>
      </c>
      <c r="G30" s="50">
        <v>40.549999999999997</v>
      </c>
      <c r="H30" s="50">
        <v>225829</v>
      </c>
      <c r="I30" s="50">
        <v>1.845</v>
      </c>
      <c r="J30" s="50">
        <v>1.294</v>
      </c>
      <c r="K30" s="50">
        <v>225829</v>
      </c>
      <c r="L30" s="50">
        <v>1.1839999999999999</v>
      </c>
      <c r="M30" s="50">
        <v>0.42299999999999999</v>
      </c>
    </row>
    <row r="31" spans="1:13" ht="15" x14ac:dyDescent="0.25">
      <c r="A31" s="50">
        <v>40</v>
      </c>
      <c r="B31" s="50">
        <v>199735.7</v>
      </c>
      <c r="C31" s="50">
        <v>147.13</v>
      </c>
      <c r="D31" s="50">
        <v>65.430000000000007</v>
      </c>
      <c r="E31" s="50">
        <v>199735.7</v>
      </c>
      <c r="F31" s="50">
        <v>58.58</v>
      </c>
      <c r="G31" s="50">
        <v>40.04</v>
      </c>
      <c r="H31" s="50">
        <v>199735.7</v>
      </c>
      <c r="I31" s="50">
        <v>2.028</v>
      </c>
      <c r="J31" s="50">
        <v>1.264</v>
      </c>
      <c r="K31" s="50">
        <v>199735.7</v>
      </c>
      <c r="L31" s="50">
        <v>1.1819999999999999</v>
      </c>
      <c r="M31" s="50">
        <v>0.44400000000000001</v>
      </c>
    </row>
    <row r="32" spans="1:13" ht="15" x14ac:dyDescent="0.25">
      <c r="A32" s="50">
        <v>60</v>
      </c>
      <c r="B32" s="50">
        <v>185015.3</v>
      </c>
      <c r="C32" s="50">
        <v>154.88999999999999</v>
      </c>
      <c r="D32" s="50">
        <v>61.65</v>
      </c>
      <c r="E32" s="50">
        <v>185015.3</v>
      </c>
      <c r="F32" s="50">
        <v>62.04</v>
      </c>
      <c r="G32" s="50">
        <v>39.549999999999997</v>
      </c>
      <c r="H32" s="50">
        <v>185015.3</v>
      </c>
      <c r="I32" s="50">
        <v>2.1309999999999998</v>
      </c>
      <c r="J32" s="50">
        <v>1.258</v>
      </c>
      <c r="K32" s="50">
        <v>185015.3</v>
      </c>
      <c r="L32" s="50">
        <v>1.1910000000000001</v>
      </c>
      <c r="M32" s="50">
        <v>0.45200000000000001</v>
      </c>
    </row>
    <row r="33" spans="1:13" ht="15" x14ac:dyDescent="0.25">
      <c r="A33" s="50">
        <v>87.7</v>
      </c>
      <c r="B33" s="50">
        <v>162024.6</v>
      </c>
      <c r="C33" s="50">
        <v>166.36</v>
      </c>
      <c r="D33" s="50">
        <v>57.23</v>
      </c>
      <c r="E33" s="50">
        <v>162024.6</v>
      </c>
      <c r="F33" s="50">
        <v>65.61</v>
      </c>
      <c r="G33" s="50">
        <v>40.119999999999997</v>
      </c>
      <c r="H33" s="50">
        <v>162024.6</v>
      </c>
      <c r="I33" s="50">
        <v>2.3010000000000002</v>
      </c>
      <c r="J33" s="50">
        <v>1.2490000000000001</v>
      </c>
      <c r="K33" s="50">
        <v>162024.6</v>
      </c>
      <c r="L33" s="50">
        <v>1.226</v>
      </c>
      <c r="M33" s="50">
        <v>0.46600000000000003</v>
      </c>
    </row>
    <row r="34" spans="1:13" ht="15" x14ac:dyDescent="0.25">
      <c r="A34" s="50">
        <v>90</v>
      </c>
      <c r="B34" s="50">
        <v>160371.9</v>
      </c>
      <c r="C34" s="50">
        <v>167.16</v>
      </c>
      <c r="D34" s="50">
        <v>56.98</v>
      </c>
      <c r="E34" s="50">
        <v>160371.9</v>
      </c>
      <c r="F34" s="50">
        <v>65.73</v>
      </c>
      <c r="G34" s="50">
        <v>40.17</v>
      </c>
      <c r="H34" s="50">
        <v>160371.9</v>
      </c>
      <c r="I34" s="50">
        <v>2.3149999999999999</v>
      </c>
      <c r="J34" s="50">
        <v>1.248</v>
      </c>
      <c r="K34" s="50">
        <v>160371.9</v>
      </c>
      <c r="L34" s="50">
        <v>1.2290000000000001</v>
      </c>
      <c r="M34" s="50">
        <v>0.46700000000000003</v>
      </c>
    </row>
    <row r="35" spans="1:13" ht="15" x14ac:dyDescent="0.25">
      <c r="A35" s="50">
        <v>100</v>
      </c>
      <c r="B35" s="50">
        <v>150452.4</v>
      </c>
      <c r="C35" s="50">
        <v>171.89</v>
      </c>
      <c r="D35" s="50">
        <v>55.67</v>
      </c>
      <c r="E35" s="50">
        <v>150452.4</v>
      </c>
      <c r="F35" s="50">
        <v>65.72</v>
      </c>
      <c r="G35" s="50">
        <v>40.61</v>
      </c>
      <c r="H35" s="50">
        <v>150452.4</v>
      </c>
      <c r="I35" s="50">
        <v>2.4039999999999999</v>
      </c>
      <c r="J35" s="50">
        <v>1.2330000000000001</v>
      </c>
      <c r="K35" s="50">
        <v>150452.4</v>
      </c>
      <c r="L35" s="50">
        <v>1.24</v>
      </c>
      <c r="M35" s="50">
        <v>0.47</v>
      </c>
    </row>
    <row r="36" spans="1:13" ht="15" x14ac:dyDescent="0.25">
      <c r="A36" s="50">
        <v>200</v>
      </c>
      <c r="B36" s="50">
        <v>36770.5</v>
      </c>
      <c r="C36" s="50">
        <v>249.9</v>
      </c>
      <c r="D36" s="50">
        <v>49.71</v>
      </c>
      <c r="E36" s="50">
        <v>36770.5</v>
      </c>
      <c r="F36" s="50">
        <v>66.64</v>
      </c>
      <c r="G36" s="50">
        <v>44.81</v>
      </c>
      <c r="H36" s="50">
        <v>36770.5</v>
      </c>
      <c r="I36" s="50">
        <v>3.8580000000000001</v>
      </c>
      <c r="J36" s="50">
        <v>1.298</v>
      </c>
      <c r="K36" s="50">
        <v>36770.5</v>
      </c>
      <c r="L36" s="50">
        <v>1.149</v>
      </c>
      <c r="M36" s="50">
        <v>0.432</v>
      </c>
    </row>
    <row r="37" spans="1:13" ht="15" x14ac:dyDescent="0.25">
      <c r="A37" s="50">
        <v>300</v>
      </c>
      <c r="B37" s="50">
        <v>5521.8</v>
      </c>
      <c r="C37" s="50">
        <v>350.82</v>
      </c>
      <c r="D37" s="50">
        <v>32.86</v>
      </c>
      <c r="E37" s="50">
        <v>5521.8</v>
      </c>
      <c r="F37" s="50">
        <v>34.31</v>
      </c>
      <c r="G37" s="50">
        <v>9.08</v>
      </c>
      <c r="H37" s="50">
        <v>5521.8</v>
      </c>
      <c r="I37" s="50">
        <v>6.1619999999999999</v>
      </c>
      <c r="J37" s="50">
        <v>0.63700000000000001</v>
      </c>
      <c r="K37" s="50">
        <v>5521.8</v>
      </c>
      <c r="L37" s="50">
        <v>0.81699999999999995</v>
      </c>
      <c r="M37" s="50">
        <v>4.4999999999999998E-2</v>
      </c>
    </row>
    <row r="41" spans="1:13" x14ac:dyDescent="0.2">
      <c r="A41" s="5" t="s">
        <v>35</v>
      </c>
    </row>
    <row r="42" spans="1:13" x14ac:dyDescent="0.2">
      <c r="A42" t="s">
        <v>5</v>
      </c>
      <c r="B42" t="s">
        <v>31</v>
      </c>
      <c r="C42" t="s">
        <v>50</v>
      </c>
      <c r="D42" t="s">
        <v>32</v>
      </c>
      <c r="E42" t="s">
        <v>31</v>
      </c>
      <c r="F42" t="s">
        <v>51</v>
      </c>
      <c r="G42" t="s">
        <v>32</v>
      </c>
      <c r="H42" t="s">
        <v>31</v>
      </c>
      <c r="I42" t="s">
        <v>52</v>
      </c>
      <c r="J42" t="s">
        <v>32</v>
      </c>
      <c r="K42" t="s">
        <v>31</v>
      </c>
      <c r="L42" t="s">
        <v>122</v>
      </c>
      <c r="M42" t="s">
        <v>32</v>
      </c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53" spans="1:13" x14ac:dyDescent="0.2">
      <c r="A53" s="1"/>
      <c r="B53">
        <f>+B7+B20</f>
        <v>0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53" t="s">
        <v>5</v>
      </c>
      <c r="B56" s="53" t="s">
        <v>31</v>
      </c>
      <c r="C56" s="53" t="s">
        <v>50</v>
      </c>
      <c r="D56" s="53" t="s">
        <v>32</v>
      </c>
      <c r="E56" s="53" t="s">
        <v>123</v>
      </c>
      <c r="F56" s="53" t="s">
        <v>51</v>
      </c>
      <c r="G56" s="53" t="s">
        <v>124</v>
      </c>
      <c r="H56" s="53" t="s">
        <v>125</v>
      </c>
      <c r="I56" s="53" t="s">
        <v>52</v>
      </c>
      <c r="J56" s="53" t="s">
        <v>126</v>
      </c>
      <c r="K56" s="53" t="s">
        <v>127</v>
      </c>
      <c r="L56" s="53" t="s">
        <v>122</v>
      </c>
      <c r="M56" s="53" t="s">
        <v>128</v>
      </c>
    </row>
    <row r="57" spans="1:13" ht="15" x14ac:dyDescent="0.25">
      <c r="A57" s="52">
        <v>0</v>
      </c>
      <c r="B57" s="52">
        <v>251349.5</v>
      </c>
      <c r="C57" s="52">
        <v>121.35</v>
      </c>
      <c r="D57" s="52">
        <v>77.48</v>
      </c>
      <c r="E57" s="52">
        <v>251349.5</v>
      </c>
      <c r="F57" s="52">
        <v>48.3</v>
      </c>
      <c r="G57" s="52">
        <v>41.35</v>
      </c>
      <c r="H57" s="52">
        <v>251349.5</v>
      </c>
      <c r="I57" s="52">
        <v>1.673</v>
      </c>
      <c r="J57" s="52">
        <v>1.3280000000000001</v>
      </c>
      <c r="K57" s="52">
        <v>251349.5</v>
      </c>
      <c r="L57" s="52">
        <v>1.1659999999999999</v>
      </c>
      <c r="M57" s="52">
        <v>0.40699999999999997</v>
      </c>
    </row>
    <row r="58" spans="1:13" ht="15" x14ac:dyDescent="0.25">
      <c r="A58" s="52">
        <v>20</v>
      </c>
      <c r="B58" s="52">
        <v>225829</v>
      </c>
      <c r="C58" s="52">
        <v>133.91</v>
      </c>
      <c r="D58" s="52">
        <v>71.61</v>
      </c>
      <c r="E58" s="52">
        <v>225829</v>
      </c>
      <c r="F58" s="52">
        <v>53.42</v>
      </c>
      <c r="G58" s="52">
        <v>40.549999999999997</v>
      </c>
      <c r="H58" s="52">
        <v>225829</v>
      </c>
      <c r="I58" s="52">
        <v>1.845</v>
      </c>
      <c r="J58" s="52">
        <v>1.294</v>
      </c>
      <c r="K58" s="52">
        <v>225829</v>
      </c>
      <c r="L58" s="52">
        <v>1.1839999999999999</v>
      </c>
      <c r="M58" s="52">
        <v>0.42299999999999999</v>
      </c>
    </row>
    <row r="59" spans="1:13" ht="15" x14ac:dyDescent="0.25">
      <c r="A59" s="52">
        <v>40</v>
      </c>
      <c r="B59" s="52">
        <v>199735.7</v>
      </c>
      <c r="C59" s="52">
        <v>147.13</v>
      </c>
      <c r="D59" s="52">
        <v>65.430000000000007</v>
      </c>
      <c r="E59" s="52">
        <v>199735.7</v>
      </c>
      <c r="F59" s="52">
        <v>58.58</v>
      </c>
      <c r="G59" s="52">
        <v>40.04</v>
      </c>
      <c r="H59" s="52">
        <v>199735.7</v>
      </c>
      <c r="I59" s="52">
        <v>2.028</v>
      </c>
      <c r="J59" s="52">
        <v>1.264</v>
      </c>
      <c r="K59" s="52">
        <v>199735.7</v>
      </c>
      <c r="L59" s="52">
        <v>1.1819999999999999</v>
      </c>
      <c r="M59" s="52">
        <v>0.44400000000000001</v>
      </c>
    </row>
    <row r="60" spans="1:13" ht="15" x14ac:dyDescent="0.25">
      <c r="A60" s="52">
        <v>60</v>
      </c>
      <c r="B60" s="52">
        <v>185015.3</v>
      </c>
      <c r="C60" s="52">
        <v>154.88999999999999</v>
      </c>
      <c r="D60" s="52">
        <v>61.65</v>
      </c>
      <c r="E60" s="52">
        <v>185015.3</v>
      </c>
      <c r="F60" s="52">
        <v>62.04</v>
      </c>
      <c r="G60" s="52">
        <v>39.549999999999997</v>
      </c>
      <c r="H60" s="52">
        <v>185015.3</v>
      </c>
      <c r="I60" s="52">
        <v>2.1309999999999998</v>
      </c>
      <c r="J60" s="52">
        <v>1.258</v>
      </c>
      <c r="K60" s="52">
        <v>185015.3</v>
      </c>
      <c r="L60" s="52">
        <v>1.1910000000000001</v>
      </c>
      <c r="M60" s="52">
        <v>0.45200000000000001</v>
      </c>
    </row>
    <row r="61" spans="1:13" ht="15" x14ac:dyDescent="0.25">
      <c r="A61" s="52">
        <v>87.7</v>
      </c>
      <c r="B61" s="52">
        <v>162024.6</v>
      </c>
      <c r="C61" s="52">
        <v>166.36</v>
      </c>
      <c r="D61" s="52">
        <v>57.23</v>
      </c>
      <c r="E61" s="52">
        <v>162024.6</v>
      </c>
      <c r="F61" s="52">
        <v>65.61</v>
      </c>
      <c r="G61" s="52">
        <v>40.119999999999997</v>
      </c>
      <c r="H61" s="52">
        <v>162024.6</v>
      </c>
      <c r="I61" s="52">
        <v>2.3010000000000002</v>
      </c>
      <c r="J61" s="52">
        <v>1.2490000000000001</v>
      </c>
      <c r="K61" s="52">
        <v>162024.6</v>
      </c>
      <c r="L61" s="52">
        <v>1.226</v>
      </c>
      <c r="M61" s="52">
        <v>0.46600000000000003</v>
      </c>
    </row>
    <row r="62" spans="1:13" ht="15" x14ac:dyDescent="0.25">
      <c r="A62" s="52">
        <v>90</v>
      </c>
      <c r="B62" s="52">
        <v>160371.9</v>
      </c>
      <c r="C62" s="52">
        <v>167.16</v>
      </c>
      <c r="D62" s="52">
        <v>56.98</v>
      </c>
      <c r="E62" s="52">
        <v>160371.9</v>
      </c>
      <c r="F62" s="52">
        <v>65.73</v>
      </c>
      <c r="G62" s="52">
        <v>40.17</v>
      </c>
      <c r="H62" s="52">
        <v>160371.9</v>
      </c>
      <c r="I62" s="52">
        <v>2.3149999999999999</v>
      </c>
      <c r="J62" s="52">
        <v>1.248</v>
      </c>
      <c r="K62" s="52">
        <v>160371.9</v>
      </c>
      <c r="L62" s="52">
        <v>1.2290000000000001</v>
      </c>
      <c r="M62" s="52">
        <v>0.46700000000000003</v>
      </c>
    </row>
    <row r="63" spans="1:13" ht="15" x14ac:dyDescent="0.25">
      <c r="A63" s="52">
        <v>100</v>
      </c>
      <c r="B63" s="52">
        <v>150452.4</v>
      </c>
      <c r="C63" s="52">
        <v>171.89</v>
      </c>
      <c r="D63" s="52">
        <v>55.67</v>
      </c>
      <c r="E63" s="52">
        <v>150452.4</v>
      </c>
      <c r="F63" s="52">
        <v>65.72</v>
      </c>
      <c r="G63" s="52">
        <v>40.61</v>
      </c>
      <c r="H63" s="52">
        <v>150452.4</v>
      </c>
      <c r="I63" s="52">
        <v>2.4039999999999999</v>
      </c>
      <c r="J63" s="52">
        <v>1.2330000000000001</v>
      </c>
      <c r="K63" s="52">
        <v>150452.4</v>
      </c>
      <c r="L63" s="52">
        <v>1.24</v>
      </c>
      <c r="M63" s="52">
        <v>0.47</v>
      </c>
    </row>
    <row r="64" spans="1:13" ht="15" x14ac:dyDescent="0.25">
      <c r="A64" s="52">
        <v>200</v>
      </c>
      <c r="B64" s="52">
        <v>36770.5</v>
      </c>
      <c r="C64" s="52">
        <v>249.9</v>
      </c>
      <c r="D64" s="52">
        <v>49.71</v>
      </c>
      <c r="E64" s="52">
        <v>36770.5</v>
      </c>
      <c r="F64" s="52">
        <v>66.64</v>
      </c>
      <c r="G64" s="52">
        <v>44.81</v>
      </c>
      <c r="H64" s="52">
        <v>36770.5</v>
      </c>
      <c r="I64" s="52">
        <v>3.8580000000000001</v>
      </c>
      <c r="J64" s="52">
        <v>1.298</v>
      </c>
      <c r="K64" s="52">
        <v>36770.5</v>
      </c>
      <c r="L64" s="52">
        <v>1.149</v>
      </c>
      <c r="M64" s="52">
        <v>0.432</v>
      </c>
    </row>
    <row r="65" spans="1:13" ht="15" x14ac:dyDescent="0.25">
      <c r="A65" s="52">
        <v>300</v>
      </c>
      <c r="B65" s="52">
        <v>5521.8</v>
      </c>
      <c r="C65" s="52">
        <v>350.82</v>
      </c>
      <c r="D65" s="52">
        <v>32.86</v>
      </c>
      <c r="E65" s="52">
        <v>5521.8</v>
      </c>
      <c r="F65" s="52">
        <v>34.31</v>
      </c>
      <c r="G65" s="52">
        <v>9.08</v>
      </c>
      <c r="H65" s="52">
        <v>5521.8</v>
      </c>
      <c r="I65" s="52">
        <v>6.1619999999999999</v>
      </c>
      <c r="J65" s="52">
        <v>0.63700000000000001</v>
      </c>
      <c r="K65" s="52">
        <v>5521.8</v>
      </c>
      <c r="L65" s="52">
        <v>0.81699999999999995</v>
      </c>
      <c r="M65" s="52">
        <v>4.4999999999999998E-2</v>
      </c>
    </row>
    <row r="67" spans="1:13" x14ac:dyDescent="0.2">
      <c r="A67" s="1"/>
      <c r="B67">
        <f>+B7+B20+B33</f>
        <v>162024.6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/>
  </sheetViews>
  <sheetFormatPr baseColWidth="10" defaultRowHeight="12.75" x14ac:dyDescent="0.2"/>
  <sheetData>
    <row r="1" spans="1:13" x14ac:dyDescent="0.2">
      <c r="A1" s="5" t="s">
        <v>30</v>
      </c>
    </row>
    <row r="2" spans="1:13" ht="15" x14ac:dyDescent="0.2">
      <c r="A2" s="34" t="s">
        <v>5</v>
      </c>
      <c r="B2" s="34" t="s">
        <v>31</v>
      </c>
      <c r="C2" s="34" t="s">
        <v>50</v>
      </c>
      <c r="D2" s="34" t="s">
        <v>32</v>
      </c>
      <c r="E2" s="34" t="s">
        <v>123</v>
      </c>
      <c r="F2" s="34" t="s">
        <v>51</v>
      </c>
      <c r="G2" s="34" t="s">
        <v>124</v>
      </c>
      <c r="H2" s="34" t="s">
        <v>125</v>
      </c>
      <c r="I2" s="34" t="s">
        <v>52</v>
      </c>
      <c r="J2" s="34" t="s">
        <v>126</v>
      </c>
      <c r="K2" s="34" t="s">
        <v>127</v>
      </c>
      <c r="L2" s="34" t="s">
        <v>122</v>
      </c>
      <c r="M2" s="34" t="s">
        <v>128</v>
      </c>
    </row>
    <row r="3" spans="1:13" x14ac:dyDescent="0.2">
      <c r="A3">
        <v>0</v>
      </c>
      <c r="B3">
        <v>262118</v>
      </c>
      <c r="C3">
        <v>172.32</v>
      </c>
      <c r="D3">
        <v>88.2</v>
      </c>
      <c r="E3">
        <v>258942.4</v>
      </c>
      <c r="F3">
        <v>80.33</v>
      </c>
      <c r="G3">
        <v>46.85</v>
      </c>
      <c r="H3">
        <v>258942.4</v>
      </c>
      <c r="I3">
        <v>2.2679999999999998</v>
      </c>
      <c r="J3">
        <v>1.2569999999999999</v>
      </c>
      <c r="K3">
        <v>262118</v>
      </c>
      <c r="L3">
        <v>3.1659999999999999</v>
      </c>
      <c r="M3">
        <v>2.2639999999999998</v>
      </c>
    </row>
    <row r="4" spans="1:13" x14ac:dyDescent="0.2">
      <c r="A4">
        <v>20</v>
      </c>
      <c r="B4">
        <v>258763.3</v>
      </c>
      <c r="C4">
        <v>174.54</v>
      </c>
      <c r="D4">
        <v>86.57</v>
      </c>
      <c r="E4">
        <v>258763.3</v>
      </c>
      <c r="F4">
        <v>80.38</v>
      </c>
      <c r="G4">
        <v>46.82</v>
      </c>
      <c r="H4">
        <v>258763.3</v>
      </c>
      <c r="I4">
        <v>2.2690000000000001</v>
      </c>
      <c r="J4">
        <v>1.256</v>
      </c>
      <c r="K4">
        <v>258763.3</v>
      </c>
      <c r="L4">
        <v>3.1949999999999998</v>
      </c>
      <c r="M4">
        <v>2.2629999999999999</v>
      </c>
    </row>
    <row r="5" spans="1:13" x14ac:dyDescent="0.2">
      <c r="A5">
        <v>40</v>
      </c>
      <c r="B5">
        <v>257076.8</v>
      </c>
      <c r="C5">
        <v>175.48</v>
      </c>
      <c r="D5">
        <v>86.07</v>
      </c>
      <c r="E5">
        <v>257076.8</v>
      </c>
      <c r="F5">
        <v>80.819999999999993</v>
      </c>
      <c r="G5">
        <v>46.65</v>
      </c>
      <c r="H5">
        <v>257076.8</v>
      </c>
      <c r="I5">
        <v>2.2810000000000001</v>
      </c>
      <c r="J5">
        <v>1.2509999999999999</v>
      </c>
      <c r="K5">
        <v>257076.8</v>
      </c>
      <c r="L5">
        <v>3.2109999999999999</v>
      </c>
      <c r="M5">
        <v>2.262</v>
      </c>
    </row>
    <row r="6" spans="1:13" x14ac:dyDescent="0.2">
      <c r="A6">
        <v>60</v>
      </c>
      <c r="B6">
        <v>252562</v>
      </c>
      <c r="C6">
        <v>177.71</v>
      </c>
      <c r="D6">
        <v>85.19</v>
      </c>
      <c r="E6">
        <v>252562</v>
      </c>
      <c r="F6">
        <v>81.91</v>
      </c>
      <c r="G6">
        <v>46.33</v>
      </c>
      <c r="H6">
        <v>252562</v>
      </c>
      <c r="I6">
        <v>2.31</v>
      </c>
      <c r="J6">
        <v>1.244</v>
      </c>
      <c r="K6">
        <v>252562</v>
      </c>
      <c r="L6">
        <v>3.246</v>
      </c>
      <c r="M6">
        <v>2.2629999999999999</v>
      </c>
    </row>
    <row r="7" spans="1:13" x14ac:dyDescent="0.2">
      <c r="A7">
        <v>87.7</v>
      </c>
      <c r="B7">
        <v>236112.8</v>
      </c>
      <c r="C7">
        <v>184.8</v>
      </c>
      <c r="D7">
        <v>83.58</v>
      </c>
      <c r="E7">
        <v>236112.8</v>
      </c>
      <c r="F7">
        <v>85.22</v>
      </c>
      <c r="G7">
        <v>46.01</v>
      </c>
      <c r="H7">
        <v>236112.8</v>
      </c>
      <c r="I7">
        <v>2.4009999999999998</v>
      </c>
      <c r="J7">
        <v>1.2350000000000001</v>
      </c>
      <c r="K7">
        <v>236112.8</v>
      </c>
      <c r="L7">
        <v>3.319</v>
      </c>
      <c r="M7">
        <v>2.2810000000000001</v>
      </c>
    </row>
    <row r="8" spans="1:13" x14ac:dyDescent="0.2">
      <c r="A8">
        <v>90</v>
      </c>
      <c r="B8">
        <v>234039.3</v>
      </c>
      <c r="C8">
        <v>185.66</v>
      </c>
      <c r="D8">
        <v>83.46</v>
      </c>
      <c r="E8">
        <v>234039.3</v>
      </c>
      <c r="F8">
        <v>85.58</v>
      </c>
      <c r="G8">
        <v>46.03</v>
      </c>
      <c r="H8">
        <v>234039.3</v>
      </c>
      <c r="I8">
        <v>2.4129999999999998</v>
      </c>
      <c r="J8">
        <v>1.234</v>
      </c>
      <c r="K8">
        <v>234039.3</v>
      </c>
      <c r="L8">
        <v>3.3279999999999998</v>
      </c>
      <c r="M8">
        <v>2.2829999999999999</v>
      </c>
    </row>
    <row r="9" spans="1:13" x14ac:dyDescent="0.2">
      <c r="A9">
        <v>100</v>
      </c>
      <c r="B9">
        <v>225312.5</v>
      </c>
      <c r="C9">
        <v>189.17</v>
      </c>
      <c r="D9">
        <v>83.09</v>
      </c>
      <c r="E9">
        <v>225312.5</v>
      </c>
      <c r="F9">
        <v>87.14</v>
      </c>
      <c r="G9">
        <v>46.12</v>
      </c>
      <c r="H9">
        <v>225312.5</v>
      </c>
      <c r="I9">
        <v>2.4590000000000001</v>
      </c>
      <c r="J9">
        <v>1.234</v>
      </c>
      <c r="K9">
        <v>225312.5</v>
      </c>
      <c r="L9">
        <v>3.371</v>
      </c>
      <c r="M9">
        <v>2.286</v>
      </c>
    </row>
    <row r="10" spans="1:13" x14ac:dyDescent="0.2">
      <c r="A10">
        <v>200</v>
      </c>
      <c r="B10">
        <v>67436.800000000003</v>
      </c>
      <c r="C10">
        <v>286.7</v>
      </c>
      <c r="D10">
        <v>88.59</v>
      </c>
      <c r="E10">
        <v>67436.800000000003</v>
      </c>
      <c r="F10">
        <v>126.87</v>
      </c>
      <c r="G10">
        <v>53.99</v>
      </c>
      <c r="H10">
        <v>67436.800000000003</v>
      </c>
      <c r="I10">
        <v>3.7930000000000001</v>
      </c>
      <c r="J10">
        <v>1.468</v>
      </c>
      <c r="K10">
        <v>67436.800000000003</v>
      </c>
      <c r="L10">
        <v>4.0140000000000002</v>
      </c>
      <c r="M10">
        <v>2.597</v>
      </c>
    </row>
    <row r="11" spans="1:13" x14ac:dyDescent="0.2">
      <c r="A11">
        <v>300</v>
      </c>
      <c r="B11">
        <v>23288.2</v>
      </c>
      <c r="C11">
        <v>385.34</v>
      </c>
      <c r="D11">
        <v>80.599999999999994</v>
      </c>
      <c r="E11">
        <v>23288.2</v>
      </c>
      <c r="F11">
        <v>146.44999999999999</v>
      </c>
      <c r="G11">
        <v>72.94</v>
      </c>
      <c r="H11">
        <v>23288.2</v>
      </c>
      <c r="I11">
        <v>5.4</v>
      </c>
      <c r="J11">
        <v>1.2490000000000001</v>
      </c>
      <c r="K11">
        <v>23288.2</v>
      </c>
      <c r="L11">
        <v>4.2770000000000001</v>
      </c>
      <c r="M11">
        <v>2.6019999999999999</v>
      </c>
    </row>
    <row r="12" spans="1:13" x14ac:dyDescent="0.2">
      <c r="A12">
        <v>400</v>
      </c>
      <c r="B12">
        <v>6584</v>
      </c>
      <c r="C12">
        <v>487.75</v>
      </c>
      <c r="D12">
        <v>79.17</v>
      </c>
      <c r="E12">
        <v>6584</v>
      </c>
      <c r="F12">
        <v>196.34</v>
      </c>
      <c r="G12">
        <v>92.28</v>
      </c>
      <c r="H12">
        <v>6584</v>
      </c>
      <c r="I12">
        <v>6.6970000000000001</v>
      </c>
      <c r="J12">
        <v>1.2889999999999999</v>
      </c>
      <c r="K12">
        <v>6584</v>
      </c>
      <c r="L12">
        <v>5.52</v>
      </c>
      <c r="M12">
        <v>2.7050000000000001</v>
      </c>
    </row>
    <row r="14" spans="1:13" x14ac:dyDescent="0.2">
      <c r="A14" s="5" t="s">
        <v>33</v>
      </c>
    </row>
    <row r="15" spans="1:13" ht="15" x14ac:dyDescent="0.2">
      <c r="A15" s="34" t="s">
        <v>5</v>
      </c>
      <c r="B15" s="34" t="s">
        <v>31</v>
      </c>
      <c r="C15" s="34" t="s">
        <v>50</v>
      </c>
      <c r="D15" s="34" t="s">
        <v>32</v>
      </c>
      <c r="E15" s="34" t="s">
        <v>123</v>
      </c>
      <c r="F15" s="34" t="s">
        <v>51</v>
      </c>
      <c r="G15" s="34" t="s">
        <v>124</v>
      </c>
      <c r="H15" s="34" t="s">
        <v>125</v>
      </c>
      <c r="I15" s="34" t="s">
        <v>52</v>
      </c>
      <c r="J15" s="34" t="s">
        <v>126</v>
      </c>
      <c r="K15" s="34" t="s">
        <v>127</v>
      </c>
      <c r="L15" s="34" t="s">
        <v>122</v>
      </c>
      <c r="M15" s="34" t="s">
        <v>128</v>
      </c>
    </row>
    <row r="16" spans="1:13" x14ac:dyDescent="0.2">
      <c r="A16">
        <v>0</v>
      </c>
      <c r="B16">
        <v>584294.5</v>
      </c>
      <c r="C16">
        <v>188.25</v>
      </c>
      <c r="D16">
        <v>104.8</v>
      </c>
      <c r="E16">
        <v>577729</v>
      </c>
      <c r="F16">
        <v>90.9</v>
      </c>
      <c r="G16">
        <v>62.4</v>
      </c>
      <c r="H16">
        <v>577729</v>
      </c>
      <c r="I16">
        <v>2.4350000000000001</v>
      </c>
      <c r="J16">
        <v>1.3740000000000001</v>
      </c>
      <c r="K16">
        <v>584294.5</v>
      </c>
      <c r="L16">
        <v>2.544</v>
      </c>
      <c r="M16">
        <v>1.798</v>
      </c>
    </row>
    <row r="17" spans="1:13" x14ac:dyDescent="0.2">
      <c r="A17">
        <v>20</v>
      </c>
      <c r="B17">
        <v>577483.4</v>
      </c>
      <c r="C17">
        <v>190.47</v>
      </c>
      <c r="D17">
        <v>103.41</v>
      </c>
      <c r="E17">
        <v>577483.4</v>
      </c>
      <c r="F17">
        <v>90.94</v>
      </c>
      <c r="G17">
        <v>62.39</v>
      </c>
      <c r="H17">
        <v>577483.4</v>
      </c>
      <c r="I17">
        <v>2.4359999999999999</v>
      </c>
      <c r="J17">
        <v>1.373</v>
      </c>
      <c r="K17">
        <v>577483.4</v>
      </c>
      <c r="L17">
        <v>2.5630000000000002</v>
      </c>
      <c r="M17">
        <v>1.7989999999999999</v>
      </c>
    </row>
    <row r="18" spans="1:13" x14ac:dyDescent="0.2">
      <c r="A18">
        <v>40</v>
      </c>
      <c r="B18">
        <v>574364.6</v>
      </c>
      <c r="C18">
        <v>191.32</v>
      </c>
      <c r="D18">
        <v>103.04</v>
      </c>
      <c r="E18">
        <v>574364.6</v>
      </c>
      <c r="F18">
        <v>91.35</v>
      </c>
      <c r="G18">
        <v>62.3</v>
      </c>
      <c r="H18">
        <v>574364.6</v>
      </c>
      <c r="I18">
        <v>2.4470000000000001</v>
      </c>
      <c r="J18">
        <v>1.369</v>
      </c>
      <c r="K18">
        <v>574364.6</v>
      </c>
      <c r="L18">
        <v>2.5720000000000001</v>
      </c>
      <c r="M18">
        <v>1.7989999999999999</v>
      </c>
    </row>
    <row r="19" spans="1:13" x14ac:dyDescent="0.2">
      <c r="A19">
        <v>60</v>
      </c>
      <c r="B19">
        <v>566813.5</v>
      </c>
      <c r="C19">
        <v>193.19</v>
      </c>
      <c r="D19">
        <v>102.42</v>
      </c>
      <c r="E19">
        <v>566813.5</v>
      </c>
      <c r="F19">
        <v>92.25</v>
      </c>
      <c r="G19">
        <v>62.22</v>
      </c>
      <c r="H19">
        <v>566813.5</v>
      </c>
      <c r="I19">
        <v>2.4710000000000001</v>
      </c>
      <c r="J19">
        <v>1.3620000000000001</v>
      </c>
      <c r="K19">
        <v>566813.5</v>
      </c>
      <c r="L19">
        <v>2.59</v>
      </c>
      <c r="M19">
        <v>1.796</v>
      </c>
    </row>
    <row r="20" spans="1:13" x14ac:dyDescent="0.2">
      <c r="A20">
        <v>87.7</v>
      </c>
      <c r="B20">
        <v>537761</v>
      </c>
      <c r="C20">
        <v>199.46</v>
      </c>
      <c r="D20">
        <v>101.43</v>
      </c>
      <c r="E20">
        <v>537761</v>
      </c>
      <c r="F20">
        <v>95.15</v>
      </c>
      <c r="G20">
        <v>62.52</v>
      </c>
      <c r="H20">
        <v>537761</v>
      </c>
      <c r="I20">
        <v>2.552</v>
      </c>
      <c r="J20">
        <v>1.351</v>
      </c>
      <c r="K20">
        <v>537761</v>
      </c>
      <c r="L20">
        <v>2.6230000000000002</v>
      </c>
      <c r="M20">
        <v>1.79</v>
      </c>
    </row>
    <row r="21" spans="1:13" x14ac:dyDescent="0.2">
      <c r="A21">
        <v>90</v>
      </c>
      <c r="B21">
        <v>532875</v>
      </c>
      <c r="C21">
        <v>200.47</v>
      </c>
      <c r="D21">
        <v>101.34</v>
      </c>
      <c r="E21">
        <v>532875</v>
      </c>
      <c r="F21">
        <v>95.6</v>
      </c>
      <c r="G21">
        <v>62.61</v>
      </c>
      <c r="H21">
        <v>532875</v>
      </c>
      <c r="I21">
        <v>2.5649999999999999</v>
      </c>
      <c r="J21">
        <v>1.35</v>
      </c>
      <c r="K21">
        <v>532875</v>
      </c>
      <c r="L21">
        <v>2.6269999999999998</v>
      </c>
      <c r="M21">
        <v>1.7909999999999999</v>
      </c>
    </row>
    <row r="22" spans="1:13" x14ac:dyDescent="0.2">
      <c r="A22">
        <v>100</v>
      </c>
      <c r="B22">
        <v>509681.1</v>
      </c>
      <c r="C22">
        <v>205.27</v>
      </c>
      <c r="D22">
        <v>101.03</v>
      </c>
      <c r="E22">
        <v>509681.1</v>
      </c>
      <c r="F22">
        <v>97.73</v>
      </c>
      <c r="G22">
        <v>63.13</v>
      </c>
      <c r="H22">
        <v>509681.1</v>
      </c>
      <c r="I22">
        <v>2.629</v>
      </c>
      <c r="J22">
        <v>1.3460000000000001</v>
      </c>
      <c r="K22">
        <v>509681.1</v>
      </c>
      <c r="L22">
        <v>2.6549999999999998</v>
      </c>
      <c r="M22">
        <v>1.792</v>
      </c>
    </row>
    <row r="23" spans="1:13" x14ac:dyDescent="0.2">
      <c r="A23">
        <v>200</v>
      </c>
      <c r="B23">
        <v>191606</v>
      </c>
      <c r="C23">
        <v>303.39</v>
      </c>
      <c r="D23">
        <v>102.3</v>
      </c>
      <c r="E23">
        <v>191606</v>
      </c>
      <c r="F23">
        <v>143.94999999999999</v>
      </c>
      <c r="G23">
        <v>77.400000000000006</v>
      </c>
      <c r="H23">
        <v>191606</v>
      </c>
      <c r="I23">
        <v>3.8919999999999999</v>
      </c>
      <c r="J23">
        <v>1.3939999999999999</v>
      </c>
      <c r="K23">
        <v>191606</v>
      </c>
      <c r="L23">
        <v>3.0329999999999999</v>
      </c>
      <c r="M23">
        <v>1.96</v>
      </c>
    </row>
    <row r="24" spans="1:13" x14ac:dyDescent="0.2">
      <c r="A24">
        <v>300</v>
      </c>
      <c r="B24">
        <v>76988.7</v>
      </c>
      <c r="C24">
        <v>403.63</v>
      </c>
      <c r="D24">
        <v>89.97</v>
      </c>
      <c r="E24">
        <v>76988.7</v>
      </c>
      <c r="F24">
        <v>192.05</v>
      </c>
      <c r="G24">
        <v>92.92</v>
      </c>
      <c r="H24">
        <v>76988.7</v>
      </c>
      <c r="I24">
        <v>5.17</v>
      </c>
      <c r="J24">
        <v>1.2450000000000001</v>
      </c>
      <c r="K24">
        <v>76988.7</v>
      </c>
      <c r="L24">
        <v>3.44</v>
      </c>
      <c r="M24">
        <v>2.0430000000000001</v>
      </c>
    </row>
    <row r="25" spans="1:13" x14ac:dyDescent="0.2">
      <c r="A25">
        <v>400</v>
      </c>
      <c r="B25">
        <v>31760</v>
      </c>
      <c r="C25">
        <v>488.67</v>
      </c>
      <c r="D25">
        <v>78.31</v>
      </c>
      <c r="E25">
        <v>31760</v>
      </c>
      <c r="F25">
        <v>245.48</v>
      </c>
      <c r="G25">
        <v>104.6</v>
      </c>
      <c r="H25">
        <v>31760</v>
      </c>
      <c r="I25">
        <v>6.0970000000000004</v>
      </c>
      <c r="J25">
        <v>1.177</v>
      </c>
      <c r="K25">
        <v>31760</v>
      </c>
      <c r="L25">
        <v>3.4420000000000002</v>
      </c>
      <c r="M25">
        <v>2.0920000000000001</v>
      </c>
    </row>
    <row r="27" spans="1:13" x14ac:dyDescent="0.2">
      <c r="A27" s="5" t="s">
        <v>34</v>
      </c>
    </row>
    <row r="28" spans="1:13" ht="15" x14ac:dyDescent="0.2">
      <c r="A28" s="34" t="s">
        <v>5</v>
      </c>
      <c r="B28" s="34" t="s">
        <v>31</v>
      </c>
      <c r="C28" s="34" t="s">
        <v>50</v>
      </c>
      <c r="D28" s="34" t="s">
        <v>32</v>
      </c>
      <c r="E28" s="34" t="s">
        <v>123</v>
      </c>
      <c r="F28" s="34" t="s">
        <v>51</v>
      </c>
      <c r="G28" s="34" t="s">
        <v>124</v>
      </c>
      <c r="H28" s="34" t="s">
        <v>125</v>
      </c>
      <c r="I28" s="34" t="s">
        <v>52</v>
      </c>
      <c r="J28" s="34" t="s">
        <v>126</v>
      </c>
      <c r="K28" s="34" t="s">
        <v>127</v>
      </c>
      <c r="L28" s="34" t="s">
        <v>122</v>
      </c>
      <c r="M28" s="34" t="s">
        <v>128</v>
      </c>
    </row>
    <row r="29" spans="1:13" x14ac:dyDescent="0.2">
      <c r="A29">
        <v>0</v>
      </c>
      <c r="B29">
        <v>249996.2</v>
      </c>
      <c r="C29">
        <v>166.21</v>
      </c>
      <c r="D29">
        <v>84.32</v>
      </c>
      <c r="E29">
        <v>242951.6</v>
      </c>
      <c r="F29">
        <v>77.209999999999994</v>
      </c>
      <c r="G29">
        <v>58.27</v>
      </c>
      <c r="H29">
        <v>242951.6</v>
      </c>
      <c r="I29">
        <v>2.2429999999999999</v>
      </c>
      <c r="J29">
        <v>1.036</v>
      </c>
      <c r="K29">
        <v>249996.2</v>
      </c>
      <c r="L29">
        <v>1.7549999999999999</v>
      </c>
      <c r="M29">
        <v>1.087</v>
      </c>
    </row>
    <row r="30" spans="1:13" x14ac:dyDescent="0.2">
      <c r="A30">
        <v>20</v>
      </c>
      <c r="B30">
        <v>242655.8</v>
      </c>
      <c r="C30">
        <v>171.23</v>
      </c>
      <c r="D30">
        <v>80.42</v>
      </c>
      <c r="E30">
        <v>242655.8</v>
      </c>
      <c r="F30">
        <v>77.3</v>
      </c>
      <c r="G30">
        <v>58.25</v>
      </c>
      <c r="H30">
        <v>242655.8</v>
      </c>
      <c r="I30">
        <v>2.246</v>
      </c>
      <c r="J30">
        <v>1.034</v>
      </c>
      <c r="K30">
        <v>242655.8</v>
      </c>
      <c r="L30">
        <v>1.7829999999999999</v>
      </c>
      <c r="M30">
        <v>1.0900000000000001</v>
      </c>
    </row>
    <row r="31" spans="1:13" x14ac:dyDescent="0.2">
      <c r="A31">
        <v>40</v>
      </c>
      <c r="B31">
        <v>239711.4</v>
      </c>
      <c r="C31">
        <v>172.92</v>
      </c>
      <c r="D31">
        <v>79.430000000000007</v>
      </c>
      <c r="E31">
        <v>239711.4</v>
      </c>
      <c r="F31">
        <v>78.08</v>
      </c>
      <c r="G31">
        <v>58.17</v>
      </c>
      <c r="H31">
        <v>239711.4</v>
      </c>
      <c r="I31">
        <v>2.2679999999999998</v>
      </c>
      <c r="J31">
        <v>1.0209999999999999</v>
      </c>
      <c r="K31">
        <v>239711.4</v>
      </c>
      <c r="L31">
        <v>1.7949999999999999</v>
      </c>
      <c r="M31">
        <v>1.0920000000000001</v>
      </c>
    </row>
    <row r="32" spans="1:13" x14ac:dyDescent="0.2">
      <c r="A32">
        <v>60</v>
      </c>
      <c r="B32">
        <v>231851.4</v>
      </c>
      <c r="C32">
        <v>177.07</v>
      </c>
      <c r="D32">
        <v>77.45</v>
      </c>
      <c r="E32">
        <v>231851.4</v>
      </c>
      <c r="F32">
        <v>79.98</v>
      </c>
      <c r="G32">
        <v>58.19</v>
      </c>
      <c r="H32">
        <v>231851.4</v>
      </c>
      <c r="I32">
        <v>2.3220000000000001</v>
      </c>
      <c r="J32">
        <v>0.99399999999999999</v>
      </c>
      <c r="K32">
        <v>231851.4</v>
      </c>
      <c r="L32">
        <v>1.829</v>
      </c>
      <c r="M32">
        <v>1.0940000000000001</v>
      </c>
    </row>
    <row r="33" spans="1:13" x14ac:dyDescent="0.2">
      <c r="A33">
        <v>87.7</v>
      </c>
      <c r="B33">
        <v>214644.5</v>
      </c>
      <c r="C33">
        <v>185.48</v>
      </c>
      <c r="D33">
        <v>74.31</v>
      </c>
      <c r="E33">
        <v>214644.5</v>
      </c>
      <c r="F33">
        <v>83.81</v>
      </c>
      <c r="G33">
        <v>58.71</v>
      </c>
      <c r="H33">
        <v>214644.5</v>
      </c>
      <c r="I33">
        <v>2.4319999999999999</v>
      </c>
      <c r="J33">
        <v>0.95</v>
      </c>
      <c r="K33">
        <v>214644.5</v>
      </c>
      <c r="L33">
        <v>1.897</v>
      </c>
      <c r="M33">
        <v>1.1020000000000001</v>
      </c>
    </row>
    <row r="34" spans="1:13" x14ac:dyDescent="0.2">
      <c r="A34">
        <v>90</v>
      </c>
      <c r="B34">
        <v>213165.9</v>
      </c>
      <c r="C34">
        <v>186.15</v>
      </c>
      <c r="D34">
        <v>74.13</v>
      </c>
      <c r="E34">
        <v>213165.9</v>
      </c>
      <c r="F34">
        <v>84.11</v>
      </c>
      <c r="G34">
        <v>58.8</v>
      </c>
      <c r="H34">
        <v>213165.9</v>
      </c>
      <c r="I34">
        <v>2.4409999999999998</v>
      </c>
      <c r="J34">
        <v>0.94799999999999995</v>
      </c>
      <c r="K34">
        <v>213165.9</v>
      </c>
      <c r="L34">
        <v>1.903</v>
      </c>
      <c r="M34">
        <v>1.103</v>
      </c>
    </row>
    <row r="35" spans="1:13" x14ac:dyDescent="0.2">
      <c r="A35">
        <v>100</v>
      </c>
      <c r="B35">
        <v>207052</v>
      </c>
      <c r="C35">
        <v>188.84</v>
      </c>
      <c r="D35">
        <v>73.52</v>
      </c>
      <c r="E35">
        <v>207052</v>
      </c>
      <c r="F35">
        <v>85.28</v>
      </c>
      <c r="G35">
        <v>59.2</v>
      </c>
      <c r="H35">
        <v>207052</v>
      </c>
      <c r="I35">
        <v>2.476</v>
      </c>
      <c r="J35">
        <v>0.93700000000000006</v>
      </c>
      <c r="K35">
        <v>207052</v>
      </c>
      <c r="L35">
        <v>1.93</v>
      </c>
      <c r="M35">
        <v>1.105</v>
      </c>
    </row>
    <row r="36" spans="1:13" x14ac:dyDescent="0.2">
      <c r="A36">
        <v>200</v>
      </c>
      <c r="B36">
        <v>64615.199999999997</v>
      </c>
      <c r="C36">
        <v>263.54000000000002</v>
      </c>
      <c r="D36">
        <v>86.94</v>
      </c>
      <c r="E36">
        <v>64615.199999999997</v>
      </c>
      <c r="F36">
        <v>132.88999999999999</v>
      </c>
      <c r="G36">
        <v>80.55</v>
      </c>
      <c r="H36">
        <v>64615.199999999997</v>
      </c>
      <c r="I36">
        <v>3.282</v>
      </c>
      <c r="J36">
        <v>1.17</v>
      </c>
      <c r="K36">
        <v>64615.199999999997</v>
      </c>
      <c r="L36">
        <v>1.923</v>
      </c>
      <c r="M36">
        <v>1.1040000000000001</v>
      </c>
    </row>
    <row r="37" spans="1:13" x14ac:dyDescent="0.2">
      <c r="A37">
        <v>300</v>
      </c>
      <c r="B37">
        <v>13223.4</v>
      </c>
      <c r="C37">
        <v>405.63</v>
      </c>
      <c r="D37">
        <v>97.51</v>
      </c>
      <c r="E37">
        <v>13223.4</v>
      </c>
      <c r="F37">
        <v>218.95</v>
      </c>
      <c r="G37">
        <v>116.09</v>
      </c>
      <c r="H37">
        <v>13223.4</v>
      </c>
      <c r="I37">
        <v>4.87</v>
      </c>
      <c r="J37">
        <v>1.49</v>
      </c>
      <c r="K37">
        <v>13223.4</v>
      </c>
      <c r="L37">
        <v>1.702</v>
      </c>
      <c r="M37">
        <v>1.0049999999999999</v>
      </c>
    </row>
    <row r="38" spans="1:13" x14ac:dyDescent="0.2">
      <c r="A38">
        <v>400</v>
      </c>
      <c r="B38">
        <v>5206.6000000000004</v>
      </c>
      <c r="C38">
        <v>503.85</v>
      </c>
      <c r="D38">
        <v>83.38</v>
      </c>
      <c r="E38">
        <v>5206.6000000000004</v>
      </c>
      <c r="F38">
        <v>288.39999999999998</v>
      </c>
      <c r="G38">
        <v>120.12</v>
      </c>
      <c r="H38">
        <v>5206.6000000000004</v>
      </c>
      <c r="I38">
        <v>5.8419999999999996</v>
      </c>
      <c r="J38">
        <v>1.4330000000000001</v>
      </c>
      <c r="K38">
        <v>5206.6000000000004</v>
      </c>
      <c r="L38">
        <v>1.538</v>
      </c>
      <c r="M38">
        <v>0.90400000000000003</v>
      </c>
    </row>
    <row r="41" spans="1:13" x14ac:dyDescent="0.2">
      <c r="A41" s="5" t="s">
        <v>35</v>
      </c>
    </row>
    <row r="42" spans="1:13" ht="15" x14ac:dyDescent="0.2">
      <c r="A42" s="34" t="s">
        <v>5</v>
      </c>
      <c r="B42" s="34" t="s">
        <v>31</v>
      </c>
      <c r="C42" s="34" t="s">
        <v>50</v>
      </c>
      <c r="D42" s="34" t="s">
        <v>32</v>
      </c>
      <c r="E42" s="34" t="s">
        <v>123</v>
      </c>
      <c r="F42" s="34" t="s">
        <v>51</v>
      </c>
      <c r="G42" s="34" t="s">
        <v>124</v>
      </c>
      <c r="H42" s="34" t="s">
        <v>125</v>
      </c>
      <c r="I42" s="34" t="s">
        <v>52</v>
      </c>
      <c r="J42" s="34" t="s">
        <v>126</v>
      </c>
      <c r="K42" s="34" t="s">
        <v>127</v>
      </c>
      <c r="L42" s="34" t="s">
        <v>122</v>
      </c>
      <c r="M42" s="34" t="s">
        <v>128</v>
      </c>
    </row>
    <row r="43" spans="1:13" x14ac:dyDescent="0.2">
      <c r="A43">
        <v>0</v>
      </c>
      <c r="B43">
        <v>846412.5</v>
      </c>
      <c r="C43">
        <v>183.32</v>
      </c>
      <c r="D43">
        <v>100.23</v>
      </c>
      <c r="E43">
        <v>836671.4</v>
      </c>
      <c r="F43">
        <v>87.63</v>
      </c>
      <c r="G43">
        <v>58.24</v>
      </c>
      <c r="H43">
        <v>836671.4</v>
      </c>
      <c r="I43">
        <v>2.383</v>
      </c>
      <c r="J43">
        <v>1.341</v>
      </c>
      <c r="K43">
        <v>846412.4</v>
      </c>
      <c r="L43">
        <v>2.7360000000000002</v>
      </c>
      <c r="M43">
        <v>1.9750000000000001</v>
      </c>
    </row>
    <row r="44" spans="1:13" x14ac:dyDescent="0.2">
      <c r="A44">
        <v>20</v>
      </c>
      <c r="B44">
        <v>836246.7</v>
      </c>
      <c r="C44">
        <v>185.54</v>
      </c>
      <c r="D44">
        <v>98.78</v>
      </c>
      <c r="E44">
        <v>836246.7</v>
      </c>
      <c r="F44">
        <v>87.67</v>
      </c>
      <c r="G44">
        <v>58.23</v>
      </c>
      <c r="H44">
        <v>836246.7</v>
      </c>
      <c r="I44">
        <v>2.3839999999999999</v>
      </c>
      <c r="J44">
        <v>1.34</v>
      </c>
      <c r="K44">
        <v>836246.7</v>
      </c>
      <c r="L44">
        <v>2.758</v>
      </c>
      <c r="M44">
        <v>1.976</v>
      </c>
    </row>
    <row r="45" spans="1:13" x14ac:dyDescent="0.2">
      <c r="A45">
        <v>40</v>
      </c>
      <c r="B45">
        <v>831441.3</v>
      </c>
      <c r="C45">
        <v>186.42</v>
      </c>
      <c r="D45">
        <v>98.38</v>
      </c>
      <c r="E45">
        <v>831441.3</v>
      </c>
      <c r="F45">
        <v>88.1</v>
      </c>
      <c r="G45">
        <v>58.12</v>
      </c>
      <c r="H45">
        <v>831441.3</v>
      </c>
      <c r="I45">
        <v>2.3959999999999999</v>
      </c>
      <c r="J45">
        <v>1.3360000000000001</v>
      </c>
      <c r="K45">
        <v>831441.3</v>
      </c>
      <c r="L45">
        <v>2.7690000000000001</v>
      </c>
      <c r="M45">
        <v>1.976</v>
      </c>
    </row>
    <row r="46" spans="1:13" x14ac:dyDescent="0.2">
      <c r="A46">
        <v>60</v>
      </c>
      <c r="B46">
        <v>819375.4</v>
      </c>
      <c r="C46">
        <v>188.42</v>
      </c>
      <c r="D46">
        <v>97.7</v>
      </c>
      <c r="E46">
        <v>819375.4</v>
      </c>
      <c r="F46">
        <v>89.06</v>
      </c>
      <c r="G46">
        <v>57.99</v>
      </c>
      <c r="H46">
        <v>819375.4</v>
      </c>
      <c r="I46">
        <v>2.4209999999999998</v>
      </c>
      <c r="J46">
        <v>1.329</v>
      </c>
      <c r="K46">
        <v>819375.4</v>
      </c>
      <c r="L46">
        <v>2.7919999999999998</v>
      </c>
      <c r="M46">
        <v>1.9750000000000001</v>
      </c>
    </row>
    <row r="47" spans="1:13" x14ac:dyDescent="0.2">
      <c r="A47">
        <v>87.7</v>
      </c>
      <c r="B47">
        <v>773873.8</v>
      </c>
      <c r="C47">
        <v>194.99</v>
      </c>
      <c r="D47">
        <v>96.57</v>
      </c>
      <c r="E47">
        <v>773873.8</v>
      </c>
      <c r="F47">
        <v>92.12</v>
      </c>
      <c r="G47">
        <v>58.16</v>
      </c>
      <c r="H47">
        <v>773873.8</v>
      </c>
      <c r="I47">
        <v>2.5059999999999998</v>
      </c>
      <c r="J47">
        <v>1.319</v>
      </c>
      <c r="K47">
        <v>773873.8</v>
      </c>
      <c r="L47">
        <v>2.835</v>
      </c>
      <c r="M47">
        <v>1.9790000000000001</v>
      </c>
    </row>
    <row r="48" spans="1:13" x14ac:dyDescent="0.2">
      <c r="A48">
        <v>90</v>
      </c>
      <c r="B48">
        <v>766914.3</v>
      </c>
      <c r="C48">
        <v>195.95</v>
      </c>
      <c r="D48">
        <v>96.48</v>
      </c>
      <c r="E48">
        <v>766914.3</v>
      </c>
      <c r="F48">
        <v>92.55</v>
      </c>
      <c r="G48">
        <v>58.24</v>
      </c>
      <c r="H48">
        <v>766914.3</v>
      </c>
      <c r="I48">
        <v>2.5190000000000001</v>
      </c>
      <c r="J48">
        <v>1.3180000000000001</v>
      </c>
      <c r="K48">
        <v>766914.3</v>
      </c>
      <c r="L48">
        <v>2.8410000000000002</v>
      </c>
      <c r="M48">
        <v>1.9810000000000001</v>
      </c>
    </row>
    <row r="49" spans="1:13" x14ac:dyDescent="0.2">
      <c r="A49">
        <v>100</v>
      </c>
      <c r="B49">
        <v>734993.6</v>
      </c>
      <c r="C49">
        <v>200.33</v>
      </c>
      <c r="D49">
        <v>96.18</v>
      </c>
      <c r="E49">
        <v>734993.6</v>
      </c>
      <c r="F49">
        <v>94.49</v>
      </c>
      <c r="G49">
        <v>58.65</v>
      </c>
      <c r="H49">
        <v>734993.6</v>
      </c>
      <c r="I49">
        <v>2.577</v>
      </c>
      <c r="J49">
        <v>1.3149999999999999</v>
      </c>
      <c r="K49">
        <v>734993.6</v>
      </c>
      <c r="L49">
        <v>2.8740000000000001</v>
      </c>
      <c r="M49">
        <v>1.9850000000000001</v>
      </c>
    </row>
    <row r="50" spans="1:13" x14ac:dyDescent="0.2">
      <c r="A50">
        <v>200</v>
      </c>
      <c r="B50">
        <v>259042.8</v>
      </c>
      <c r="C50">
        <v>299.05</v>
      </c>
      <c r="D50">
        <v>99.19</v>
      </c>
      <c r="E50">
        <v>259042.8</v>
      </c>
      <c r="F50">
        <v>139.5</v>
      </c>
      <c r="G50">
        <v>72.430000000000007</v>
      </c>
      <c r="H50">
        <v>259042.8</v>
      </c>
      <c r="I50">
        <v>3.8660000000000001</v>
      </c>
      <c r="J50">
        <v>1.4139999999999999</v>
      </c>
      <c r="K50">
        <v>259042.8</v>
      </c>
      <c r="L50">
        <v>3.2879999999999998</v>
      </c>
      <c r="M50">
        <v>2.1869999999999998</v>
      </c>
    </row>
    <row r="51" spans="1:13" x14ac:dyDescent="0.2">
      <c r="A51">
        <v>300</v>
      </c>
      <c r="B51">
        <v>100276.9</v>
      </c>
      <c r="C51">
        <v>399.38</v>
      </c>
      <c r="D51">
        <v>88.22</v>
      </c>
      <c r="E51">
        <v>100276.9</v>
      </c>
      <c r="F51">
        <v>181.46</v>
      </c>
      <c r="G51">
        <v>90.75</v>
      </c>
      <c r="H51">
        <v>100276.9</v>
      </c>
      <c r="I51">
        <v>5.2240000000000002</v>
      </c>
      <c r="J51">
        <v>1.2490000000000001</v>
      </c>
      <c r="K51">
        <v>100276.9</v>
      </c>
      <c r="L51">
        <v>3.6339999999999999</v>
      </c>
      <c r="M51">
        <v>2.214</v>
      </c>
    </row>
    <row r="52" spans="1:13" x14ac:dyDescent="0.2">
      <c r="A52">
        <v>400</v>
      </c>
      <c r="B52">
        <v>38344</v>
      </c>
      <c r="C52">
        <v>488.51</v>
      </c>
      <c r="D52">
        <v>78.459999999999994</v>
      </c>
      <c r="E52">
        <v>38344</v>
      </c>
      <c r="F52">
        <v>237.05</v>
      </c>
      <c r="G52">
        <v>104.25</v>
      </c>
      <c r="H52">
        <v>38344</v>
      </c>
      <c r="I52">
        <v>6.2</v>
      </c>
      <c r="J52">
        <v>1.218</v>
      </c>
      <c r="K52">
        <v>38344</v>
      </c>
      <c r="L52">
        <v>3.7989999999999999</v>
      </c>
      <c r="M52">
        <v>2.3439999999999999</v>
      </c>
    </row>
    <row r="53" spans="1:13" x14ac:dyDescent="0.2">
      <c r="A53" s="1"/>
      <c r="B53">
        <f>+B7+B20</f>
        <v>773873.8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34" t="s">
        <v>5</v>
      </c>
      <c r="B56" s="34" t="s">
        <v>31</v>
      </c>
      <c r="C56" s="34" t="s">
        <v>50</v>
      </c>
      <c r="D56" s="34" t="s">
        <v>32</v>
      </c>
      <c r="E56" s="34" t="s">
        <v>123</v>
      </c>
      <c r="F56" s="34" t="s">
        <v>51</v>
      </c>
      <c r="G56" s="34" t="s">
        <v>124</v>
      </c>
      <c r="H56" s="34" t="s">
        <v>125</v>
      </c>
      <c r="I56" s="34" t="s">
        <v>52</v>
      </c>
      <c r="J56" s="34" t="s">
        <v>126</v>
      </c>
      <c r="K56" s="34" t="s">
        <v>127</v>
      </c>
      <c r="L56" s="34" t="s">
        <v>122</v>
      </c>
      <c r="M56" s="34" t="s">
        <v>128</v>
      </c>
    </row>
    <row r="57" spans="1:13" x14ac:dyDescent="0.2">
      <c r="A57">
        <v>0</v>
      </c>
      <c r="B57">
        <v>1096408.8</v>
      </c>
      <c r="C57">
        <v>179.42</v>
      </c>
      <c r="D57">
        <v>97.1</v>
      </c>
      <c r="E57">
        <v>1079623</v>
      </c>
      <c r="F57">
        <v>85.28</v>
      </c>
      <c r="G57">
        <v>58.41</v>
      </c>
      <c r="H57">
        <v>1079623</v>
      </c>
      <c r="I57">
        <v>2.3519999999999999</v>
      </c>
      <c r="J57">
        <v>1.28</v>
      </c>
      <c r="K57">
        <v>1096408.6000000001</v>
      </c>
      <c r="L57">
        <v>2.5129999999999999</v>
      </c>
      <c r="M57">
        <v>1.857</v>
      </c>
    </row>
    <row r="58" spans="1:13" x14ac:dyDescent="0.2">
      <c r="A58">
        <v>20</v>
      </c>
      <c r="B58">
        <v>1078902.5</v>
      </c>
      <c r="C58">
        <v>182.32</v>
      </c>
      <c r="D58">
        <v>95.15</v>
      </c>
      <c r="E58">
        <v>1078902.5</v>
      </c>
      <c r="F58">
        <v>85.34</v>
      </c>
      <c r="G58">
        <v>58.39</v>
      </c>
      <c r="H58">
        <v>1078902.5</v>
      </c>
      <c r="I58">
        <v>2.3530000000000002</v>
      </c>
      <c r="J58">
        <v>1.2789999999999999</v>
      </c>
      <c r="K58">
        <v>1078902.5</v>
      </c>
      <c r="L58">
        <v>2.5390000000000001</v>
      </c>
      <c r="M58">
        <v>1.86</v>
      </c>
    </row>
    <row r="59" spans="1:13" x14ac:dyDescent="0.2">
      <c r="A59">
        <v>40</v>
      </c>
      <c r="B59">
        <v>1071152.8</v>
      </c>
      <c r="C59">
        <v>183.4</v>
      </c>
      <c r="D59">
        <v>94.64</v>
      </c>
      <c r="E59">
        <v>1071152.8</v>
      </c>
      <c r="F59">
        <v>85.86</v>
      </c>
      <c r="G59">
        <v>58.28</v>
      </c>
      <c r="H59">
        <v>1071152.8</v>
      </c>
      <c r="I59">
        <v>2.367</v>
      </c>
      <c r="J59">
        <v>1.2729999999999999</v>
      </c>
      <c r="K59">
        <v>1071152.8</v>
      </c>
      <c r="L59">
        <v>2.5510000000000002</v>
      </c>
      <c r="M59">
        <v>1.861</v>
      </c>
    </row>
    <row r="60" spans="1:13" x14ac:dyDescent="0.2">
      <c r="A60">
        <v>60</v>
      </c>
      <c r="B60">
        <v>1051226.8999999999</v>
      </c>
      <c r="C60">
        <v>185.92</v>
      </c>
      <c r="D60">
        <v>93.73</v>
      </c>
      <c r="E60">
        <v>1051226.8999999999</v>
      </c>
      <c r="F60">
        <v>87.06</v>
      </c>
      <c r="G60">
        <v>58.15</v>
      </c>
      <c r="H60">
        <v>1051226.8999999999</v>
      </c>
      <c r="I60">
        <v>2.399</v>
      </c>
      <c r="J60">
        <v>1.264</v>
      </c>
      <c r="K60">
        <v>1051226.8999999999</v>
      </c>
      <c r="L60">
        <v>2.58</v>
      </c>
      <c r="M60">
        <v>1.861</v>
      </c>
    </row>
    <row r="61" spans="1:13" x14ac:dyDescent="0.2">
      <c r="A61">
        <v>87.7</v>
      </c>
      <c r="B61">
        <v>988518.2</v>
      </c>
      <c r="C61">
        <v>192.92</v>
      </c>
      <c r="D61">
        <v>92.28</v>
      </c>
      <c r="E61">
        <v>988518.2</v>
      </c>
      <c r="F61">
        <v>90.32</v>
      </c>
      <c r="G61">
        <v>58.38</v>
      </c>
      <c r="H61">
        <v>988518.2</v>
      </c>
      <c r="I61">
        <v>2.4900000000000002</v>
      </c>
      <c r="J61">
        <v>1.248</v>
      </c>
      <c r="K61">
        <v>988518.2</v>
      </c>
      <c r="L61">
        <v>2.6309999999999998</v>
      </c>
      <c r="M61">
        <v>1.8660000000000001</v>
      </c>
    </row>
    <row r="62" spans="1:13" x14ac:dyDescent="0.2">
      <c r="A62">
        <v>90</v>
      </c>
      <c r="B62">
        <v>980080.2</v>
      </c>
      <c r="C62">
        <v>193.82</v>
      </c>
      <c r="D62">
        <v>92.17</v>
      </c>
      <c r="E62">
        <v>980080.2</v>
      </c>
      <c r="F62">
        <v>90.71</v>
      </c>
      <c r="G62">
        <v>58.46</v>
      </c>
      <c r="H62">
        <v>980080.2</v>
      </c>
      <c r="I62">
        <v>2.5019999999999998</v>
      </c>
      <c r="J62">
        <v>1.2470000000000001</v>
      </c>
      <c r="K62">
        <v>980080.2</v>
      </c>
      <c r="L62">
        <v>2.637</v>
      </c>
      <c r="M62">
        <v>1.867</v>
      </c>
    </row>
    <row r="63" spans="1:13" x14ac:dyDescent="0.2">
      <c r="A63">
        <v>100</v>
      </c>
      <c r="B63">
        <v>942045.6</v>
      </c>
      <c r="C63">
        <v>197.81</v>
      </c>
      <c r="D63">
        <v>91.8</v>
      </c>
      <c r="E63">
        <v>942045.6</v>
      </c>
      <c r="F63">
        <v>92.46</v>
      </c>
      <c r="G63">
        <v>58.89</v>
      </c>
      <c r="H63">
        <v>942045.6</v>
      </c>
      <c r="I63">
        <v>2.5550000000000002</v>
      </c>
      <c r="J63">
        <v>1.2430000000000001</v>
      </c>
      <c r="K63">
        <v>942045.6</v>
      </c>
      <c r="L63">
        <v>2.6669999999999998</v>
      </c>
      <c r="M63">
        <v>1.869</v>
      </c>
    </row>
    <row r="64" spans="1:13" x14ac:dyDescent="0.2">
      <c r="A64">
        <v>200</v>
      </c>
      <c r="B64">
        <v>323657.90000000002</v>
      </c>
      <c r="C64">
        <v>291.95999999999998</v>
      </c>
      <c r="D64">
        <v>97.9</v>
      </c>
      <c r="E64">
        <v>323657.90000000002</v>
      </c>
      <c r="F64">
        <v>138.18</v>
      </c>
      <c r="G64">
        <v>74.17</v>
      </c>
      <c r="H64">
        <v>323657.90000000002</v>
      </c>
      <c r="I64">
        <v>3.7490000000000001</v>
      </c>
      <c r="J64">
        <v>1.389</v>
      </c>
      <c r="K64">
        <v>323657.90000000002</v>
      </c>
      <c r="L64">
        <v>3.016</v>
      </c>
      <c r="M64">
        <v>2.09</v>
      </c>
    </row>
    <row r="65" spans="1:13" x14ac:dyDescent="0.2">
      <c r="A65">
        <v>300</v>
      </c>
      <c r="B65">
        <v>113500.4</v>
      </c>
      <c r="C65">
        <v>400.11</v>
      </c>
      <c r="D65">
        <v>89.38</v>
      </c>
      <c r="E65">
        <v>113500.4</v>
      </c>
      <c r="F65">
        <v>185.83</v>
      </c>
      <c r="G65">
        <v>94.82</v>
      </c>
      <c r="H65">
        <v>113500.4</v>
      </c>
      <c r="I65">
        <v>5.1820000000000004</v>
      </c>
      <c r="J65">
        <v>1.2849999999999999</v>
      </c>
      <c r="K65">
        <v>113500.4</v>
      </c>
      <c r="L65">
        <v>3.4089999999999998</v>
      </c>
      <c r="M65">
        <v>2.198</v>
      </c>
    </row>
    <row r="66" spans="1:13" x14ac:dyDescent="0.2">
      <c r="A66">
        <v>400</v>
      </c>
      <c r="B66">
        <v>43550.6</v>
      </c>
      <c r="C66">
        <v>490.35</v>
      </c>
      <c r="D66">
        <v>79.22</v>
      </c>
      <c r="E66">
        <v>43550.6</v>
      </c>
      <c r="F66">
        <v>243.19</v>
      </c>
      <c r="G66">
        <v>107.57</v>
      </c>
      <c r="H66">
        <v>43550.6</v>
      </c>
      <c r="I66">
        <v>6.157</v>
      </c>
      <c r="J66">
        <v>1.2509999999999999</v>
      </c>
      <c r="K66">
        <v>43550.6</v>
      </c>
      <c r="L66">
        <v>3.528</v>
      </c>
      <c r="M66">
        <v>2.339</v>
      </c>
    </row>
    <row r="67" spans="1:13" x14ac:dyDescent="0.2">
      <c r="A67" s="1"/>
      <c r="B67">
        <f>+B7+B20+B33</f>
        <v>988518.3</v>
      </c>
    </row>
    <row r="68" spans="1:13" x14ac:dyDescent="0.2">
      <c r="A68" s="3"/>
      <c r="B68" s="6">
        <f>+B61-B67</f>
        <v>-0.10000000009313226</v>
      </c>
      <c r="C68" s="6"/>
      <c r="D68" s="6"/>
      <c r="E6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4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ht="15" x14ac:dyDescent="0.2">
      <c r="A2" s="77" t="s">
        <v>5</v>
      </c>
      <c r="B2" s="77" t="s">
        <v>31</v>
      </c>
      <c r="C2" s="77" t="s">
        <v>50</v>
      </c>
      <c r="D2" s="77" t="s">
        <v>32</v>
      </c>
      <c r="E2" s="77" t="s">
        <v>123</v>
      </c>
      <c r="F2" s="77" t="s">
        <v>51</v>
      </c>
      <c r="G2" s="77" t="s">
        <v>124</v>
      </c>
      <c r="H2" s="77" t="s">
        <v>125</v>
      </c>
      <c r="I2" s="77" t="s">
        <v>52</v>
      </c>
      <c r="J2" s="77" t="s">
        <v>126</v>
      </c>
      <c r="K2" s="77" t="s">
        <v>127</v>
      </c>
      <c r="L2" s="77" t="s">
        <v>122</v>
      </c>
      <c r="M2" s="77" t="s">
        <v>128</v>
      </c>
    </row>
    <row r="3" spans="1:13" ht="15" x14ac:dyDescent="0.25">
      <c r="A3" s="76">
        <v>0</v>
      </c>
      <c r="B3" s="76">
        <v>2202.3000000000002</v>
      </c>
      <c r="C3" s="76">
        <v>183.68</v>
      </c>
      <c r="D3" s="76">
        <v>142.80000000000001</v>
      </c>
      <c r="E3" s="76">
        <v>2090</v>
      </c>
      <c r="F3" s="76">
        <v>145.44999999999999</v>
      </c>
      <c r="G3" s="76">
        <v>143.77000000000001</v>
      </c>
      <c r="H3" s="76">
        <v>2090</v>
      </c>
      <c r="I3" s="76">
        <v>1.8080000000000001</v>
      </c>
      <c r="J3" s="76">
        <v>0.95499999999999996</v>
      </c>
      <c r="K3" s="76">
        <v>2202.3000000000002</v>
      </c>
      <c r="L3" s="76">
        <v>1.3620000000000001</v>
      </c>
      <c r="M3" s="76">
        <v>0.74099999999999999</v>
      </c>
    </row>
    <row r="4" spans="1:13" ht="15" x14ac:dyDescent="0.25">
      <c r="A4" s="76">
        <v>20</v>
      </c>
      <c r="B4" s="76">
        <v>2090</v>
      </c>
      <c r="C4" s="76">
        <v>193.54</v>
      </c>
      <c r="D4" s="76">
        <v>139.91999999999999</v>
      </c>
      <c r="E4" s="76">
        <v>2090</v>
      </c>
      <c r="F4" s="76">
        <v>145.44999999999999</v>
      </c>
      <c r="G4" s="76">
        <v>143.77000000000001</v>
      </c>
      <c r="H4" s="76">
        <v>2090</v>
      </c>
      <c r="I4" s="76">
        <v>1.8080000000000001</v>
      </c>
      <c r="J4" s="76">
        <v>0.95499999999999996</v>
      </c>
      <c r="K4" s="76">
        <v>2090</v>
      </c>
      <c r="L4" s="76">
        <v>1.391</v>
      </c>
      <c r="M4" s="76">
        <v>0.749</v>
      </c>
    </row>
    <row r="5" spans="1:13" ht="15" x14ac:dyDescent="0.25">
      <c r="A5" s="76">
        <v>40</v>
      </c>
      <c r="B5" s="76">
        <v>1988</v>
      </c>
      <c r="C5" s="76">
        <v>201.66</v>
      </c>
      <c r="D5" s="76">
        <v>138.68</v>
      </c>
      <c r="E5" s="76">
        <v>1988</v>
      </c>
      <c r="F5" s="76">
        <v>151.75</v>
      </c>
      <c r="G5" s="76">
        <v>144.6</v>
      </c>
      <c r="H5" s="76">
        <v>1988</v>
      </c>
      <c r="I5" s="76">
        <v>1.881</v>
      </c>
      <c r="J5" s="76">
        <v>0.92200000000000004</v>
      </c>
      <c r="K5" s="76">
        <v>1988</v>
      </c>
      <c r="L5" s="76">
        <v>1.421</v>
      </c>
      <c r="M5" s="76">
        <v>0.755</v>
      </c>
    </row>
    <row r="6" spans="1:13" ht="15" x14ac:dyDescent="0.25">
      <c r="A6" s="76">
        <v>60</v>
      </c>
      <c r="B6" s="76">
        <v>1867.7</v>
      </c>
      <c r="C6" s="76">
        <v>211.56</v>
      </c>
      <c r="D6" s="76">
        <v>137.29</v>
      </c>
      <c r="E6" s="76">
        <v>1867.7</v>
      </c>
      <c r="F6" s="76">
        <v>159.26</v>
      </c>
      <c r="G6" s="76">
        <v>146.01</v>
      </c>
      <c r="H6" s="76">
        <v>1867.7</v>
      </c>
      <c r="I6" s="76">
        <v>1.9730000000000001</v>
      </c>
      <c r="J6" s="76">
        <v>0.874</v>
      </c>
      <c r="K6" s="76">
        <v>1867.7</v>
      </c>
      <c r="L6" s="76">
        <v>1.4610000000000001</v>
      </c>
      <c r="M6" s="76">
        <v>0.76200000000000001</v>
      </c>
    </row>
    <row r="7" spans="1:13" ht="15" x14ac:dyDescent="0.25">
      <c r="A7" s="76">
        <v>87.7</v>
      </c>
      <c r="B7" s="76">
        <v>1652.2</v>
      </c>
      <c r="C7" s="76">
        <v>229.38</v>
      </c>
      <c r="D7" s="76">
        <v>136.19</v>
      </c>
      <c r="E7" s="76">
        <v>1652.2</v>
      </c>
      <c r="F7" s="76">
        <v>174.09</v>
      </c>
      <c r="G7" s="76">
        <v>148.94999999999999</v>
      </c>
      <c r="H7" s="76">
        <v>1652.2</v>
      </c>
      <c r="I7" s="76">
        <v>2.121</v>
      </c>
      <c r="J7" s="76">
        <v>0.81899999999999995</v>
      </c>
      <c r="K7" s="76">
        <v>1652.2</v>
      </c>
      <c r="L7" s="76">
        <v>1.5469999999999999</v>
      </c>
      <c r="M7" s="76">
        <v>0.77</v>
      </c>
    </row>
    <row r="8" spans="1:13" ht="15" x14ac:dyDescent="0.25">
      <c r="A8" s="76">
        <v>90</v>
      </c>
      <c r="B8" s="76">
        <v>1629.6</v>
      </c>
      <c r="C8" s="76">
        <v>231.34</v>
      </c>
      <c r="D8" s="76">
        <v>136.11000000000001</v>
      </c>
      <c r="E8" s="76">
        <v>1629.6</v>
      </c>
      <c r="F8" s="76">
        <v>175.74</v>
      </c>
      <c r="G8" s="76">
        <v>149.32</v>
      </c>
      <c r="H8" s="76">
        <v>1629.6</v>
      </c>
      <c r="I8" s="76">
        <v>2.137</v>
      </c>
      <c r="J8" s="76">
        <v>0.81299999999999994</v>
      </c>
      <c r="K8" s="76">
        <v>1629.6</v>
      </c>
      <c r="L8" s="76">
        <v>1.5580000000000001</v>
      </c>
      <c r="M8" s="76">
        <v>0.77</v>
      </c>
    </row>
    <row r="9" spans="1:13" ht="15" x14ac:dyDescent="0.25">
      <c r="A9" s="76">
        <v>100</v>
      </c>
      <c r="B9" s="76">
        <v>1583.4</v>
      </c>
      <c r="C9" s="76">
        <v>235.24</v>
      </c>
      <c r="D9" s="76">
        <v>136.11000000000001</v>
      </c>
      <c r="E9" s="76">
        <v>1583.4</v>
      </c>
      <c r="F9" s="76">
        <v>179.24</v>
      </c>
      <c r="G9" s="76">
        <v>150.04</v>
      </c>
      <c r="H9" s="76">
        <v>1583.4</v>
      </c>
      <c r="I9" s="76">
        <v>2.1669999999999998</v>
      </c>
      <c r="J9" s="76">
        <v>0.80600000000000005</v>
      </c>
      <c r="K9" s="76">
        <v>1583.4</v>
      </c>
      <c r="L9" s="76">
        <v>1.58</v>
      </c>
      <c r="M9" s="76">
        <v>0.77</v>
      </c>
    </row>
    <row r="10" spans="1:13" ht="15" x14ac:dyDescent="0.25">
      <c r="A10" s="76">
        <v>200</v>
      </c>
      <c r="B10" s="76">
        <v>479.4</v>
      </c>
      <c r="C10" s="76">
        <v>396.35</v>
      </c>
      <c r="D10" s="76">
        <v>150.24</v>
      </c>
      <c r="E10" s="76">
        <v>479.4</v>
      </c>
      <c r="F10" s="76">
        <v>345.62</v>
      </c>
      <c r="G10" s="76">
        <v>183.79</v>
      </c>
      <c r="H10" s="76">
        <v>479.4</v>
      </c>
      <c r="I10" s="76">
        <v>3.1019999999999999</v>
      </c>
      <c r="J10" s="76">
        <v>0.82099999999999995</v>
      </c>
      <c r="K10" s="76">
        <v>479.4</v>
      </c>
      <c r="L10" s="76">
        <v>1.3380000000000001</v>
      </c>
      <c r="M10" s="76">
        <v>0.81499999999999995</v>
      </c>
    </row>
    <row r="11" spans="1:13" ht="15" x14ac:dyDescent="0.25">
      <c r="A11" s="76">
        <v>300</v>
      </c>
      <c r="B11" s="76">
        <v>298.2</v>
      </c>
      <c r="C11" s="76">
        <v>489.51</v>
      </c>
      <c r="D11" s="76">
        <v>113.42</v>
      </c>
      <c r="E11" s="76">
        <v>298.2</v>
      </c>
      <c r="F11" s="76">
        <v>447.87</v>
      </c>
      <c r="G11" s="76">
        <v>160.47</v>
      </c>
      <c r="H11" s="76">
        <v>298.2</v>
      </c>
      <c r="I11" s="76">
        <v>3.5670000000000002</v>
      </c>
      <c r="J11" s="76">
        <v>0.52100000000000002</v>
      </c>
      <c r="K11" s="76">
        <v>298.2</v>
      </c>
      <c r="L11" s="76">
        <v>1.357</v>
      </c>
      <c r="M11" s="76">
        <v>0.88700000000000001</v>
      </c>
    </row>
    <row r="12" spans="1:13" ht="15" x14ac:dyDescent="0.25">
      <c r="A12" s="76">
        <v>400</v>
      </c>
      <c r="B12" s="76">
        <v>196.1</v>
      </c>
      <c r="C12" s="76">
        <v>561.28</v>
      </c>
      <c r="D12" s="76">
        <v>66.19</v>
      </c>
      <c r="E12" s="76">
        <v>196.1</v>
      </c>
      <c r="F12" s="76">
        <v>554.1</v>
      </c>
      <c r="G12" s="76">
        <v>71.75</v>
      </c>
      <c r="H12" s="76">
        <v>196.1</v>
      </c>
      <c r="I12" s="76">
        <v>3.58</v>
      </c>
      <c r="J12" s="76">
        <v>0.41499999999999998</v>
      </c>
      <c r="K12" s="76">
        <v>196.1</v>
      </c>
      <c r="L12" s="76">
        <v>0.878</v>
      </c>
      <c r="M12" s="76">
        <v>9.6000000000000002E-2</v>
      </c>
    </row>
    <row r="14" spans="1:13" x14ac:dyDescent="0.2">
      <c r="A14" s="5" t="s">
        <v>33</v>
      </c>
    </row>
    <row r="15" spans="1:13" ht="15" x14ac:dyDescent="0.2">
      <c r="A15" s="79" t="s">
        <v>5</v>
      </c>
      <c r="B15" s="79" t="s">
        <v>31</v>
      </c>
      <c r="C15" s="79" t="s">
        <v>50</v>
      </c>
      <c r="D15" s="79" t="s">
        <v>32</v>
      </c>
      <c r="E15" s="79" t="s">
        <v>123</v>
      </c>
      <c r="F15" s="79" t="s">
        <v>51</v>
      </c>
      <c r="G15" s="79" t="s">
        <v>124</v>
      </c>
      <c r="H15" s="79" t="s">
        <v>125</v>
      </c>
      <c r="I15" s="79" t="s">
        <v>52</v>
      </c>
      <c r="J15" s="79" t="s">
        <v>126</v>
      </c>
      <c r="K15" s="79" t="s">
        <v>127</v>
      </c>
      <c r="L15" s="79" t="s">
        <v>122</v>
      </c>
      <c r="M15" s="79" t="s">
        <v>128</v>
      </c>
    </row>
    <row r="16" spans="1:13" ht="15" x14ac:dyDescent="0.25">
      <c r="A16" s="78">
        <v>0</v>
      </c>
      <c r="B16" s="78">
        <v>123152.8</v>
      </c>
      <c r="C16" s="78">
        <v>184.95</v>
      </c>
      <c r="D16" s="78">
        <v>143.41999999999999</v>
      </c>
      <c r="E16" s="78">
        <v>120168</v>
      </c>
      <c r="F16" s="78">
        <v>143.24</v>
      </c>
      <c r="G16" s="78">
        <v>150.63</v>
      </c>
      <c r="H16" s="78">
        <v>120168</v>
      </c>
      <c r="I16" s="78">
        <v>1.7609999999999999</v>
      </c>
      <c r="J16" s="78">
        <v>0.95299999999999996</v>
      </c>
      <c r="K16" s="78">
        <v>123152.7</v>
      </c>
      <c r="L16" s="78">
        <v>2.0720000000000001</v>
      </c>
      <c r="M16" s="78">
        <v>1.526</v>
      </c>
    </row>
    <row r="17" spans="1:13" ht="15" x14ac:dyDescent="0.25">
      <c r="A17" s="78">
        <v>20</v>
      </c>
      <c r="B17" s="78">
        <v>120102.3</v>
      </c>
      <c r="C17" s="78">
        <v>189.64</v>
      </c>
      <c r="D17" s="78">
        <v>142.13999999999999</v>
      </c>
      <c r="E17" s="78">
        <v>120102.3</v>
      </c>
      <c r="F17" s="78">
        <v>143.31</v>
      </c>
      <c r="G17" s="78">
        <v>150.63999999999999</v>
      </c>
      <c r="H17" s="78">
        <v>120102.3</v>
      </c>
      <c r="I17" s="78">
        <v>1.762</v>
      </c>
      <c r="J17" s="78">
        <v>0.95299999999999996</v>
      </c>
      <c r="K17" s="78">
        <v>120102.3</v>
      </c>
      <c r="L17" s="78">
        <v>2.1019999999999999</v>
      </c>
      <c r="M17" s="78">
        <v>1.532</v>
      </c>
    </row>
    <row r="18" spans="1:13" ht="15" x14ac:dyDescent="0.25">
      <c r="A18" s="78">
        <v>40</v>
      </c>
      <c r="B18" s="78">
        <v>118596.5</v>
      </c>
      <c r="C18" s="78">
        <v>191.62</v>
      </c>
      <c r="D18" s="78">
        <v>141.94999999999999</v>
      </c>
      <c r="E18" s="78">
        <v>118596.5</v>
      </c>
      <c r="F18" s="78">
        <v>144.85</v>
      </c>
      <c r="G18" s="78">
        <v>150.96</v>
      </c>
      <c r="H18" s="78">
        <v>118596.5</v>
      </c>
      <c r="I18" s="78">
        <v>1.7789999999999999</v>
      </c>
      <c r="J18" s="78">
        <v>0.94499999999999995</v>
      </c>
      <c r="K18" s="78">
        <v>118596.5</v>
      </c>
      <c r="L18" s="78">
        <v>2.1179999999999999</v>
      </c>
      <c r="M18" s="78">
        <v>1.5349999999999999</v>
      </c>
    </row>
    <row r="19" spans="1:13" ht="15" x14ac:dyDescent="0.25">
      <c r="A19" s="78">
        <v>60</v>
      </c>
      <c r="B19" s="78">
        <v>114355.7</v>
      </c>
      <c r="C19" s="78">
        <v>196.88</v>
      </c>
      <c r="D19" s="78">
        <v>141.85</v>
      </c>
      <c r="E19" s="78">
        <v>114355.7</v>
      </c>
      <c r="F19" s="78">
        <v>148.97</v>
      </c>
      <c r="G19" s="78">
        <v>152.16999999999999</v>
      </c>
      <c r="H19" s="78">
        <v>114355.7</v>
      </c>
      <c r="I19" s="78">
        <v>1.8260000000000001</v>
      </c>
      <c r="J19" s="78">
        <v>0.93</v>
      </c>
      <c r="K19" s="78">
        <v>114355.7</v>
      </c>
      <c r="L19" s="78">
        <v>2.1659999999999999</v>
      </c>
      <c r="M19" s="78">
        <v>1.542</v>
      </c>
    </row>
    <row r="20" spans="1:13" ht="15" x14ac:dyDescent="0.25">
      <c r="A20" s="78">
        <v>87.7</v>
      </c>
      <c r="B20" s="78">
        <v>103248.4</v>
      </c>
      <c r="C20" s="78">
        <v>209.77</v>
      </c>
      <c r="D20" s="78">
        <v>143.41999999999999</v>
      </c>
      <c r="E20" s="78">
        <v>103248.4</v>
      </c>
      <c r="F20" s="78">
        <v>160.08000000000001</v>
      </c>
      <c r="G20" s="78">
        <v>156.1</v>
      </c>
      <c r="H20" s="78">
        <v>103248.4</v>
      </c>
      <c r="I20" s="78">
        <v>1.929</v>
      </c>
      <c r="J20" s="78">
        <v>0.92</v>
      </c>
      <c r="K20" s="78">
        <v>103248.4</v>
      </c>
      <c r="L20" s="78">
        <v>2.0710000000000002</v>
      </c>
      <c r="M20" s="78">
        <v>1.387</v>
      </c>
    </row>
    <row r="21" spans="1:13" ht="15" x14ac:dyDescent="0.25">
      <c r="A21" s="78">
        <v>90</v>
      </c>
      <c r="B21" s="78">
        <v>101262.1</v>
      </c>
      <c r="C21" s="78">
        <v>212.14</v>
      </c>
      <c r="D21" s="78">
        <v>143.80000000000001</v>
      </c>
      <c r="E21" s="78">
        <v>101262.1</v>
      </c>
      <c r="F21" s="78">
        <v>162.22999999999999</v>
      </c>
      <c r="G21" s="78">
        <v>156.85</v>
      </c>
      <c r="H21" s="78">
        <v>101262.1</v>
      </c>
      <c r="I21" s="78">
        <v>1.9470000000000001</v>
      </c>
      <c r="J21" s="78">
        <v>0.92</v>
      </c>
      <c r="K21" s="78">
        <v>101262.1</v>
      </c>
      <c r="L21" s="78">
        <v>2.0510000000000002</v>
      </c>
      <c r="M21" s="78">
        <v>1.361</v>
      </c>
    </row>
    <row r="22" spans="1:13" ht="15" x14ac:dyDescent="0.25">
      <c r="A22" s="78">
        <v>100</v>
      </c>
      <c r="B22" s="78">
        <v>91663.9</v>
      </c>
      <c r="C22" s="78">
        <v>224.36</v>
      </c>
      <c r="D22" s="78">
        <v>145.84</v>
      </c>
      <c r="E22" s="78">
        <v>91663.9</v>
      </c>
      <c r="F22" s="78">
        <v>173.34</v>
      </c>
      <c r="G22" s="78">
        <v>160.78</v>
      </c>
      <c r="H22" s="78">
        <v>91663.9</v>
      </c>
      <c r="I22" s="78">
        <v>2.0369999999999999</v>
      </c>
      <c r="J22" s="78">
        <v>0.92</v>
      </c>
      <c r="K22" s="78">
        <v>91663.9</v>
      </c>
      <c r="L22" s="78">
        <v>1.9750000000000001</v>
      </c>
      <c r="M22" s="78">
        <v>1.2529999999999999</v>
      </c>
    </row>
    <row r="23" spans="1:13" ht="15" x14ac:dyDescent="0.25">
      <c r="A23" s="78">
        <v>200</v>
      </c>
      <c r="B23" s="78">
        <v>32954.300000000003</v>
      </c>
      <c r="C23" s="78">
        <v>390.75</v>
      </c>
      <c r="D23" s="78">
        <v>121.49</v>
      </c>
      <c r="E23" s="78">
        <v>32954.300000000003</v>
      </c>
      <c r="F23" s="78">
        <v>343.12</v>
      </c>
      <c r="G23" s="78">
        <v>161.13</v>
      </c>
      <c r="H23" s="78">
        <v>32954.300000000003</v>
      </c>
      <c r="I23" s="78">
        <v>3.028</v>
      </c>
      <c r="J23" s="78">
        <v>0.77900000000000003</v>
      </c>
      <c r="K23" s="78">
        <v>32954.300000000003</v>
      </c>
      <c r="L23" s="78">
        <v>1.623</v>
      </c>
      <c r="M23" s="78">
        <v>0.57899999999999996</v>
      </c>
    </row>
    <row r="24" spans="1:13" ht="15" x14ac:dyDescent="0.25">
      <c r="A24" s="78">
        <v>300</v>
      </c>
      <c r="B24" s="78">
        <v>22343.7</v>
      </c>
      <c r="C24" s="78">
        <v>459.28</v>
      </c>
      <c r="D24" s="78">
        <v>82.46</v>
      </c>
      <c r="E24" s="78">
        <v>22343.7</v>
      </c>
      <c r="F24" s="78">
        <v>429.15</v>
      </c>
      <c r="G24" s="78">
        <v>111.34</v>
      </c>
      <c r="H24" s="78">
        <v>22343.7</v>
      </c>
      <c r="I24" s="78">
        <v>3.234</v>
      </c>
      <c r="J24" s="78">
        <v>0.67600000000000005</v>
      </c>
      <c r="K24" s="78">
        <v>22343.7</v>
      </c>
      <c r="L24" s="78">
        <v>1.7090000000000001</v>
      </c>
      <c r="M24" s="78">
        <v>0.59499999999999997</v>
      </c>
    </row>
    <row r="25" spans="1:13" ht="15" x14ac:dyDescent="0.25">
      <c r="A25" s="78">
        <v>400</v>
      </c>
      <c r="B25" s="78">
        <v>16225.7</v>
      </c>
      <c r="C25" s="78">
        <v>501.89</v>
      </c>
      <c r="D25" s="78">
        <v>49.46</v>
      </c>
      <c r="E25" s="78">
        <v>16225.7</v>
      </c>
      <c r="F25" s="78">
        <v>482.14</v>
      </c>
      <c r="G25" s="78">
        <v>75.260000000000005</v>
      </c>
      <c r="H25" s="78">
        <v>16225.7</v>
      </c>
      <c r="I25" s="78">
        <v>3.3690000000000002</v>
      </c>
      <c r="J25" s="78">
        <v>0.626</v>
      </c>
      <c r="K25" s="78">
        <v>16225.7</v>
      </c>
      <c r="L25" s="78">
        <v>1.8129999999999999</v>
      </c>
      <c r="M25" s="78">
        <v>0.58299999999999996</v>
      </c>
    </row>
    <row r="27" spans="1:13" x14ac:dyDescent="0.2">
      <c r="A27" s="5" t="s">
        <v>34</v>
      </c>
    </row>
    <row r="28" spans="1:13" ht="15" x14ac:dyDescent="0.2">
      <c r="A28" s="81" t="s">
        <v>5</v>
      </c>
      <c r="B28" s="81" t="s">
        <v>31</v>
      </c>
      <c r="C28" s="81" t="s">
        <v>50</v>
      </c>
      <c r="D28" s="81" t="s">
        <v>32</v>
      </c>
      <c r="E28" s="81" t="s">
        <v>123</v>
      </c>
      <c r="F28" s="81" t="s">
        <v>51</v>
      </c>
      <c r="G28" s="81" t="s">
        <v>124</v>
      </c>
      <c r="H28" s="81" t="s">
        <v>125</v>
      </c>
      <c r="I28" s="81" t="s">
        <v>52</v>
      </c>
      <c r="J28" s="81" t="s">
        <v>126</v>
      </c>
      <c r="K28" s="81" t="s">
        <v>127</v>
      </c>
      <c r="L28" s="81" t="s">
        <v>122</v>
      </c>
      <c r="M28" s="81" t="s">
        <v>128</v>
      </c>
    </row>
    <row r="29" spans="1:13" ht="15" x14ac:dyDescent="0.25">
      <c r="A29" s="80">
        <v>0</v>
      </c>
      <c r="B29" s="80">
        <v>112194.6</v>
      </c>
      <c r="C29" s="80">
        <v>136.06</v>
      </c>
      <c r="D29" s="80">
        <v>79.59</v>
      </c>
      <c r="E29" s="80">
        <v>103165.4</v>
      </c>
      <c r="F29" s="80">
        <v>79.44</v>
      </c>
      <c r="G29" s="80">
        <v>80.7</v>
      </c>
      <c r="H29" s="80">
        <v>103165.4</v>
      </c>
      <c r="I29" s="80">
        <v>1.782</v>
      </c>
      <c r="J29" s="80">
        <v>1.0249999999999999</v>
      </c>
      <c r="K29" s="80">
        <v>112194.5</v>
      </c>
      <c r="L29" s="80">
        <v>1.454</v>
      </c>
      <c r="M29" s="80">
        <v>0.90300000000000002</v>
      </c>
    </row>
    <row r="30" spans="1:13" ht="15" x14ac:dyDescent="0.25">
      <c r="A30" s="80">
        <v>20</v>
      </c>
      <c r="B30" s="80">
        <v>102948.8</v>
      </c>
      <c r="C30" s="80">
        <v>148.24</v>
      </c>
      <c r="D30" s="80">
        <v>71.430000000000007</v>
      </c>
      <c r="E30" s="80">
        <v>102948.8</v>
      </c>
      <c r="F30" s="80">
        <v>79.58</v>
      </c>
      <c r="G30" s="80">
        <v>80.73</v>
      </c>
      <c r="H30" s="80">
        <v>102948.8</v>
      </c>
      <c r="I30" s="80">
        <v>1.7849999999999999</v>
      </c>
      <c r="J30" s="80">
        <v>1.024</v>
      </c>
      <c r="K30" s="80">
        <v>102948.8</v>
      </c>
      <c r="L30" s="80">
        <v>1.506</v>
      </c>
      <c r="M30" s="80">
        <v>0.92300000000000004</v>
      </c>
    </row>
    <row r="31" spans="1:13" ht="15" x14ac:dyDescent="0.25">
      <c r="A31" s="80">
        <v>40</v>
      </c>
      <c r="B31" s="80">
        <v>100466</v>
      </c>
      <c r="C31" s="80">
        <v>151.12</v>
      </c>
      <c r="D31" s="80">
        <v>69.88</v>
      </c>
      <c r="E31" s="80">
        <v>100466</v>
      </c>
      <c r="F31" s="80">
        <v>81.02</v>
      </c>
      <c r="G31" s="80">
        <v>81.180000000000007</v>
      </c>
      <c r="H31" s="80">
        <v>100466</v>
      </c>
      <c r="I31" s="80">
        <v>1.821</v>
      </c>
      <c r="J31" s="80">
        <v>1.01</v>
      </c>
      <c r="K31" s="80">
        <v>100466</v>
      </c>
      <c r="L31" s="80">
        <v>1.524</v>
      </c>
      <c r="M31" s="80">
        <v>0.92700000000000005</v>
      </c>
    </row>
    <row r="32" spans="1:13" ht="15" x14ac:dyDescent="0.25">
      <c r="A32" s="80">
        <v>60</v>
      </c>
      <c r="B32" s="80">
        <v>96325.6</v>
      </c>
      <c r="C32" s="80">
        <v>155.44</v>
      </c>
      <c r="D32" s="80">
        <v>68.12</v>
      </c>
      <c r="E32" s="80">
        <v>96325.6</v>
      </c>
      <c r="F32" s="80">
        <v>83.52</v>
      </c>
      <c r="G32" s="80">
        <v>81.91</v>
      </c>
      <c r="H32" s="80">
        <v>96325.6</v>
      </c>
      <c r="I32" s="80">
        <v>1.871</v>
      </c>
      <c r="J32" s="80">
        <v>1.0009999999999999</v>
      </c>
      <c r="K32" s="80">
        <v>96325.6</v>
      </c>
      <c r="L32" s="80">
        <v>1.5549999999999999</v>
      </c>
      <c r="M32" s="80">
        <v>0.93500000000000005</v>
      </c>
    </row>
    <row r="33" spans="1:13" ht="15" x14ac:dyDescent="0.25">
      <c r="A33" s="80">
        <v>87.7</v>
      </c>
      <c r="B33" s="80">
        <v>83882.8</v>
      </c>
      <c r="C33" s="80">
        <v>167.23</v>
      </c>
      <c r="D33" s="80">
        <v>65.150000000000006</v>
      </c>
      <c r="E33" s="80">
        <v>83882.8</v>
      </c>
      <c r="F33" s="80">
        <v>90.35</v>
      </c>
      <c r="G33" s="80">
        <v>85.32</v>
      </c>
      <c r="H33" s="80">
        <v>83882.8</v>
      </c>
      <c r="I33" s="80">
        <v>2.0059999999999998</v>
      </c>
      <c r="J33" s="80">
        <v>0.998</v>
      </c>
      <c r="K33" s="80">
        <v>83882.8</v>
      </c>
      <c r="L33" s="80">
        <v>1.607</v>
      </c>
      <c r="M33" s="80">
        <v>0.94</v>
      </c>
    </row>
    <row r="34" spans="1:13" ht="15" x14ac:dyDescent="0.25">
      <c r="A34" s="80">
        <v>90</v>
      </c>
      <c r="B34" s="80">
        <v>82870.7</v>
      </c>
      <c r="C34" s="80">
        <v>168.19</v>
      </c>
      <c r="D34" s="80">
        <v>64.959999999999994</v>
      </c>
      <c r="E34" s="80">
        <v>82870.7</v>
      </c>
      <c r="F34" s="80">
        <v>90.95</v>
      </c>
      <c r="G34" s="80">
        <v>85.63</v>
      </c>
      <c r="H34" s="80">
        <v>82870.7</v>
      </c>
      <c r="I34" s="80">
        <v>2.0169999999999999</v>
      </c>
      <c r="J34" s="80">
        <v>0.999</v>
      </c>
      <c r="K34" s="80">
        <v>82870.7</v>
      </c>
      <c r="L34" s="80">
        <v>1.609</v>
      </c>
      <c r="M34" s="80">
        <v>0.93899999999999995</v>
      </c>
    </row>
    <row r="35" spans="1:13" ht="15" x14ac:dyDescent="0.25">
      <c r="A35" s="80">
        <v>100</v>
      </c>
      <c r="B35" s="80">
        <v>71474.899999999994</v>
      </c>
      <c r="C35" s="80">
        <v>179.6</v>
      </c>
      <c r="D35" s="80">
        <v>62.8</v>
      </c>
      <c r="E35" s="80">
        <v>71474.899999999994</v>
      </c>
      <c r="F35" s="80">
        <v>95.84</v>
      </c>
      <c r="G35" s="80">
        <v>90.78</v>
      </c>
      <c r="H35" s="80">
        <v>71474.899999999994</v>
      </c>
      <c r="I35" s="80">
        <v>2.17</v>
      </c>
      <c r="J35" s="80">
        <v>0.98699999999999999</v>
      </c>
      <c r="K35" s="80">
        <v>71474.899999999994</v>
      </c>
      <c r="L35" s="80">
        <v>1.583</v>
      </c>
      <c r="M35" s="80">
        <v>0.95899999999999996</v>
      </c>
    </row>
    <row r="36" spans="1:13" ht="15" x14ac:dyDescent="0.25">
      <c r="A36" s="80">
        <v>200</v>
      </c>
      <c r="B36" s="80">
        <v>21592</v>
      </c>
      <c r="C36" s="80">
        <v>255.17</v>
      </c>
      <c r="D36" s="80">
        <v>56.65</v>
      </c>
      <c r="E36" s="80">
        <v>21592</v>
      </c>
      <c r="F36" s="80">
        <v>168.41</v>
      </c>
      <c r="G36" s="80">
        <v>128.04</v>
      </c>
      <c r="H36" s="80">
        <v>21592</v>
      </c>
      <c r="I36" s="80">
        <v>2.6779999999999999</v>
      </c>
      <c r="J36" s="80">
        <v>1.369</v>
      </c>
      <c r="K36" s="80">
        <v>21592</v>
      </c>
      <c r="L36" s="80">
        <v>1.5860000000000001</v>
      </c>
      <c r="M36" s="80">
        <v>0.92100000000000004</v>
      </c>
    </row>
    <row r="37" spans="1:13" ht="15" x14ac:dyDescent="0.25">
      <c r="A37" s="80">
        <v>300</v>
      </c>
      <c r="B37" s="80">
        <v>2211.5</v>
      </c>
      <c r="C37" s="80">
        <v>394.83</v>
      </c>
      <c r="D37" s="80">
        <v>75.11</v>
      </c>
      <c r="E37" s="80">
        <v>2211.5</v>
      </c>
      <c r="F37" s="80">
        <v>353.46</v>
      </c>
      <c r="G37" s="80">
        <v>87.77</v>
      </c>
      <c r="H37" s="80">
        <v>2211.5</v>
      </c>
      <c r="I37" s="80">
        <v>2.9750000000000001</v>
      </c>
      <c r="J37" s="80">
        <v>0.91100000000000003</v>
      </c>
      <c r="K37" s="80">
        <v>2211.5</v>
      </c>
      <c r="L37" s="80">
        <v>1.5109999999999999</v>
      </c>
      <c r="M37" s="80">
        <v>0.99099999999999999</v>
      </c>
    </row>
    <row r="38" spans="1:13" ht="15" x14ac:dyDescent="0.25">
      <c r="A38" s="80">
        <v>400</v>
      </c>
      <c r="B38" s="80">
        <v>904.3</v>
      </c>
      <c r="C38" s="80">
        <v>477.76</v>
      </c>
      <c r="D38" s="80">
        <v>35.549999999999997</v>
      </c>
      <c r="E38" s="80">
        <v>904.3</v>
      </c>
      <c r="F38" s="80">
        <v>430.61</v>
      </c>
      <c r="G38" s="80">
        <v>38.1</v>
      </c>
      <c r="H38" s="80">
        <v>904.3</v>
      </c>
      <c r="I38" s="80">
        <v>3.5630000000000002</v>
      </c>
      <c r="J38" s="80">
        <v>0.39200000000000002</v>
      </c>
      <c r="K38" s="80">
        <v>904.3</v>
      </c>
      <c r="L38" s="80">
        <v>1.0169999999999999</v>
      </c>
      <c r="M38" s="80">
        <v>0.22700000000000001</v>
      </c>
    </row>
    <row r="41" spans="1:13" x14ac:dyDescent="0.2">
      <c r="A41" s="5" t="s">
        <v>35</v>
      </c>
    </row>
    <row r="42" spans="1:13" ht="15" x14ac:dyDescent="0.2">
      <c r="A42" s="83" t="s">
        <v>5</v>
      </c>
      <c r="B42" s="83" t="s">
        <v>31</v>
      </c>
      <c r="C42" s="83" t="s">
        <v>50</v>
      </c>
      <c r="D42" s="83" t="s">
        <v>32</v>
      </c>
      <c r="E42" s="83" t="s">
        <v>123</v>
      </c>
      <c r="F42" s="83" t="s">
        <v>51</v>
      </c>
      <c r="G42" s="83" t="s">
        <v>124</v>
      </c>
      <c r="H42" s="83" t="s">
        <v>125</v>
      </c>
      <c r="I42" s="83" t="s">
        <v>52</v>
      </c>
      <c r="J42" s="83" t="s">
        <v>126</v>
      </c>
      <c r="K42" s="83" t="s">
        <v>127</v>
      </c>
      <c r="L42" s="83" t="s">
        <v>122</v>
      </c>
      <c r="M42" s="83" t="s">
        <v>128</v>
      </c>
    </row>
    <row r="43" spans="1:13" ht="15" x14ac:dyDescent="0.25">
      <c r="A43" s="82">
        <v>0</v>
      </c>
      <c r="B43" s="82">
        <v>125355</v>
      </c>
      <c r="C43" s="82">
        <v>184.93</v>
      </c>
      <c r="D43" s="82">
        <v>143.41</v>
      </c>
      <c r="E43" s="82">
        <v>122258</v>
      </c>
      <c r="F43" s="82">
        <v>143.28</v>
      </c>
      <c r="G43" s="82">
        <v>150.51</v>
      </c>
      <c r="H43" s="82">
        <v>122258</v>
      </c>
      <c r="I43" s="82">
        <v>1.762</v>
      </c>
      <c r="J43" s="82">
        <v>0.95299999999999996</v>
      </c>
      <c r="K43" s="82">
        <v>125355</v>
      </c>
      <c r="L43" s="82">
        <v>2.0590000000000002</v>
      </c>
      <c r="M43" s="82">
        <v>1.5189999999999999</v>
      </c>
    </row>
    <row r="44" spans="1:13" ht="15" x14ac:dyDescent="0.25">
      <c r="A44" s="82">
        <v>20</v>
      </c>
      <c r="B44" s="82">
        <v>122192.3</v>
      </c>
      <c r="C44" s="82">
        <v>189.71</v>
      </c>
      <c r="D44" s="82">
        <v>142.11000000000001</v>
      </c>
      <c r="E44" s="82">
        <v>122192.3</v>
      </c>
      <c r="F44" s="82">
        <v>143.35</v>
      </c>
      <c r="G44" s="82">
        <v>150.52000000000001</v>
      </c>
      <c r="H44" s="82">
        <v>122192.3</v>
      </c>
      <c r="I44" s="82">
        <v>1.762</v>
      </c>
      <c r="J44" s="82">
        <v>0.95299999999999996</v>
      </c>
      <c r="K44" s="82">
        <v>122192.3</v>
      </c>
      <c r="L44" s="82">
        <v>2.09</v>
      </c>
      <c r="M44" s="82">
        <v>1.5249999999999999</v>
      </c>
    </row>
    <row r="45" spans="1:13" ht="15" x14ac:dyDescent="0.25">
      <c r="A45" s="82">
        <v>40</v>
      </c>
      <c r="B45" s="82">
        <v>120584.6</v>
      </c>
      <c r="C45" s="82">
        <v>191.78</v>
      </c>
      <c r="D45" s="82">
        <v>141.9</v>
      </c>
      <c r="E45" s="82">
        <v>120584.6</v>
      </c>
      <c r="F45" s="82">
        <v>144.96</v>
      </c>
      <c r="G45" s="82">
        <v>150.86000000000001</v>
      </c>
      <c r="H45" s="82">
        <v>120584.6</v>
      </c>
      <c r="I45" s="82">
        <v>1.7809999999999999</v>
      </c>
      <c r="J45" s="82">
        <v>0.94499999999999995</v>
      </c>
      <c r="K45" s="82">
        <v>120584.6</v>
      </c>
      <c r="L45" s="82">
        <v>2.1070000000000002</v>
      </c>
      <c r="M45" s="82">
        <v>1.528</v>
      </c>
    </row>
    <row r="46" spans="1:13" ht="15" x14ac:dyDescent="0.25">
      <c r="A46" s="82">
        <v>60</v>
      </c>
      <c r="B46" s="82">
        <v>116223.4</v>
      </c>
      <c r="C46" s="82">
        <v>197.11</v>
      </c>
      <c r="D46" s="82">
        <v>141.79</v>
      </c>
      <c r="E46" s="82">
        <v>116223.4</v>
      </c>
      <c r="F46" s="82">
        <v>149.13999999999999</v>
      </c>
      <c r="G46" s="82">
        <v>152.08000000000001</v>
      </c>
      <c r="H46" s="82">
        <v>116223.4</v>
      </c>
      <c r="I46" s="82">
        <v>1.829</v>
      </c>
      <c r="J46" s="82">
        <v>0.92900000000000005</v>
      </c>
      <c r="K46" s="82">
        <v>116223.4</v>
      </c>
      <c r="L46" s="82">
        <v>2.1549999999999998</v>
      </c>
      <c r="M46" s="82">
        <v>1.5349999999999999</v>
      </c>
    </row>
    <row r="47" spans="1:13" ht="15" x14ac:dyDescent="0.25">
      <c r="A47" s="82">
        <v>87.7</v>
      </c>
      <c r="B47" s="82">
        <v>104900.6</v>
      </c>
      <c r="C47" s="82">
        <v>210.08</v>
      </c>
      <c r="D47" s="82">
        <v>143.33000000000001</v>
      </c>
      <c r="E47" s="82">
        <v>104900.6</v>
      </c>
      <c r="F47" s="82">
        <v>160.30000000000001</v>
      </c>
      <c r="G47" s="82">
        <v>155.99</v>
      </c>
      <c r="H47" s="82">
        <v>104900.6</v>
      </c>
      <c r="I47" s="82">
        <v>1.9319999999999999</v>
      </c>
      <c r="J47" s="82">
        <v>0.91900000000000004</v>
      </c>
      <c r="K47" s="82">
        <v>104900.6</v>
      </c>
      <c r="L47" s="82">
        <v>2.0630000000000002</v>
      </c>
      <c r="M47" s="82">
        <v>1.381</v>
      </c>
    </row>
    <row r="48" spans="1:13" ht="15" x14ac:dyDescent="0.25">
      <c r="A48" s="82">
        <v>90</v>
      </c>
      <c r="B48" s="82">
        <v>102891.7</v>
      </c>
      <c r="C48" s="82">
        <v>212.45</v>
      </c>
      <c r="D48" s="82">
        <v>143.69999999999999</v>
      </c>
      <c r="E48" s="82">
        <v>102891.7</v>
      </c>
      <c r="F48" s="82">
        <v>162.44999999999999</v>
      </c>
      <c r="G48" s="82">
        <v>156.74</v>
      </c>
      <c r="H48" s="82">
        <v>102891.7</v>
      </c>
      <c r="I48" s="82">
        <v>1.95</v>
      </c>
      <c r="J48" s="82">
        <v>0.91900000000000004</v>
      </c>
      <c r="K48" s="82">
        <v>102891.7</v>
      </c>
      <c r="L48" s="82">
        <v>2.0430000000000001</v>
      </c>
      <c r="M48" s="82">
        <v>1.355</v>
      </c>
    </row>
    <row r="49" spans="1:13" ht="15" x14ac:dyDescent="0.25">
      <c r="A49" s="82">
        <v>100</v>
      </c>
      <c r="B49" s="82">
        <v>93247.3</v>
      </c>
      <c r="C49" s="82">
        <v>224.55</v>
      </c>
      <c r="D49" s="82">
        <v>145.68</v>
      </c>
      <c r="E49" s="82">
        <v>93247.3</v>
      </c>
      <c r="F49" s="82">
        <v>173.44</v>
      </c>
      <c r="G49" s="82">
        <v>160.61000000000001</v>
      </c>
      <c r="H49" s="82">
        <v>93247.3</v>
      </c>
      <c r="I49" s="82">
        <v>2.0390000000000001</v>
      </c>
      <c r="J49" s="82">
        <v>0.91800000000000004</v>
      </c>
      <c r="K49" s="82">
        <v>93247.3</v>
      </c>
      <c r="L49" s="82">
        <v>1.968</v>
      </c>
      <c r="M49" s="82">
        <v>1.248</v>
      </c>
    </row>
    <row r="50" spans="1:13" ht="15" x14ac:dyDescent="0.25">
      <c r="A50" s="82">
        <v>200</v>
      </c>
      <c r="B50" s="82">
        <v>33433.699999999997</v>
      </c>
      <c r="C50" s="82">
        <v>390.83</v>
      </c>
      <c r="D50" s="82">
        <v>121.95</v>
      </c>
      <c r="E50" s="82">
        <v>33433.699999999997</v>
      </c>
      <c r="F50" s="82">
        <v>343.16</v>
      </c>
      <c r="G50" s="82">
        <v>161.47</v>
      </c>
      <c r="H50" s="82">
        <v>33433.699999999997</v>
      </c>
      <c r="I50" s="82">
        <v>3.0289999999999999</v>
      </c>
      <c r="J50" s="82">
        <v>0.78</v>
      </c>
      <c r="K50" s="82">
        <v>33433.699999999997</v>
      </c>
      <c r="L50" s="82">
        <v>1.619</v>
      </c>
      <c r="M50" s="82">
        <v>0.58399999999999996</v>
      </c>
    </row>
    <row r="51" spans="1:13" ht="15" x14ac:dyDescent="0.25">
      <c r="A51" s="82">
        <v>300</v>
      </c>
      <c r="B51" s="82">
        <v>22641.9</v>
      </c>
      <c r="C51" s="82">
        <v>459.68</v>
      </c>
      <c r="D51" s="82">
        <v>83.01</v>
      </c>
      <c r="E51" s="82">
        <v>22641.9</v>
      </c>
      <c r="F51" s="82">
        <v>429.4</v>
      </c>
      <c r="G51" s="82">
        <v>112.15</v>
      </c>
      <c r="H51" s="82">
        <v>22641.9</v>
      </c>
      <c r="I51" s="82">
        <v>3.2389999999999999</v>
      </c>
      <c r="J51" s="82">
        <v>0.67500000000000004</v>
      </c>
      <c r="K51" s="82">
        <v>22641.9</v>
      </c>
      <c r="L51" s="82">
        <v>1.704</v>
      </c>
      <c r="M51" s="82">
        <v>0.60099999999999998</v>
      </c>
    </row>
    <row r="52" spans="1:13" ht="15" x14ac:dyDescent="0.25">
      <c r="A52" s="82">
        <v>400</v>
      </c>
      <c r="B52" s="82">
        <v>16421.900000000001</v>
      </c>
      <c r="C52" s="82">
        <v>502.6</v>
      </c>
      <c r="D52" s="82">
        <v>50.11</v>
      </c>
      <c r="E52" s="82">
        <v>16421.900000000001</v>
      </c>
      <c r="F52" s="82">
        <v>483</v>
      </c>
      <c r="G52" s="82">
        <v>75.62</v>
      </c>
      <c r="H52" s="82">
        <v>16421.900000000001</v>
      </c>
      <c r="I52" s="82">
        <v>3.371</v>
      </c>
      <c r="J52" s="82">
        <v>0.625</v>
      </c>
      <c r="K52" s="82">
        <v>16421.900000000001</v>
      </c>
      <c r="L52" s="82">
        <v>1.802</v>
      </c>
      <c r="M52" s="82">
        <v>0.58899999999999997</v>
      </c>
    </row>
    <row r="53" spans="1:13" x14ac:dyDescent="0.2">
      <c r="A53" s="1"/>
      <c r="B53">
        <f>+B7+B20</f>
        <v>104900.59999999999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85" t="s">
        <v>5</v>
      </c>
      <c r="B56" s="85" t="s">
        <v>31</v>
      </c>
      <c r="C56" s="85" t="s">
        <v>50</v>
      </c>
      <c r="D56" s="85" t="s">
        <v>32</v>
      </c>
      <c r="E56" s="85" t="s">
        <v>123</v>
      </c>
      <c r="F56" s="85" t="s">
        <v>51</v>
      </c>
      <c r="G56" s="85" t="s">
        <v>124</v>
      </c>
      <c r="H56" s="85" t="s">
        <v>125</v>
      </c>
      <c r="I56" s="85" t="s">
        <v>52</v>
      </c>
      <c r="J56" s="85" t="s">
        <v>126</v>
      </c>
      <c r="K56" s="85" t="s">
        <v>127</v>
      </c>
      <c r="L56" s="85" t="s">
        <v>122</v>
      </c>
      <c r="M56" s="85" t="s">
        <v>128</v>
      </c>
    </row>
    <row r="57" spans="1:13" ht="15" x14ac:dyDescent="0.25">
      <c r="A57" s="84">
        <v>0</v>
      </c>
      <c r="B57" s="84">
        <v>237549.6</v>
      </c>
      <c r="C57" s="84">
        <v>161.85</v>
      </c>
      <c r="D57" s="84">
        <v>120.17</v>
      </c>
      <c r="E57" s="84">
        <v>225423.4</v>
      </c>
      <c r="F57" s="84">
        <v>114.06</v>
      </c>
      <c r="G57" s="84">
        <v>127.59</v>
      </c>
      <c r="H57" s="84">
        <v>225423.4</v>
      </c>
      <c r="I57" s="84">
        <v>1.7709999999999999</v>
      </c>
      <c r="J57" s="84">
        <v>0.98699999999999999</v>
      </c>
      <c r="K57" s="84">
        <v>237549.6</v>
      </c>
      <c r="L57" s="84">
        <v>1.7729999999999999</v>
      </c>
      <c r="M57" s="84">
        <v>1.3009999999999999</v>
      </c>
    </row>
    <row r="58" spans="1:13" ht="15" x14ac:dyDescent="0.25">
      <c r="A58" s="84">
        <v>20</v>
      </c>
      <c r="B58" s="84">
        <v>225141.1</v>
      </c>
      <c r="C58" s="84">
        <v>170.75</v>
      </c>
      <c r="D58" s="84">
        <v>117.13</v>
      </c>
      <c r="E58" s="84">
        <v>225141.1</v>
      </c>
      <c r="F58" s="84">
        <v>114.19</v>
      </c>
      <c r="G58" s="84">
        <v>127.62</v>
      </c>
      <c r="H58" s="84">
        <v>225141.1</v>
      </c>
      <c r="I58" s="84">
        <v>1.7729999999999999</v>
      </c>
      <c r="J58" s="84">
        <v>0.98599999999999999</v>
      </c>
      <c r="K58" s="84">
        <v>225141.1</v>
      </c>
      <c r="L58" s="84">
        <v>1.823</v>
      </c>
      <c r="M58" s="84">
        <v>1.3180000000000001</v>
      </c>
    </row>
    <row r="59" spans="1:13" ht="15" x14ac:dyDescent="0.25">
      <c r="A59" s="84">
        <v>40</v>
      </c>
      <c r="B59" s="84">
        <v>221050.6</v>
      </c>
      <c r="C59" s="84">
        <v>173.3</v>
      </c>
      <c r="D59" s="84">
        <v>116.68</v>
      </c>
      <c r="E59" s="84">
        <v>221050.6</v>
      </c>
      <c r="F59" s="84">
        <v>115.9</v>
      </c>
      <c r="G59" s="84">
        <v>128.16</v>
      </c>
      <c r="H59" s="84">
        <v>221050.6</v>
      </c>
      <c r="I59" s="84">
        <v>1.7989999999999999</v>
      </c>
      <c r="J59" s="84">
        <v>0.97499999999999998</v>
      </c>
      <c r="K59" s="84">
        <v>221050.6</v>
      </c>
      <c r="L59" s="84">
        <v>1.8420000000000001</v>
      </c>
      <c r="M59" s="84">
        <v>1.3220000000000001</v>
      </c>
    </row>
    <row r="60" spans="1:13" ht="15" x14ac:dyDescent="0.25">
      <c r="A60" s="84">
        <v>60</v>
      </c>
      <c r="B60" s="84">
        <v>212549</v>
      </c>
      <c r="C60" s="84">
        <v>178.23</v>
      </c>
      <c r="D60" s="84">
        <v>116.3</v>
      </c>
      <c r="E60" s="84">
        <v>212549</v>
      </c>
      <c r="F60" s="84">
        <v>119.4</v>
      </c>
      <c r="G60" s="84">
        <v>129.44</v>
      </c>
      <c r="H60" s="84">
        <v>212549</v>
      </c>
      <c r="I60" s="84">
        <v>1.8480000000000001</v>
      </c>
      <c r="J60" s="84">
        <v>0.96199999999999997</v>
      </c>
      <c r="K60" s="84">
        <v>212549</v>
      </c>
      <c r="L60" s="84">
        <v>1.883</v>
      </c>
      <c r="M60" s="84">
        <v>1.3320000000000001</v>
      </c>
    </row>
    <row r="61" spans="1:13" ht="15" x14ac:dyDescent="0.25">
      <c r="A61" s="84">
        <v>87.7</v>
      </c>
      <c r="B61" s="84">
        <v>188783.4</v>
      </c>
      <c r="C61" s="84">
        <v>191.04</v>
      </c>
      <c r="D61" s="84">
        <v>117.28</v>
      </c>
      <c r="E61" s="84">
        <v>188783.4</v>
      </c>
      <c r="F61" s="84">
        <v>129.22</v>
      </c>
      <c r="G61" s="84">
        <v>134.03</v>
      </c>
      <c r="H61" s="84">
        <v>188783.4</v>
      </c>
      <c r="I61" s="84">
        <v>1.9650000000000001</v>
      </c>
      <c r="J61" s="84">
        <v>0.95599999999999996</v>
      </c>
      <c r="K61" s="84">
        <v>188783.4</v>
      </c>
      <c r="L61" s="84">
        <v>1.86</v>
      </c>
      <c r="M61" s="84">
        <v>1.226</v>
      </c>
    </row>
    <row r="62" spans="1:13" ht="15" x14ac:dyDescent="0.25">
      <c r="A62" s="84">
        <v>90</v>
      </c>
      <c r="B62" s="84">
        <v>185762.4</v>
      </c>
      <c r="C62" s="84">
        <v>192.7</v>
      </c>
      <c r="D62" s="84">
        <v>117.49</v>
      </c>
      <c r="E62" s="84">
        <v>185762.4</v>
      </c>
      <c r="F62" s="84">
        <v>130.55000000000001</v>
      </c>
      <c r="G62" s="84">
        <v>134.69</v>
      </c>
      <c r="H62" s="84">
        <v>185762.4</v>
      </c>
      <c r="I62" s="84">
        <v>1.98</v>
      </c>
      <c r="J62" s="84">
        <v>0.95599999999999996</v>
      </c>
      <c r="K62" s="84">
        <v>185762.4</v>
      </c>
      <c r="L62" s="84">
        <v>1.849</v>
      </c>
      <c r="M62" s="84">
        <v>1.2070000000000001</v>
      </c>
    </row>
    <row r="63" spans="1:13" ht="15" x14ac:dyDescent="0.25">
      <c r="A63" s="84">
        <v>100</v>
      </c>
      <c r="B63" s="84">
        <v>164722.20000000001</v>
      </c>
      <c r="C63" s="84">
        <v>205.04</v>
      </c>
      <c r="D63" s="84">
        <v>119.26</v>
      </c>
      <c r="E63" s="84">
        <v>164722.20000000001</v>
      </c>
      <c r="F63" s="84">
        <v>139.77000000000001</v>
      </c>
      <c r="G63" s="84">
        <v>140.19999999999999</v>
      </c>
      <c r="H63" s="84">
        <v>164722.20000000001</v>
      </c>
      <c r="I63" s="84">
        <v>2.0960000000000001</v>
      </c>
      <c r="J63" s="84">
        <v>0.95099999999999996</v>
      </c>
      <c r="K63" s="84">
        <v>164722.20000000001</v>
      </c>
      <c r="L63" s="84">
        <v>1.8009999999999999</v>
      </c>
      <c r="M63" s="84">
        <v>1.1479999999999999</v>
      </c>
    </row>
    <row r="64" spans="1:13" ht="15" x14ac:dyDescent="0.25">
      <c r="A64" s="84">
        <v>200</v>
      </c>
      <c r="B64" s="84">
        <v>55025.7</v>
      </c>
      <c r="C64" s="84">
        <v>337.6</v>
      </c>
      <c r="D64" s="84">
        <v>121.18</v>
      </c>
      <c r="E64" s="84">
        <v>55025.7</v>
      </c>
      <c r="F64" s="84">
        <v>274.58999999999997</v>
      </c>
      <c r="G64" s="84">
        <v>171.92</v>
      </c>
      <c r="H64" s="84">
        <v>55025.7</v>
      </c>
      <c r="I64" s="84">
        <v>2.891</v>
      </c>
      <c r="J64" s="84">
        <v>1.0649999999999999</v>
      </c>
      <c r="K64" s="84">
        <v>55025.7</v>
      </c>
      <c r="L64" s="84">
        <v>1.6060000000000001</v>
      </c>
      <c r="M64" s="84">
        <v>0.73499999999999999</v>
      </c>
    </row>
    <row r="65" spans="1:13" ht="15" x14ac:dyDescent="0.25">
      <c r="A65" s="84">
        <v>300</v>
      </c>
      <c r="B65" s="84">
        <v>24853.4</v>
      </c>
      <c r="C65" s="84">
        <v>453.91</v>
      </c>
      <c r="D65" s="84">
        <v>84.38</v>
      </c>
      <c r="E65" s="84">
        <v>24853.4</v>
      </c>
      <c r="F65" s="84">
        <v>422.64</v>
      </c>
      <c r="G65" s="84">
        <v>112.3</v>
      </c>
      <c r="H65" s="84">
        <v>24853.4</v>
      </c>
      <c r="I65" s="84">
        <v>3.2149999999999999</v>
      </c>
      <c r="J65" s="84">
        <v>0.70399999999999996</v>
      </c>
      <c r="K65" s="84">
        <v>24853.4</v>
      </c>
      <c r="L65" s="84">
        <v>1.6870000000000001</v>
      </c>
      <c r="M65" s="84">
        <v>0.64800000000000002</v>
      </c>
    </row>
    <row r="66" spans="1:13" ht="15" x14ac:dyDescent="0.25">
      <c r="A66" s="84">
        <v>400</v>
      </c>
      <c r="B66" s="84">
        <v>17326.2</v>
      </c>
      <c r="C66" s="84">
        <v>501.3</v>
      </c>
      <c r="D66" s="84">
        <v>49.76</v>
      </c>
      <c r="E66" s="84">
        <v>17326.2</v>
      </c>
      <c r="F66" s="84">
        <v>480.27</v>
      </c>
      <c r="G66" s="84">
        <v>75.05</v>
      </c>
      <c r="H66" s="84">
        <v>17326.2</v>
      </c>
      <c r="I66" s="84">
        <v>3.3809999999999998</v>
      </c>
      <c r="J66" s="84">
        <v>0.61599999999999999</v>
      </c>
      <c r="K66" s="84">
        <v>17326.2</v>
      </c>
      <c r="L66" s="84">
        <v>1.7609999999999999</v>
      </c>
      <c r="M66" s="84">
        <v>0.60099999999999998</v>
      </c>
    </row>
    <row r="67" spans="1:13" x14ac:dyDescent="0.2">
      <c r="A67" s="1"/>
      <c r="B67">
        <f>+B7+B20+B33</f>
        <v>188783.4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7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x14ac:dyDescent="0.2">
      <c r="A15" t="s">
        <v>5</v>
      </c>
      <c r="B15" t="s">
        <v>31</v>
      </c>
      <c r="C15" t="s">
        <v>50</v>
      </c>
      <c r="D15" t="s">
        <v>32</v>
      </c>
      <c r="E15" t="s">
        <v>31</v>
      </c>
      <c r="F15" t="s">
        <v>51</v>
      </c>
      <c r="G15" t="s">
        <v>32</v>
      </c>
      <c r="H15" t="s">
        <v>31</v>
      </c>
      <c r="I15" t="s">
        <v>52</v>
      </c>
      <c r="J15" t="s">
        <v>32</v>
      </c>
      <c r="K15" t="s">
        <v>31</v>
      </c>
      <c r="L15" t="s">
        <v>122</v>
      </c>
      <c r="M15" t="s">
        <v>32</v>
      </c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3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7" spans="1:13" x14ac:dyDescent="0.2">
      <c r="A27" s="5" t="s">
        <v>34</v>
      </c>
    </row>
    <row r="28" spans="1:13" ht="15" x14ac:dyDescent="0.2">
      <c r="A28" s="101" t="s">
        <v>5</v>
      </c>
      <c r="B28" s="101" t="s">
        <v>31</v>
      </c>
      <c r="C28" s="101" t="s">
        <v>50</v>
      </c>
      <c r="D28" s="101" t="s">
        <v>32</v>
      </c>
      <c r="E28" s="101" t="s">
        <v>123</v>
      </c>
      <c r="F28" s="101" t="s">
        <v>51</v>
      </c>
      <c r="G28" s="101" t="s">
        <v>124</v>
      </c>
      <c r="H28" s="101" t="s">
        <v>125</v>
      </c>
      <c r="I28" s="101" t="s">
        <v>52</v>
      </c>
      <c r="J28" s="101" t="s">
        <v>126</v>
      </c>
      <c r="K28" s="101" t="s">
        <v>127</v>
      </c>
      <c r="L28" s="101" t="s">
        <v>122</v>
      </c>
      <c r="M28" s="101" t="s">
        <v>128</v>
      </c>
    </row>
    <row r="29" spans="1:13" ht="15" x14ac:dyDescent="0.25">
      <c r="A29" s="100">
        <v>0</v>
      </c>
      <c r="B29" s="100">
        <v>195187.4</v>
      </c>
      <c r="C29" s="100">
        <v>131.19</v>
      </c>
      <c r="D29" s="100">
        <v>95.11</v>
      </c>
      <c r="E29" s="100">
        <v>175555.20000000001</v>
      </c>
      <c r="F29" s="100">
        <v>72.66</v>
      </c>
      <c r="G29" s="100">
        <v>91.41</v>
      </c>
      <c r="H29" s="100">
        <v>175555.20000000001</v>
      </c>
      <c r="I29" s="100">
        <v>1.8280000000000001</v>
      </c>
      <c r="J29" s="100">
        <v>1.1379999999999999</v>
      </c>
      <c r="K29" s="100">
        <v>195187.4</v>
      </c>
      <c r="L29" s="100">
        <v>0.93600000000000005</v>
      </c>
      <c r="M29" s="100">
        <v>0.28199999999999997</v>
      </c>
    </row>
    <row r="30" spans="1:13" ht="15" x14ac:dyDescent="0.25">
      <c r="A30" s="100">
        <v>20</v>
      </c>
      <c r="B30" s="100">
        <v>175227.5</v>
      </c>
      <c r="C30" s="100">
        <v>146.1</v>
      </c>
      <c r="D30" s="100">
        <v>88.89</v>
      </c>
      <c r="E30" s="100">
        <v>175227.5</v>
      </c>
      <c r="F30" s="100">
        <v>72.78</v>
      </c>
      <c r="G30" s="100">
        <v>91.45</v>
      </c>
      <c r="H30" s="100">
        <v>175227.5</v>
      </c>
      <c r="I30" s="100">
        <v>1.83</v>
      </c>
      <c r="J30" s="100">
        <v>1.137</v>
      </c>
      <c r="K30" s="100">
        <v>175227.5</v>
      </c>
      <c r="L30" s="100">
        <v>0.95</v>
      </c>
      <c r="M30" s="100">
        <v>0.29299999999999998</v>
      </c>
    </row>
    <row r="31" spans="1:13" ht="15" x14ac:dyDescent="0.25">
      <c r="A31" s="100">
        <v>40</v>
      </c>
      <c r="B31" s="100">
        <v>162617.20000000001</v>
      </c>
      <c r="C31" s="100">
        <v>154.94</v>
      </c>
      <c r="D31" s="100">
        <v>86.19</v>
      </c>
      <c r="E31" s="100">
        <v>162617.20000000001</v>
      </c>
      <c r="F31" s="100">
        <v>78.09</v>
      </c>
      <c r="G31" s="100">
        <v>92.83</v>
      </c>
      <c r="H31" s="100">
        <v>162617.20000000001</v>
      </c>
      <c r="I31" s="100">
        <v>1.93</v>
      </c>
      <c r="J31" s="100">
        <v>1.121</v>
      </c>
      <c r="K31" s="100">
        <v>162617.20000000001</v>
      </c>
      <c r="L31" s="100">
        <v>0.96199999999999997</v>
      </c>
      <c r="M31" s="100">
        <v>0.30099999999999999</v>
      </c>
    </row>
    <row r="32" spans="1:13" ht="15" x14ac:dyDescent="0.25">
      <c r="A32" s="100">
        <v>60</v>
      </c>
      <c r="B32" s="100">
        <v>156608.1</v>
      </c>
      <c r="C32" s="100">
        <v>158.97</v>
      </c>
      <c r="D32" s="100">
        <v>85.26</v>
      </c>
      <c r="E32" s="100">
        <v>156608.1</v>
      </c>
      <c r="F32" s="100">
        <v>80.44</v>
      </c>
      <c r="G32" s="100">
        <v>93.75</v>
      </c>
      <c r="H32" s="100">
        <v>156608.1</v>
      </c>
      <c r="I32" s="100">
        <v>1.976</v>
      </c>
      <c r="J32" s="100">
        <v>1.115</v>
      </c>
      <c r="K32" s="100">
        <v>156608.1</v>
      </c>
      <c r="L32" s="100">
        <v>0.96799999999999997</v>
      </c>
      <c r="M32" s="100">
        <v>0.30499999999999999</v>
      </c>
    </row>
    <row r="33" spans="1:13" ht="15" x14ac:dyDescent="0.25">
      <c r="A33" s="100">
        <v>87.7</v>
      </c>
      <c r="B33" s="100">
        <v>137884.20000000001</v>
      </c>
      <c r="C33" s="100">
        <v>170.3</v>
      </c>
      <c r="D33" s="100">
        <v>84.71</v>
      </c>
      <c r="E33" s="100">
        <v>137884.20000000001</v>
      </c>
      <c r="F33" s="100">
        <v>87.61</v>
      </c>
      <c r="G33" s="100">
        <v>97.32</v>
      </c>
      <c r="H33" s="100">
        <v>137884.20000000001</v>
      </c>
      <c r="I33" s="100">
        <v>2.0990000000000002</v>
      </c>
      <c r="J33" s="100">
        <v>1.129</v>
      </c>
      <c r="K33" s="100">
        <v>137884.20000000001</v>
      </c>
      <c r="L33" s="100">
        <v>0.99</v>
      </c>
      <c r="M33" s="100">
        <v>0.318</v>
      </c>
    </row>
    <row r="34" spans="1:13" ht="15" x14ac:dyDescent="0.25">
      <c r="A34" s="100">
        <v>90</v>
      </c>
      <c r="B34" s="100">
        <v>135628.6</v>
      </c>
      <c r="C34" s="100">
        <v>171.65</v>
      </c>
      <c r="D34" s="100">
        <v>84.76</v>
      </c>
      <c r="E34" s="100">
        <v>135628.6</v>
      </c>
      <c r="F34" s="100">
        <v>88.57</v>
      </c>
      <c r="G34" s="100">
        <v>97.78</v>
      </c>
      <c r="H34" s="100">
        <v>135628.6</v>
      </c>
      <c r="I34" s="100">
        <v>2.1120000000000001</v>
      </c>
      <c r="J34" s="100">
        <v>1.1319999999999999</v>
      </c>
      <c r="K34" s="100">
        <v>135628.6</v>
      </c>
      <c r="L34" s="100">
        <v>0.99299999999999999</v>
      </c>
      <c r="M34" s="100">
        <v>0.32</v>
      </c>
    </row>
    <row r="35" spans="1:13" ht="15" x14ac:dyDescent="0.25">
      <c r="A35" s="100">
        <v>100</v>
      </c>
      <c r="B35" s="100">
        <v>123489.60000000001</v>
      </c>
      <c r="C35" s="100">
        <v>179.15</v>
      </c>
      <c r="D35" s="100">
        <v>85.21</v>
      </c>
      <c r="E35" s="100">
        <v>123489.60000000001</v>
      </c>
      <c r="F35" s="100">
        <v>93.93</v>
      </c>
      <c r="G35" s="100">
        <v>100.56</v>
      </c>
      <c r="H35" s="100">
        <v>123489.60000000001</v>
      </c>
      <c r="I35" s="100">
        <v>2.1859999999999999</v>
      </c>
      <c r="J35" s="100">
        <v>1.1559999999999999</v>
      </c>
      <c r="K35" s="100">
        <v>123489.60000000001</v>
      </c>
      <c r="L35" s="100">
        <v>1.0089999999999999</v>
      </c>
      <c r="M35" s="100">
        <v>0.33</v>
      </c>
    </row>
    <row r="36" spans="1:13" ht="15" x14ac:dyDescent="0.25">
      <c r="A36" s="100">
        <v>200</v>
      </c>
      <c r="B36" s="100">
        <v>38946.5</v>
      </c>
      <c r="C36" s="100">
        <v>274.76</v>
      </c>
      <c r="D36" s="100">
        <v>87.22</v>
      </c>
      <c r="E36" s="100">
        <v>38946.5</v>
      </c>
      <c r="F36" s="100">
        <v>172.91</v>
      </c>
      <c r="G36" s="100">
        <v>136.44999999999999</v>
      </c>
      <c r="H36" s="100">
        <v>38946.5</v>
      </c>
      <c r="I36" s="100">
        <v>2.9889999999999999</v>
      </c>
      <c r="J36" s="100">
        <v>1.423</v>
      </c>
      <c r="K36" s="100">
        <v>38946.5</v>
      </c>
      <c r="L36" s="100">
        <v>1.2789999999999999</v>
      </c>
      <c r="M36" s="100">
        <v>0.443</v>
      </c>
    </row>
    <row r="37" spans="1:13" ht="15" x14ac:dyDescent="0.25">
      <c r="A37" s="100">
        <v>300</v>
      </c>
      <c r="B37" s="100">
        <v>6974.8</v>
      </c>
      <c r="C37" s="100">
        <v>414.08</v>
      </c>
      <c r="D37" s="100">
        <v>122.11</v>
      </c>
      <c r="E37" s="100">
        <v>6974.8</v>
      </c>
      <c r="F37" s="100">
        <v>356.52</v>
      </c>
      <c r="G37" s="100">
        <v>104.53</v>
      </c>
      <c r="H37" s="100">
        <v>6974.8</v>
      </c>
      <c r="I37" s="100">
        <v>3.298</v>
      </c>
      <c r="J37" s="100">
        <v>2.004</v>
      </c>
      <c r="K37" s="100">
        <v>6974.8</v>
      </c>
      <c r="L37" s="100">
        <v>1.2430000000000001</v>
      </c>
      <c r="M37" s="100">
        <v>0.68700000000000006</v>
      </c>
    </row>
    <row r="38" spans="1:13" ht="15" x14ac:dyDescent="0.25">
      <c r="A38" s="100">
        <v>400</v>
      </c>
      <c r="B38" s="100">
        <v>2769.2</v>
      </c>
      <c r="C38" s="100">
        <v>546.97</v>
      </c>
      <c r="D38" s="100">
        <v>85.83</v>
      </c>
      <c r="E38" s="100">
        <v>2769.2</v>
      </c>
      <c r="F38" s="100">
        <v>403.87</v>
      </c>
      <c r="G38" s="100">
        <v>108.2</v>
      </c>
      <c r="H38" s="100">
        <v>2769.2</v>
      </c>
      <c r="I38" s="100">
        <v>5.2</v>
      </c>
      <c r="J38" s="100">
        <v>1.2829999999999999</v>
      </c>
      <c r="K38" s="100">
        <v>2769.2</v>
      </c>
      <c r="L38" s="100">
        <v>0.84</v>
      </c>
      <c r="M38" s="100">
        <v>0.111</v>
      </c>
    </row>
    <row r="41" spans="1:13" x14ac:dyDescent="0.2">
      <c r="A41" s="5" t="s">
        <v>35</v>
      </c>
    </row>
    <row r="42" spans="1:13" x14ac:dyDescent="0.2">
      <c r="A42" t="s">
        <v>5</v>
      </c>
      <c r="B42" t="s">
        <v>31</v>
      </c>
      <c r="C42" t="s">
        <v>50</v>
      </c>
      <c r="D42" t="s">
        <v>32</v>
      </c>
      <c r="E42" t="s">
        <v>31</v>
      </c>
      <c r="F42" t="s">
        <v>51</v>
      </c>
      <c r="G42" t="s">
        <v>32</v>
      </c>
      <c r="H42" t="s">
        <v>31</v>
      </c>
      <c r="I42" t="s">
        <v>52</v>
      </c>
      <c r="J42" t="s">
        <v>32</v>
      </c>
      <c r="K42" t="s">
        <v>31</v>
      </c>
      <c r="L42" t="s">
        <v>122</v>
      </c>
      <c r="M42" t="s">
        <v>32</v>
      </c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3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</row>
    <row r="53" spans="1:13" x14ac:dyDescent="0.2">
      <c r="A53" s="1"/>
      <c r="B53">
        <f>+B7+B20</f>
        <v>0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103" t="s">
        <v>5</v>
      </c>
      <c r="B56" s="103" t="s">
        <v>31</v>
      </c>
      <c r="C56" s="103" t="s">
        <v>50</v>
      </c>
      <c r="D56" s="103" t="s">
        <v>32</v>
      </c>
      <c r="E56" s="103" t="s">
        <v>123</v>
      </c>
      <c r="F56" s="103" t="s">
        <v>51</v>
      </c>
      <c r="G56" s="103" t="s">
        <v>124</v>
      </c>
      <c r="H56" s="103" t="s">
        <v>125</v>
      </c>
      <c r="I56" s="103" t="s">
        <v>52</v>
      </c>
      <c r="J56" s="103" t="s">
        <v>126</v>
      </c>
      <c r="K56" s="103" t="s">
        <v>127</v>
      </c>
      <c r="L56" s="103" t="s">
        <v>122</v>
      </c>
      <c r="M56" s="103" t="s">
        <v>128</v>
      </c>
    </row>
    <row r="57" spans="1:13" ht="15" x14ac:dyDescent="0.25">
      <c r="A57" s="102">
        <v>0</v>
      </c>
      <c r="B57" s="102">
        <v>195187.4</v>
      </c>
      <c r="C57" s="102">
        <v>131.19</v>
      </c>
      <c r="D57" s="102">
        <v>95.11</v>
      </c>
      <c r="E57" s="102">
        <v>175555.20000000001</v>
      </c>
      <c r="F57" s="102">
        <v>72.66</v>
      </c>
      <c r="G57" s="102">
        <v>91.41</v>
      </c>
      <c r="H57" s="102">
        <v>175555.20000000001</v>
      </c>
      <c r="I57" s="102">
        <v>1.8280000000000001</v>
      </c>
      <c r="J57" s="102">
        <v>1.1379999999999999</v>
      </c>
      <c r="K57" s="102">
        <v>195187.4</v>
      </c>
      <c r="L57" s="102">
        <v>0.93600000000000005</v>
      </c>
      <c r="M57" s="102">
        <v>0.28199999999999997</v>
      </c>
    </row>
    <row r="58" spans="1:13" ht="15" x14ac:dyDescent="0.25">
      <c r="A58" s="102">
        <v>20</v>
      </c>
      <c r="B58" s="102">
        <v>175227.5</v>
      </c>
      <c r="C58" s="102">
        <v>146.1</v>
      </c>
      <c r="D58" s="102">
        <v>88.89</v>
      </c>
      <c r="E58" s="102">
        <v>175227.5</v>
      </c>
      <c r="F58" s="102">
        <v>72.78</v>
      </c>
      <c r="G58" s="102">
        <v>91.45</v>
      </c>
      <c r="H58" s="102">
        <v>175227.5</v>
      </c>
      <c r="I58" s="102">
        <v>1.83</v>
      </c>
      <c r="J58" s="102">
        <v>1.137</v>
      </c>
      <c r="K58" s="102">
        <v>175227.5</v>
      </c>
      <c r="L58" s="102">
        <v>0.95</v>
      </c>
      <c r="M58" s="102">
        <v>0.29299999999999998</v>
      </c>
    </row>
    <row r="59" spans="1:13" ht="15" x14ac:dyDescent="0.25">
      <c r="A59" s="102">
        <v>40</v>
      </c>
      <c r="B59" s="102">
        <v>162617.20000000001</v>
      </c>
      <c r="C59" s="102">
        <v>154.94</v>
      </c>
      <c r="D59" s="102">
        <v>86.19</v>
      </c>
      <c r="E59" s="102">
        <v>162617.20000000001</v>
      </c>
      <c r="F59" s="102">
        <v>78.09</v>
      </c>
      <c r="G59" s="102">
        <v>92.83</v>
      </c>
      <c r="H59" s="102">
        <v>162617.20000000001</v>
      </c>
      <c r="I59" s="102">
        <v>1.93</v>
      </c>
      <c r="J59" s="102">
        <v>1.121</v>
      </c>
      <c r="K59" s="102">
        <v>162617.20000000001</v>
      </c>
      <c r="L59" s="102">
        <v>0.96199999999999997</v>
      </c>
      <c r="M59" s="102">
        <v>0.30099999999999999</v>
      </c>
    </row>
    <row r="60" spans="1:13" ht="15" x14ac:dyDescent="0.25">
      <c r="A60" s="102">
        <v>60</v>
      </c>
      <c r="B60" s="102">
        <v>156608.1</v>
      </c>
      <c r="C60" s="102">
        <v>158.97</v>
      </c>
      <c r="D60" s="102">
        <v>85.26</v>
      </c>
      <c r="E60" s="102">
        <v>156608.1</v>
      </c>
      <c r="F60" s="102">
        <v>80.44</v>
      </c>
      <c r="G60" s="102">
        <v>93.75</v>
      </c>
      <c r="H60" s="102">
        <v>156608.1</v>
      </c>
      <c r="I60" s="102">
        <v>1.976</v>
      </c>
      <c r="J60" s="102">
        <v>1.115</v>
      </c>
      <c r="K60" s="102">
        <v>156608.1</v>
      </c>
      <c r="L60" s="102">
        <v>0.96799999999999997</v>
      </c>
      <c r="M60" s="102">
        <v>0.30499999999999999</v>
      </c>
    </row>
    <row r="61" spans="1:13" ht="15" x14ac:dyDescent="0.25">
      <c r="A61" s="102">
        <v>87.7</v>
      </c>
      <c r="B61" s="102">
        <v>137884.20000000001</v>
      </c>
      <c r="C61" s="102">
        <v>170.3</v>
      </c>
      <c r="D61" s="102">
        <v>84.71</v>
      </c>
      <c r="E61" s="102">
        <v>137884.20000000001</v>
      </c>
      <c r="F61" s="102">
        <v>87.61</v>
      </c>
      <c r="G61" s="102">
        <v>97.32</v>
      </c>
      <c r="H61" s="102">
        <v>137884.20000000001</v>
      </c>
      <c r="I61" s="102">
        <v>2.0990000000000002</v>
      </c>
      <c r="J61" s="102">
        <v>1.129</v>
      </c>
      <c r="K61" s="102">
        <v>137884.20000000001</v>
      </c>
      <c r="L61" s="102">
        <v>0.99</v>
      </c>
      <c r="M61" s="102">
        <v>0.318</v>
      </c>
    </row>
    <row r="62" spans="1:13" ht="15" x14ac:dyDescent="0.25">
      <c r="A62" s="102">
        <v>90</v>
      </c>
      <c r="B62" s="102">
        <v>135628.6</v>
      </c>
      <c r="C62" s="102">
        <v>171.65</v>
      </c>
      <c r="D62" s="102">
        <v>84.76</v>
      </c>
      <c r="E62" s="102">
        <v>135628.6</v>
      </c>
      <c r="F62" s="102">
        <v>88.57</v>
      </c>
      <c r="G62" s="102">
        <v>97.78</v>
      </c>
      <c r="H62" s="102">
        <v>135628.6</v>
      </c>
      <c r="I62" s="102">
        <v>2.1120000000000001</v>
      </c>
      <c r="J62" s="102">
        <v>1.1319999999999999</v>
      </c>
      <c r="K62" s="102">
        <v>135628.6</v>
      </c>
      <c r="L62" s="102">
        <v>0.99299999999999999</v>
      </c>
      <c r="M62" s="102">
        <v>0.32</v>
      </c>
    </row>
    <row r="63" spans="1:13" ht="15" x14ac:dyDescent="0.25">
      <c r="A63" s="102">
        <v>100</v>
      </c>
      <c r="B63" s="102">
        <v>123489.60000000001</v>
      </c>
      <c r="C63" s="102">
        <v>179.15</v>
      </c>
      <c r="D63" s="102">
        <v>85.21</v>
      </c>
      <c r="E63" s="102">
        <v>123489.60000000001</v>
      </c>
      <c r="F63" s="102">
        <v>93.93</v>
      </c>
      <c r="G63" s="102">
        <v>100.56</v>
      </c>
      <c r="H63" s="102">
        <v>123489.60000000001</v>
      </c>
      <c r="I63" s="102">
        <v>2.1859999999999999</v>
      </c>
      <c r="J63" s="102">
        <v>1.1559999999999999</v>
      </c>
      <c r="K63" s="102">
        <v>123489.60000000001</v>
      </c>
      <c r="L63" s="102">
        <v>1.0089999999999999</v>
      </c>
      <c r="M63" s="102">
        <v>0.33</v>
      </c>
    </row>
    <row r="64" spans="1:13" ht="15" x14ac:dyDescent="0.25">
      <c r="A64" s="102">
        <v>200</v>
      </c>
      <c r="B64" s="102">
        <v>38946.5</v>
      </c>
      <c r="C64" s="102">
        <v>274.76</v>
      </c>
      <c r="D64" s="102">
        <v>87.22</v>
      </c>
      <c r="E64" s="102">
        <v>38946.5</v>
      </c>
      <c r="F64" s="102">
        <v>172.91</v>
      </c>
      <c r="G64" s="102">
        <v>136.44999999999999</v>
      </c>
      <c r="H64" s="102">
        <v>38946.5</v>
      </c>
      <c r="I64" s="102">
        <v>2.9889999999999999</v>
      </c>
      <c r="J64" s="102">
        <v>1.423</v>
      </c>
      <c r="K64" s="102">
        <v>38946.5</v>
      </c>
      <c r="L64" s="102">
        <v>1.2789999999999999</v>
      </c>
      <c r="M64" s="102">
        <v>0.443</v>
      </c>
    </row>
    <row r="65" spans="1:13" ht="15" x14ac:dyDescent="0.25">
      <c r="A65" s="102">
        <v>300</v>
      </c>
      <c r="B65" s="102">
        <v>6974.8</v>
      </c>
      <c r="C65" s="102">
        <v>414.08</v>
      </c>
      <c r="D65" s="102">
        <v>122.11</v>
      </c>
      <c r="E65" s="102">
        <v>6974.8</v>
      </c>
      <c r="F65" s="102">
        <v>356.52</v>
      </c>
      <c r="G65" s="102">
        <v>104.53</v>
      </c>
      <c r="H65" s="102">
        <v>6974.8</v>
      </c>
      <c r="I65" s="102">
        <v>3.298</v>
      </c>
      <c r="J65" s="102">
        <v>2.004</v>
      </c>
      <c r="K65" s="102">
        <v>6974.8</v>
      </c>
      <c r="L65" s="102">
        <v>1.2430000000000001</v>
      </c>
      <c r="M65" s="102">
        <v>0.68700000000000006</v>
      </c>
    </row>
    <row r="66" spans="1:13" ht="15" x14ac:dyDescent="0.25">
      <c r="A66" s="102">
        <v>400</v>
      </c>
      <c r="B66" s="102">
        <v>2769.2</v>
      </c>
      <c r="C66" s="102">
        <v>546.97</v>
      </c>
      <c r="D66" s="102">
        <v>85.83</v>
      </c>
      <c r="E66" s="102">
        <v>2769.2</v>
      </c>
      <c r="F66" s="102">
        <v>403.87</v>
      </c>
      <c r="G66" s="102">
        <v>108.2</v>
      </c>
      <c r="H66" s="102">
        <v>2769.2</v>
      </c>
      <c r="I66" s="102">
        <v>5.2</v>
      </c>
      <c r="J66" s="102">
        <v>1.2829999999999999</v>
      </c>
      <c r="K66" s="102">
        <v>2769.2</v>
      </c>
      <c r="L66" s="102">
        <v>0.84</v>
      </c>
      <c r="M66" s="102">
        <v>0.111</v>
      </c>
    </row>
    <row r="67" spans="1:13" x14ac:dyDescent="0.2">
      <c r="A67" s="1"/>
      <c r="B67">
        <f>+B7+B20+B33</f>
        <v>137884.20000000001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22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x14ac:dyDescent="0.2">
      <c r="A15" t="s">
        <v>5</v>
      </c>
      <c r="B15" t="s">
        <v>31</v>
      </c>
      <c r="C15" t="s">
        <v>50</v>
      </c>
      <c r="D15" t="s">
        <v>32</v>
      </c>
      <c r="E15" t="s">
        <v>31</v>
      </c>
      <c r="F15" t="s">
        <v>51</v>
      </c>
      <c r="G15" t="s">
        <v>32</v>
      </c>
      <c r="H15" t="s">
        <v>31</v>
      </c>
      <c r="I15" t="s">
        <v>52</v>
      </c>
      <c r="J15" t="s">
        <v>32</v>
      </c>
      <c r="K15" t="s">
        <v>31</v>
      </c>
      <c r="L15" t="s">
        <v>122</v>
      </c>
      <c r="M15" t="s">
        <v>32</v>
      </c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7" spans="1:13" x14ac:dyDescent="0.2">
      <c r="A27" s="5" t="s">
        <v>34</v>
      </c>
    </row>
    <row r="28" spans="1:13" ht="15" x14ac:dyDescent="0.2">
      <c r="A28" s="37" t="s">
        <v>5</v>
      </c>
      <c r="B28" s="37" t="s">
        <v>31</v>
      </c>
      <c r="C28" s="37" t="s">
        <v>50</v>
      </c>
      <c r="D28" s="37" t="s">
        <v>32</v>
      </c>
      <c r="E28" s="37" t="s">
        <v>123</v>
      </c>
      <c r="F28" s="37" t="s">
        <v>51</v>
      </c>
      <c r="G28" s="37" t="s">
        <v>124</v>
      </c>
      <c r="H28" s="37" t="s">
        <v>125</v>
      </c>
      <c r="I28" s="37" t="s">
        <v>52</v>
      </c>
      <c r="J28" s="37" t="s">
        <v>126</v>
      </c>
      <c r="K28" s="37" t="s">
        <v>127</v>
      </c>
      <c r="L28" s="37" t="s">
        <v>122</v>
      </c>
      <c r="M28" s="37" t="s">
        <v>128</v>
      </c>
    </row>
    <row r="29" spans="1:13" ht="15" x14ac:dyDescent="0.25">
      <c r="A29" s="36">
        <v>0</v>
      </c>
      <c r="B29" s="36">
        <v>116586.7</v>
      </c>
      <c r="C29" s="36">
        <v>202.01</v>
      </c>
      <c r="D29" s="36">
        <v>156.1</v>
      </c>
      <c r="E29" s="36">
        <v>111101.5</v>
      </c>
      <c r="F29" s="36">
        <v>171.97</v>
      </c>
      <c r="G29" s="36">
        <v>148.46</v>
      </c>
      <c r="H29" s="36">
        <v>111101.5</v>
      </c>
      <c r="I29" s="36">
        <v>1.821</v>
      </c>
      <c r="J29" s="36">
        <v>1.137</v>
      </c>
      <c r="K29" s="36">
        <v>116586.7</v>
      </c>
      <c r="L29" s="36">
        <v>1.6140000000000001</v>
      </c>
      <c r="M29" s="36">
        <v>1.135</v>
      </c>
    </row>
    <row r="30" spans="1:13" ht="15" x14ac:dyDescent="0.25">
      <c r="A30" s="36">
        <v>20</v>
      </c>
      <c r="B30" s="36">
        <v>111078.7</v>
      </c>
      <c r="C30" s="36">
        <v>212.03</v>
      </c>
      <c r="D30" s="36">
        <v>153.13999999999999</v>
      </c>
      <c r="E30" s="36">
        <v>111078.7</v>
      </c>
      <c r="F30" s="36">
        <v>172.01</v>
      </c>
      <c r="G30" s="36">
        <v>148.44999999999999</v>
      </c>
      <c r="H30" s="36">
        <v>111078.7</v>
      </c>
      <c r="I30" s="36">
        <v>1.8220000000000001</v>
      </c>
      <c r="J30" s="36">
        <v>1.137</v>
      </c>
      <c r="K30" s="36">
        <v>111078.7</v>
      </c>
      <c r="L30" s="36">
        <v>1.649</v>
      </c>
      <c r="M30" s="36">
        <v>1.1459999999999999</v>
      </c>
    </row>
    <row r="31" spans="1:13" ht="15" x14ac:dyDescent="0.25">
      <c r="A31" s="36">
        <v>40</v>
      </c>
      <c r="B31" s="36">
        <v>108902.1</v>
      </c>
      <c r="C31" s="36">
        <v>215.58</v>
      </c>
      <c r="D31" s="36">
        <v>152.56</v>
      </c>
      <c r="E31" s="36">
        <v>108902.1</v>
      </c>
      <c r="F31" s="36">
        <v>175</v>
      </c>
      <c r="G31" s="36">
        <v>148.38999999999999</v>
      </c>
      <c r="H31" s="36">
        <v>108902.1</v>
      </c>
      <c r="I31" s="36">
        <v>1.851</v>
      </c>
      <c r="J31" s="36">
        <v>1.129</v>
      </c>
      <c r="K31" s="36">
        <v>108902.1</v>
      </c>
      <c r="L31" s="36">
        <v>1.6579999999999999</v>
      </c>
      <c r="M31" s="36">
        <v>1.1519999999999999</v>
      </c>
    </row>
    <row r="32" spans="1:13" ht="15" x14ac:dyDescent="0.25">
      <c r="A32" s="36">
        <v>60</v>
      </c>
      <c r="B32" s="36">
        <v>102482</v>
      </c>
      <c r="C32" s="36">
        <v>226</v>
      </c>
      <c r="D32" s="36">
        <v>151.29</v>
      </c>
      <c r="E32" s="36">
        <v>102482</v>
      </c>
      <c r="F32" s="36">
        <v>183.95</v>
      </c>
      <c r="G32" s="36">
        <v>148.41999999999999</v>
      </c>
      <c r="H32" s="36">
        <v>102482</v>
      </c>
      <c r="I32" s="36">
        <v>1.9339999999999999</v>
      </c>
      <c r="J32" s="36">
        <v>1.1120000000000001</v>
      </c>
      <c r="K32" s="36">
        <v>102482</v>
      </c>
      <c r="L32" s="36">
        <v>1.6910000000000001</v>
      </c>
      <c r="M32" s="36">
        <v>1.173</v>
      </c>
    </row>
    <row r="33" spans="1:13" ht="15" x14ac:dyDescent="0.25">
      <c r="A33" s="36">
        <v>87.7</v>
      </c>
      <c r="B33" s="36">
        <v>90363.7</v>
      </c>
      <c r="C33" s="36">
        <v>246.32</v>
      </c>
      <c r="D33" s="36">
        <v>149.87</v>
      </c>
      <c r="E33" s="36">
        <v>90363.7</v>
      </c>
      <c r="F33" s="36">
        <v>201.34</v>
      </c>
      <c r="G33" s="36">
        <v>149.49</v>
      </c>
      <c r="H33" s="36">
        <v>90363.7</v>
      </c>
      <c r="I33" s="36">
        <v>2.097</v>
      </c>
      <c r="J33" s="36">
        <v>1.079</v>
      </c>
      <c r="K33" s="36">
        <v>90363.7</v>
      </c>
      <c r="L33" s="36">
        <v>1.7749999999999999</v>
      </c>
      <c r="M33" s="36">
        <v>1.2130000000000001</v>
      </c>
    </row>
    <row r="34" spans="1:13" ht="15" x14ac:dyDescent="0.25">
      <c r="A34" s="36">
        <v>90</v>
      </c>
      <c r="B34" s="36">
        <v>89492.800000000003</v>
      </c>
      <c r="C34" s="36">
        <v>247.85</v>
      </c>
      <c r="D34" s="36">
        <v>149.78</v>
      </c>
      <c r="E34" s="36">
        <v>89492.800000000003</v>
      </c>
      <c r="F34" s="36">
        <v>202.72</v>
      </c>
      <c r="G34" s="36">
        <v>149.54</v>
      </c>
      <c r="H34" s="36">
        <v>89492.800000000003</v>
      </c>
      <c r="I34" s="36">
        <v>2.109</v>
      </c>
      <c r="J34" s="36">
        <v>1.077</v>
      </c>
      <c r="K34" s="36">
        <v>89492.800000000003</v>
      </c>
      <c r="L34" s="36">
        <v>1.7809999999999999</v>
      </c>
      <c r="M34" s="36">
        <v>1.2170000000000001</v>
      </c>
    </row>
    <row r="35" spans="1:13" ht="15" x14ac:dyDescent="0.25">
      <c r="A35" s="36">
        <v>100</v>
      </c>
      <c r="B35" s="36">
        <v>85090.4</v>
      </c>
      <c r="C35" s="36">
        <v>255.75</v>
      </c>
      <c r="D35" s="36">
        <v>149.43</v>
      </c>
      <c r="E35" s="36">
        <v>85090.4</v>
      </c>
      <c r="F35" s="36">
        <v>209.95</v>
      </c>
      <c r="G35" s="36">
        <v>149.72</v>
      </c>
      <c r="H35" s="36">
        <v>85090.4</v>
      </c>
      <c r="I35" s="36">
        <v>2.1659999999999999</v>
      </c>
      <c r="J35" s="36">
        <v>1.071</v>
      </c>
      <c r="K35" s="36">
        <v>85090.4</v>
      </c>
      <c r="L35" s="36">
        <v>1.8149999999999999</v>
      </c>
      <c r="M35" s="36">
        <v>1.2330000000000001</v>
      </c>
    </row>
    <row r="36" spans="1:13" ht="15" x14ac:dyDescent="0.25">
      <c r="A36" s="36">
        <v>200</v>
      </c>
      <c r="B36" s="36">
        <v>45266.2</v>
      </c>
      <c r="C36" s="36">
        <v>349.64</v>
      </c>
      <c r="D36" s="36">
        <v>149.76</v>
      </c>
      <c r="E36" s="36">
        <v>45266.2</v>
      </c>
      <c r="F36" s="36">
        <v>304.42</v>
      </c>
      <c r="G36" s="36">
        <v>146.54</v>
      </c>
      <c r="H36" s="36">
        <v>45266.2</v>
      </c>
      <c r="I36" s="36">
        <v>2.742</v>
      </c>
      <c r="J36" s="36">
        <v>1.0860000000000001</v>
      </c>
      <c r="K36" s="36">
        <v>45266.2</v>
      </c>
      <c r="L36" s="36">
        <v>2.2010000000000001</v>
      </c>
      <c r="M36" s="36">
        <v>1.3979999999999999</v>
      </c>
    </row>
    <row r="37" spans="1:13" ht="15" x14ac:dyDescent="0.25">
      <c r="A37" s="36">
        <v>300</v>
      </c>
      <c r="B37" s="36">
        <v>22687.1</v>
      </c>
      <c r="C37" s="36">
        <v>453.35</v>
      </c>
      <c r="D37" s="36">
        <v>149.79</v>
      </c>
      <c r="E37" s="36">
        <v>22687.1</v>
      </c>
      <c r="F37" s="36">
        <v>402.8</v>
      </c>
      <c r="G37" s="36">
        <v>145.31</v>
      </c>
      <c r="H37" s="36">
        <v>22687.1</v>
      </c>
      <c r="I37" s="36">
        <v>3.4540000000000002</v>
      </c>
      <c r="J37" s="36">
        <v>1.0349999999999999</v>
      </c>
      <c r="K37" s="36">
        <v>22687.1</v>
      </c>
      <c r="L37" s="36">
        <v>2.1869999999999998</v>
      </c>
      <c r="M37" s="36">
        <v>1.4179999999999999</v>
      </c>
    </row>
    <row r="38" spans="1:13" ht="15" x14ac:dyDescent="0.25">
      <c r="A38" s="36">
        <v>400</v>
      </c>
      <c r="B38" s="36">
        <v>12239.9</v>
      </c>
      <c r="C38" s="36">
        <v>546.59</v>
      </c>
      <c r="D38" s="36">
        <v>148.19999999999999</v>
      </c>
      <c r="E38" s="36">
        <v>12239.9</v>
      </c>
      <c r="F38" s="36">
        <v>493.82</v>
      </c>
      <c r="G38" s="36">
        <v>141.52000000000001</v>
      </c>
      <c r="H38" s="36">
        <v>12239.9</v>
      </c>
      <c r="I38" s="36">
        <v>4.0620000000000003</v>
      </c>
      <c r="J38" s="36">
        <v>1.028</v>
      </c>
      <c r="K38" s="36">
        <v>12239.9</v>
      </c>
      <c r="L38" s="36">
        <v>1.871</v>
      </c>
      <c r="M38" s="36">
        <v>1.181</v>
      </c>
    </row>
    <row r="41" spans="1:13" x14ac:dyDescent="0.2">
      <c r="A41" s="5" t="s">
        <v>35</v>
      </c>
    </row>
    <row r="42" spans="1:13" x14ac:dyDescent="0.2">
      <c r="A42" t="s">
        <v>5</v>
      </c>
      <c r="B42" t="s">
        <v>31</v>
      </c>
      <c r="C42" t="s">
        <v>50</v>
      </c>
      <c r="D42" t="s">
        <v>32</v>
      </c>
      <c r="E42" t="s">
        <v>31</v>
      </c>
      <c r="F42" t="s">
        <v>51</v>
      </c>
      <c r="G42" t="s">
        <v>32</v>
      </c>
      <c r="H42" t="s">
        <v>31</v>
      </c>
      <c r="I42" t="s">
        <v>52</v>
      </c>
      <c r="J42" t="s">
        <v>32</v>
      </c>
      <c r="K42" t="s">
        <v>31</v>
      </c>
      <c r="L42" t="s">
        <v>122</v>
      </c>
      <c r="M42" t="s">
        <v>32</v>
      </c>
    </row>
    <row r="43" spans="1:13" x14ac:dyDescent="0.2">
      <c r="A43">
        <v>0</v>
      </c>
    </row>
    <row r="44" spans="1:13" x14ac:dyDescent="0.2">
      <c r="A44">
        <v>20</v>
      </c>
    </row>
    <row r="45" spans="1:13" x14ac:dyDescent="0.2">
      <c r="A45">
        <v>40</v>
      </c>
    </row>
    <row r="46" spans="1:13" x14ac:dyDescent="0.2">
      <c r="A46">
        <v>60</v>
      </c>
    </row>
    <row r="47" spans="1:13" x14ac:dyDescent="0.2">
      <c r="A47" s="4">
        <v>87.7</v>
      </c>
      <c r="B47" s="4"/>
      <c r="C47" s="4"/>
      <c r="D47" s="4"/>
      <c r="E47" s="4"/>
      <c r="F47" s="4"/>
      <c r="G47" s="4"/>
      <c r="H47" s="4"/>
      <c r="I47" s="4"/>
      <c r="J47" s="4"/>
    </row>
    <row r="48" spans="1:13" x14ac:dyDescent="0.2">
      <c r="A48" s="29">
        <v>90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3" x14ac:dyDescent="0.2">
      <c r="A49">
        <v>100</v>
      </c>
    </row>
    <row r="50" spans="1:13" x14ac:dyDescent="0.2">
      <c r="A50">
        <v>200</v>
      </c>
    </row>
    <row r="51" spans="1:13" x14ac:dyDescent="0.2">
      <c r="A51">
        <v>300</v>
      </c>
    </row>
    <row r="52" spans="1:13" x14ac:dyDescent="0.2">
      <c r="A52">
        <v>400</v>
      </c>
    </row>
    <row r="53" spans="1:13" x14ac:dyDescent="0.2">
      <c r="A53" s="1"/>
      <c r="B53">
        <f>+B7+B20</f>
        <v>0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39" t="s">
        <v>5</v>
      </c>
      <c r="B56" s="39" t="s">
        <v>31</v>
      </c>
      <c r="C56" s="39" t="s">
        <v>50</v>
      </c>
      <c r="D56" s="39" t="s">
        <v>32</v>
      </c>
      <c r="E56" s="39" t="s">
        <v>123</v>
      </c>
      <c r="F56" s="39" t="s">
        <v>51</v>
      </c>
      <c r="G56" s="39" t="s">
        <v>124</v>
      </c>
      <c r="H56" s="39" t="s">
        <v>125</v>
      </c>
      <c r="I56" s="39" t="s">
        <v>52</v>
      </c>
      <c r="J56" s="39" t="s">
        <v>126</v>
      </c>
      <c r="K56" s="39" t="s">
        <v>127</v>
      </c>
      <c r="L56" s="39" t="s">
        <v>122</v>
      </c>
      <c r="M56" s="39" t="s">
        <v>128</v>
      </c>
    </row>
    <row r="57" spans="1:13" ht="15" x14ac:dyDescent="0.25">
      <c r="A57" s="38">
        <v>0</v>
      </c>
      <c r="B57" s="38">
        <v>116586.7</v>
      </c>
      <c r="C57" s="38">
        <v>202.01</v>
      </c>
      <c r="D57" s="38">
        <v>156.1</v>
      </c>
      <c r="E57" s="38">
        <v>111101.5</v>
      </c>
      <c r="F57" s="38">
        <v>171.97</v>
      </c>
      <c r="G57" s="38">
        <v>148.46</v>
      </c>
      <c r="H57" s="38">
        <v>111101.5</v>
      </c>
      <c r="I57" s="38">
        <v>1.821</v>
      </c>
      <c r="J57" s="38">
        <v>1.137</v>
      </c>
      <c r="K57" s="38">
        <v>116586.7</v>
      </c>
      <c r="L57" s="38">
        <v>1.6140000000000001</v>
      </c>
      <c r="M57" s="38">
        <v>1.135</v>
      </c>
    </row>
    <row r="58" spans="1:13" ht="15" x14ac:dyDescent="0.25">
      <c r="A58" s="38">
        <v>20</v>
      </c>
      <c r="B58" s="38">
        <v>111078.7</v>
      </c>
      <c r="C58" s="38">
        <v>212.03</v>
      </c>
      <c r="D58" s="38">
        <v>153.13999999999999</v>
      </c>
      <c r="E58" s="38">
        <v>111078.7</v>
      </c>
      <c r="F58" s="38">
        <v>172.01</v>
      </c>
      <c r="G58" s="38">
        <v>148.44999999999999</v>
      </c>
      <c r="H58" s="38">
        <v>111078.7</v>
      </c>
      <c r="I58" s="38">
        <v>1.8220000000000001</v>
      </c>
      <c r="J58" s="38">
        <v>1.137</v>
      </c>
      <c r="K58" s="38">
        <v>111078.7</v>
      </c>
      <c r="L58" s="38">
        <v>1.649</v>
      </c>
      <c r="M58" s="38">
        <v>1.1459999999999999</v>
      </c>
    </row>
    <row r="59" spans="1:13" ht="15" x14ac:dyDescent="0.25">
      <c r="A59" s="38">
        <v>40</v>
      </c>
      <c r="B59" s="38">
        <v>108902.1</v>
      </c>
      <c r="C59" s="38">
        <v>215.58</v>
      </c>
      <c r="D59" s="38">
        <v>152.56</v>
      </c>
      <c r="E59" s="38">
        <v>108902.1</v>
      </c>
      <c r="F59" s="38">
        <v>175</v>
      </c>
      <c r="G59" s="38">
        <v>148.38999999999999</v>
      </c>
      <c r="H59" s="38">
        <v>108902.1</v>
      </c>
      <c r="I59" s="38">
        <v>1.851</v>
      </c>
      <c r="J59" s="38">
        <v>1.129</v>
      </c>
      <c r="K59" s="38">
        <v>108902.1</v>
      </c>
      <c r="L59" s="38">
        <v>1.6579999999999999</v>
      </c>
      <c r="M59" s="38">
        <v>1.1519999999999999</v>
      </c>
    </row>
    <row r="60" spans="1:13" ht="15" x14ac:dyDescent="0.25">
      <c r="A60" s="38">
        <v>60</v>
      </c>
      <c r="B60" s="38">
        <v>102482</v>
      </c>
      <c r="C60" s="38">
        <v>226</v>
      </c>
      <c r="D60" s="38">
        <v>151.29</v>
      </c>
      <c r="E60" s="38">
        <v>102482</v>
      </c>
      <c r="F60" s="38">
        <v>183.95</v>
      </c>
      <c r="G60" s="38">
        <v>148.41999999999999</v>
      </c>
      <c r="H60" s="38">
        <v>102482</v>
      </c>
      <c r="I60" s="38">
        <v>1.9339999999999999</v>
      </c>
      <c r="J60" s="38">
        <v>1.1120000000000001</v>
      </c>
      <c r="K60" s="38">
        <v>102482</v>
      </c>
      <c r="L60" s="38">
        <v>1.6910000000000001</v>
      </c>
      <c r="M60" s="38">
        <v>1.173</v>
      </c>
    </row>
    <row r="61" spans="1:13" ht="15" x14ac:dyDescent="0.25">
      <c r="A61" s="38">
        <v>87.7</v>
      </c>
      <c r="B61" s="38">
        <v>90363.7</v>
      </c>
      <c r="C61" s="38">
        <v>246.32</v>
      </c>
      <c r="D61" s="38">
        <v>149.87</v>
      </c>
      <c r="E61" s="38">
        <v>90363.7</v>
      </c>
      <c r="F61" s="38">
        <v>201.34</v>
      </c>
      <c r="G61" s="38">
        <v>149.49</v>
      </c>
      <c r="H61" s="38">
        <v>90363.7</v>
      </c>
      <c r="I61" s="38">
        <v>2.097</v>
      </c>
      <c r="J61" s="38">
        <v>1.079</v>
      </c>
      <c r="K61" s="38">
        <v>90363.7</v>
      </c>
      <c r="L61" s="38">
        <v>1.7749999999999999</v>
      </c>
      <c r="M61" s="38">
        <v>1.2130000000000001</v>
      </c>
    </row>
    <row r="62" spans="1:13" ht="15" x14ac:dyDescent="0.25">
      <c r="A62" s="38">
        <v>90</v>
      </c>
      <c r="B62" s="38">
        <v>89492.800000000003</v>
      </c>
      <c r="C62" s="38">
        <v>247.85</v>
      </c>
      <c r="D62" s="38">
        <v>149.78</v>
      </c>
      <c r="E62" s="38">
        <v>89492.800000000003</v>
      </c>
      <c r="F62" s="38">
        <v>202.72</v>
      </c>
      <c r="G62" s="38">
        <v>149.54</v>
      </c>
      <c r="H62" s="38">
        <v>89492.800000000003</v>
      </c>
      <c r="I62" s="38">
        <v>2.109</v>
      </c>
      <c r="J62" s="38">
        <v>1.077</v>
      </c>
      <c r="K62" s="38">
        <v>89492.800000000003</v>
      </c>
      <c r="L62" s="38">
        <v>1.7809999999999999</v>
      </c>
      <c r="M62" s="38">
        <v>1.2170000000000001</v>
      </c>
    </row>
    <row r="63" spans="1:13" ht="15" x14ac:dyDescent="0.25">
      <c r="A63" s="38">
        <v>100</v>
      </c>
      <c r="B63" s="38">
        <v>85090.4</v>
      </c>
      <c r="C63" s="38">
        <v>255.75</v>
      </c>
      <c r="D63" s="38">
        <v>149.43</v>
      </c>
      <c r="E63" s="38">
        <v>85090.4</v>
      </c>
      <c r="F63" s="38">
        <v>209.95</v>
      </c>
      <c r="G63" s="38">
        <v>149.72</v>
      </c>
      <c r="H63" s="38">
        <v>85090.4</v>
      </c>
      <c r="I63" s="38">
        <v>2.1659999999999999</v>
      </c>
      <c r="J63" s="38">
        <v>1.071</v>
      </c>
      <c r="K63" s="38">
        <v>85090.4</v>
      </c>
      <c r="L63" s="38">
        <v>1.8149999999999999</v>
      </c>
      <c r="M63" s="38">
        <v>1.2330000000000001</v>
      </c>
    </row>
    <row r="64" spans="1:13" ht="15" x14ac:dyDescent="0.25">
      <c r="A64" s="38">
        <v>200</v>
      </c>
      <c r="B64" s="38">
        <v>45266.2</v>
      </c>
      <c r="C64" s="38">
        <v>349.64</v>
      </c>
      <c r="D64" s="38">
        <v>149.76</v>
      </c>
      <c r="E64" s="38">
        <v>45266.2</v>
      </c>
      <c r="F64" s="38">
        <v>304.42</v>
      </c>
      <c r="G64" s="38">
        <v>146.54</v>
      </c>
      <c r="H64" s="38">
        <v>45266.2</v>
      </c>
      <c r="I64" s="38">
        <v>2.742</v>
      </c>
      <c r="J64" s="38">
        <v>1.0860000000000001</v>
      </c>
      <c r="K64" s="38">
        <v>45266.2</v>
      </c>
      <c r="L64" s="38">
        <v>2.2010000000000001</v>
      </c>
      <c r="M64" s="38">
        <v>1.3979999999999999</v>
      </c>
    </row>
    <row r="65" spans="1:13" ht="15" x14ac:dyDescent="0.25">
      <c r="A65" s="38">
        <v>300</v>
      </c>
      <c r="B65" s="38">
        <v>22687.1</v>
      </c>
      <c r="C65" s="38">
        <v>453.35</v>
      </c>
      <c r="D65" s="38">
        <v>149.79</v>
      </c>
      <c r="E65" s="38">
        <v>22687.1</v>
      </c>
      <c r="F65" s="38">
        <v>402.8</v>
      </c>
      <c r="G65" s="38">
        <v>145.31</v>
      </c>
      <c r="H65" s="38">
        <v>22687.1</v>
      </c>
      <c r="I65" s="38">
        <v>3.4540000000000002</v>
      </c>
      <c r="J65" s="38">
        <v>1.0349999999999999</v>
      </c>
      <c r="K65" s="38">
        <v>22687.1</v>
      </c>
      <c r="L65" s="38">
        <v>2.1869999999999998</v>
      </c>
      <c r="M65" s="38">
        <v>1.4179999999999999</v>
      </c>
    </row>
    <row r="66" spans="1:13" ht="15" x14ac:dyDescent="0.25">
      <c r="A66" s="38">
        <v>400</v>
      </c>
      <c r="B66" s="38">
        <v>12239.9</v>
      </c>
      <c r="C66" s="38">
        <v>546.59</v>
      </c>
      <c r="D66" s="38">
        <v>148.19999999999999</v>
      </c>
      <c r="E66" s="38">
        <v>12239.9</v>
      </c>
      <c r="F66" s="38">
        <v>493.82</v>
      </c>
      <c r="G66" s="38">
        <v>141.52000000000001</v>
      </c>
      <c r="H66" s="38">
        <v>12239.9</v>
      </c>
      <c r="I66" s="38">
        <v>4.0620000000000003</v>
      </c>
      <c r="J66" s="38">
        <v>1.028</v>
      </c>
      <c r="K66" s="38">
        <v>12239.9</v>
      </c>
      <c r="L66" s="38">
        <v>1.871</v>
      </c>
      <c r="M66" s="38">
        <v>1.181</v>
      </c>
    </row>
    <row r="67" spans="1:13" x14ac:dyDescent="0.2">
      <c r="A67" s="1"/>
      <c r="B67">
        <f>+B7+B20+B33</f>
        <v>90363.7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/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x14ac:dyDescent="0.2">
      <c r="A15" t="s">
        <v>5</v>
      </c>
      <c r="B15" t="s">
        <v>31</v>
      </c>
      <c r="C15" t="s">
        <v>50</v>
      </c>
      <c r="D15" t="s">
        <v>32</v>
      </c>
      <c r="E15" t="s">
        <v>31</v>
      </c>
      <c r="F15" t="s">
        <v>51</v>
      </c>
      <c r="G15" t="s">
        <v>32</v>
      </c>
      <c r="H15" t="s">
        <v>31</v>
      </c>
      <c r="I15" t="s">
        <v>52</v>
      </c>
      <c r="J15" t="s">
        <v>32</v>
      </c>
      <c r="K15" t="s">
        <v>31</v>
      </c>
      <c r="L15" t="s">
        <v>122</v>
      </c>
      <c r="M15" t="s">
        <v>32</v>
      </c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3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7" spans="1:13" x14ac:dyDescent="0.2">
      <c r="A27" s="5" t="s">
        <v>34</v>
      </c>
    </row>
    <row r="28" spans="1:13" ht="15" x14ac:dyDescent="0.2">
      <c r="A28" s="34" t="s">
        <v>5</v>
      </c>
      <c r="B28" s="34" t="s">
        <v>31</v>
      </c>
      <c r="C28" s="34" t="s">
        <v>50</v>
      </c>
      <c r="D28" s="34" t="s">
        <v>32</v>
      </c>
      <c r="E28" s="34" t="s">
        <v>123</v>
      </c>
      <c r="F28" s="34" t="s">
        <v>51</v>
      </c>
      <c r="G28" s="34" t="s">
        <v>124</v>
      </c>
      <c r="H28" s="34" t="s">
        <v>125</v>
      </c>
      <c r="I28" s="34" t="s">
        <v>52</v>
      </c>
      <c r="J28" s="34" t="s">
        <v>126</v>
      </c>
      <c r="K28" s="34" t="s">
        <v>127</v>
      </c>
      <c r="L28" s="34" t="s">
        <v>122</v>
      </c>
      <c r="M28" s="34" t="s">
        <v>128</v>
      </c>
    </row>
    <row r="29" spans="1:13" x14ac:dyDescent="0.2">
      <c r="A29">
        <v>0</v>
      </c>
      <c r="B29">
        <v>110259.4</v>
      </c>
      <c r="C29">
        <v>124.11</v>
      </c>
      <c r="D29">
        <v>61.79</v>
      </c>
      <c r="E29">
        <v>110259.4</v>
      </c>
      <c r="F29">
        <v>32.42</v>
      </c>
      <c r="G29">
        <v>15.83</v>
      </c>
      <c r="H29">
        <v>110259.4</v>
      </c>
      <c r="I29">
        <v>1.925</v>
      </c>
      <c r="J29">
        <v>0.96699999999999997</v>
      </c>
      <c r="K29">
        <v>110259.4</v>
      </c>
      <c r="L29">
        <v>0.91</v>
      </c>
      <c r="M29">
        <v>0.14399999999999999</v>
      </c>
    </row>
    <row r="30" spans="1:13" x14ac:dyDescent="0.2">
      <c r="A30">
        <v>20</v>
      </c>
      <c r="B30">
        <v>109390</v>
      </c>
      <c r="C30">
        <v>124.95</v>
      </c>
      <c r="D30">
        <v>61.31</v>
      </c>
      <c r="E30">
        <v>109390</v>
      </c>
      <c r="F30">
        <v>32.65</v>
      </c>
      <c r="G30">
        <v>15.69</v>
      </c>
      <c r="H30">
        <v>109390</v>
      </c>
      <c r="I30">
        <v>1.9379999999999999</v>
      </c>
      <c r="J30">
        <v>0.96</v>
      </c>
      <c r="K30">
        <v>109390</v>
      </c>
      <c r="L30">
        <v>0.91100000000000003</v>
      </c>
      <c r="M30">
        <v>0.14499999999999999</v>
      </c>
    </row>
    <row r="31" spans="1:13" x14ac:dyDescent="0.2">
      <c r="A31">
        <v>40</v>
      </c>
      <c r="B31">
        <v>99337.4</v>
      </c>
      <c r="C31">
        <v>134.24</v>
      </c>
      <c r="D31">
        <v>56.54</v>
      </c>
      <c r="E31">
        <v>99337.4</v>
      </c>
      <c r="F31">
        <v>35.01</v>
      </c>
      <c r="G31">
        <v>14.48</v>
      </c>
      <c r="H31">
        <v>99337.4</v>
      </c>
      <c r="I31">
        <v>2.0830000000000002</v>
      </c>
      <c r="J31">
        <v>0.88700000000000001</v>
      </c>
      <c r="K31">
        <v>99337.4</v>
      </c>
      <c r="L31">
        <v>0.92100000000000004</v>
      </c>
      <c r="M31">
        <v>0.14699999999999999</v>
      </c>
    </row>
    <row r="32" spans="1:13" x14ac:dyDescent="0.2">
      <c r="A32">
        <v>60</v>
      </c>
      <c r="B32">
        <v>80447.199999999997</v>
      </c>
      <c r="C32">
        <v>154.31</v>
      </c>
      <c r="D32">
        <v>42.72</v>
      </c>
      <c r="E32">
        <v>80447.199999999997</v>
      </c>
      <c r="F32">
        <v>40.18</v>
      </c>
      <c r="G32">
        <v>10.73</v>
      </c>
      <c r="H32">
        <v>80447.199999999997</v>
      </c>
      <c r="I32">
        <v>2.395</v>
      </c>
      <c r="J32">
        <v>0.67600000000000005</v>
      </c>
      <c r="K32">
        <v>80447.199999999997</v>
      </c>
      <c r="L32">
        <v>0.94399999999999995</v>
      </c>
      <c r="M32">
        <v>0.153</v>
      </c>
    </row>
    <row r="33" spans="1:13" x14ac:dyDescent="0.2">
      <c r="A33">
        <v>87.7</v>
      </c>
      <c r="B33">
        <v>72906.3</v>
      </c>
      <c r="C33">
        <v>162.83000000000001</v>
      </c>
      <c r="D33">
        <v>35.130000000000003</v>
      </c>
      <c r="E33">
        <v>72906.3</v>
      </c>
      <c r="F33">
        <v>42.19</v>
      </c>
      <c r="G33">
        <v>9.1199999999999992</v>
      </c>
      <c r="H33">
        <v>72906.3</v>
      </c>
      <c r="I33">
        <v>2.5299999999999998</v>
      </c>
      <c r="J33">
        <v>0.55600000000000005</v>
      </c>
      <c r="K33">
        <v>72906.3</v>
      </c>
      <c r="L33">
        <v>0.95899999999999996</v>
      </c>
      <c r="M33">
        <v>0.153</v>
      </c>
    </row>
    <row r="34" spans="1:13" x14ac:dyDescent="0.2">
      <c r="A34">
        <v>90</v>
      </c>
      <c r="B34">
        <v>72404.600000000006</v>
      </c>
      <c r="C34">
        <v>163.34</v>
      </c>
      <c r="D34">
        <v>34.71</v>
      </c>
      <c r="E34">
        <v>72404.600000000006</v>
      </c>
      <c r="F34">
        <v>42.31</v>
      </c>
      <c r="G34">
        <v>9.0399999999999991</v>
      </c>
      <c r="H34">
        <v>72404.600000000006</v>
      </c>
      <c r="I34">
        <v>2.5379999999999998</v>
      </c>
      <c r="J34">
        <v>0.54900000000000004</v>
      </c>
      <c r="K34">
        <v>72404.600000000006</v>
      </c>
      <c r="L34">
        <v>0.96</v>
      </c>
      <c r="M34">
        <v>0.153</v>
      </c>
    </row>
    <row r="35" spans="1:13" x14ac:dyDescent="0.2">
      <c r="A35">
        <v>100</v>
      </c>
      <c r="B35">
        <v>69503.3</v>
      </c>
      <c r="C35">
        <v>166.18</v>
      </c>
      <c r="D35">
        <v>32.46</v>
      </c>
      <c r="E35">
        <v>69503.3</v>
      </c>
      <c r="F35">
        <v>42.95</v>
      </c>
      <c r="G35">
        <v>8.64</v>
      </c>
      <c r="H35">
        <v>69503.3</v>
      </c>
      <c r="I35">
        <v>2.5830000000000002</v>
      </c>
      <c r="J35">
        <v>0.51200000000000001</v>
      </c>
      <c r="K35">
        <v>69503.3</v>
      </c>
      <c r="L35">
        <v>0.96599999999999997</v>
      </c>
      <c r="M35">
        <v>0.153</v>
      </c>
    </row>
    <row r="36" spans="1:13" x14ac:dyDescent="0.2">
      <c r="A36">
        <v>200</v>
      </c>
      <c r="B36">
        <v>7441</v>
      </c>
      <c r="C36">
        <v>216.38</v>
      </c>
      <c r="D36">
        <v>11.21</v>
      </c>
      <c r="E36">
        <v>7441</v>
      </c>
      <c r="F36">
        <v>58.57</v>
      </c>
      <c r="G36">
        <v>4.8899999999999997</v>
      </c>
      <c r="H36">
        <v>7441</v>
      </c>
      <c r="I36">
        <v>3.33</v>
      </c>
      <c r="J36">
        <v>0.158</v>
      </c>
      <c r="K36">
        <v>7441</v>
      </c>
      <c r="L36">
        <v>1.173</v>
      </c>
      <c r="M36">
        <v>0.12</v>
      </c>
    </row>
    <row r="41" spans="1:13" x14ac:dyDescent="0.2">
      <c r="A41" s="5" t="s">
        <v>35</v>
      </c>
    </row>
    <row r="42" spans="1:13" x14ac:dyDescent="0.2">
      <c r="A42" t="s">
        <v>5</v>
      </c>
      <c r="B42" t="s">
        <v>31</v>
      </c>
      <c r="C42" t="s">
        <v>50</v>
      </c>
      <c r="D42" t="s">
        <v>32</v>
      </c>
      <c r="E42" t="s">
        <v>31</v>
      </c>
      <c r="F42" t="s">
        <v>51</v>
      </c>
      <c r="G42" t="s">
        <v>32</v>
      </c>
      <c r="H42" t="s">
        <v>31</v>
      </c>
      <c r="I42" t="s">
        <v>52</v>
      </c>
      <c r="J42" t="s">
        <v>32</v>
      </c>
      <c r="K42" t="s">
        <v>31</v>
      </c>
      <c r="L42" t="s">
        <v>122</v>
      </c>
      <c r="M42" t="s">
        <v>32</v>
      </c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9" spans="1:13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</row>
    <row r="53" spans="1:13" x14ac:dyDescent="0.2">
      <c r="A53" s="1"/>
      <c r="B53">
        <f>+B7+B20</f>
        <v>0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34" t="s">
        <v>5</v>
      </c>
      <c r="B56" s="34" t="s">
        <v>31</v>
      </c>
      <c r="C56" s="34" t="s">
        <v>50</v>
      </c>
      <c r="D56" s="34" t="s">
        <v>32</v>
      </c>
      <c r="E56" s="34" t="s">
        <v>123</v>
      </c>
      <c r="F56" s="34" t="s">
        <v>51</v>
      </c>
      <c r="G56" s="34" t="s">
        <v>124</v>
      </c>
      <c r="H56" s="34" t="s">
        <v>125</v>
      </c>
      <c r="I56" s="34" t="s">
        <v>52</v>
      </c>
      <c r="J56" s="34" t="s">
        <v>126</v>
      </c>
      <c r="K56" s="34" t="s">
        <v>127</v>
      </c>
      <c r="L56" s="34" t="s">
        <v>122</v>
      </c>
      <c r="M56" s="34" t="s">
        <v>128</v>
      </c>
    </row>
    <row r="57" spans="1:13" x14ac:dyDescent="0.2">
      <c r="A57">
        <v>0</v>
      </c>
      <c r="B57">
        <v>110259.4</v>
      </c>
      <c r="C57">
        <v>124.11</v>
      </c>
      <c r="D57">
        <v>61.79</v>
      </c>
      <c r="E57">
        <v>110259.4</v>
      </c>
      <c r="F57">
        <v>32.42</v>
      </c>
      <c r="G57">
        <v>15.83</v>
      </c>
      <c r="H57">
        <v>110259.4</v>
      </c>
      <c r="I57">
        <v>1.925</v>
      </c>
      <c r="J57">
        <v>0.96699999999999997</v>
      </c>
      <c r="K57">
        <v>110259.4</v>
      </c>
      <c r="L57">
        <v>0.91</v>
      </c>
      <c r="M57">
        <v>0.14399999999999999</v>
      </c>
    </row>
    <row r="58" spans="1:13" x14ac:dyDescent="0.2">
      <c r="A58">
        <v>20</v>
      </c>
      <c r="B58">
        <v>109390</v>
      </c>
      <c r="C58">
        <v>124.95</v>
      </c>
      <c r="D58">
        <v>61.31</v>
      </c>
      <c r="E58">
        <v>109390</v>
      </c>
      <c r="F58">
        <v>32.65</v>
      </c>
      <c r="G58">
        <v>15.69</v>
      </c>
      <c r="H58">
        <v>109390</v>
      </c>
      <c r="I58">
        <v>1.9379999999999999</v>
      </c>
      <c r="J58">
        <v>0.96</v>
      </c>
      <c r="K58">
        <v>109390</v>
      </c>
      <c r="L58">
        <v>0.91100000000000003</v>
      </c>
      <c r="M58">
        <v>0.14499999999999999</v>
      </c>
    </row>
    <row r="59" spans="1:13" x14ac:dyDescent="0.2">
      <c r="A59">
        <v>40</v>
      </c>
      <c r="B59">
        <v>99337.4</v>
      </c>
      <c r="C59">
        <v>134.24</v>
      </c>
      <c r="D59">
        <v>56.54</v>
      </c>
      <c r="E59">
        <v>99337.4</v>
      </c>
      <c r="F59">
        <v>35.01</v>
      </c>
      <c r="G59">
        <v>14.48</v>
      </c>
      <c r="H59">
        <v>99337.4</v>
      </c>
      <c r="I59">
        <v>2.0830000000000002</v>
      </c>
      <c r="J59">
        <v>0.88700000000000001</v>
      </c>
      <c r="K59">
        <v>99337.4</v>
      </c>
      <c r="L59">
        <v>0.92100000000000004</v>
      </c>
      <c r="M59">
        <v>0.14699999999999999</v>
      </c>
    </row>
    <row r="60" spans="1:13" x14ac:dyDescent="0.2">
      <c r="A60">
        <v>60</v>
      </c>
      <c r="B60">
        <v>80447.199999999997</v>
      </c>
      <c r="C60">
        <v>154.31</v>
      </c>
      <c r="D60">
        <v>42.72</v>
      </c>
      <c r="E60">
        <v>80447.199999999997</v>
      </c>
      <c r="F60">
        <v>40.18</v>
      </c>
      <c r="G60">
        <v>10.73</v>
      </c>
      <c r="H60">
        <v>80447.199999999997</v>
      </c>
      <c r="I60">
        <v>2.395</v>
      </c>
      <c r="J60">
        <v>0.67600000000000005</v>
      </c>
      <c r="K60">
        <v>80447.199999999997</v>
      </c>
      <c r="L60">
        <v>0.94399999999999995</v>
      </c>
      <c r="M60">
        <v>0.153</v>
      </c>
    </row>
    <row r="61" spans="1:13" x14ac:dyDescent="0.2">
      <c r="A61">
        <v>87.7</v>
      </c>
      <c r="B61">
        <v>72906.3</v>
      </c>
      <c r="C61">
        <v>162.83000000000001</v>
      </c>
      <c r="D61">
        <v>35.130000000000003</v>
      </c>
      <c r="E61">
        <v>72906.3</v>
      </c>
      <c r="F61">
        <v>42.19</v>
      </c>
      <c r="G61">
        <v>9.1199999999999992</v>
      </c>
      <c r="H61">
        <v>72906.3</v>
      </c>
      <c r="I61">
        <v>2.5299999999999998</v>
      </c>
      <c r="J61">
        <v>0.55600000000000005</v>
      </c>
      <c r="K61">
        <v>72906.3</v>
      </c>
      <c r="L61">
        <v>0.95899999999999996</v>
      </c>
      <c r="M61">
        <v>0.153</v>
      </c>
    </row>
    <row r="62" spans="1:13" x14ac:dyDescent="0.2">
      <c r="A62">
        <v>90</v>
      </c>
      <c r="B62">
        <v>72404.600000000006</v>
      </c>
      <c r="C62">
        <v>163.34</v>
      </c>
      <c r="D62">
        <v>34.71</v>
      </c>
      <c r="E62">
        <v>72404.600000000006</v>
      </c>
      <c r="F62">
        <v>42.31</v>
      </c>
      <c r="G62">
        <v>9.0399999999999991</v>
      </c>
      <c r="H62">
        <v>72404.600000000006</v>
      </c>
      <c r="I62">
        <v>2.5379999999999998</v>
      </c>
      <c r="J62">
        <v>0.54900000000000004</v>
      </c>
      <c r="K62">
        <v>72404.600000000006</v>
      </c>
      <c r="L62">
        <v>0.96</v>
      </c>
      <c r="M62">
        <v>0.153</v>
      </c>
    </row>
    <row r="63" spans="1:13" x14ac:dyDescent="0.2">
      <c r="A63">
        <v>100</v>
      </c>
      <c r="B63">
        <v>69503.3</v>
      </c>
      <c r="C63">
        <v>166.18</v>
      </c>
      <c r="D63">
        <v>32.46</v>
      </c>
      <c r="E63">
        <v>69503.3</v>
      </c>
      <c r="F63">
        <v>42.95</v>
      </c>
      <c r="G63">
        <v>8.64</v>
      </c>
      <c r="H63">
        <v>69503.3</v>
      </c>
      <c r="I63">
        <v>2.5830000000000002</v>
      </c>
      <c r="J63">
        <v>0.51200000000000001</v>
      </c>
      <c r="K63">
        <v>69503.3</v>
      </c>
      <c r="L63">
        <v>0.96599999999999997</v>
      </c>
      <c r="M63">
        <v>0.153</v>
      </c>
    </row>
    <row r="64" spans="1:13" x14ac:dyDescent="0.2">
      <c r="A64">
        <v>200</v>
      </c>
      <c r="B64">
        <v>7441</v>
      </c>
      <c r="C64">
        <v>216.38</v>
      </c>
      <c r="D64">
        <v>11.21</v>
      </c>
      <c r="E64">
        <v>7441</v>
      </c>
      <c r="F64">
        <v>58.57</v>
      </c>
      <c r="G64">
        <v>4.8899999999999997</v>
      </c>
      <c r="H64">
        <v>7441</v>
      </c>
      <c r="I64">
        <v>3.33</v>
      </c>
      <c r="J64">
        <v>0.158</v>
      </c>
      <c r="K64">
        <v>7441</v>
      </c>
      <c r="L64">
        <v>1.173</v>
      </c>
      <c r="M64">
        <v>0.12</v>
      </c>
    </row>
    <row r="67" spans="1:5" x14ac:dyDescent="0.2">
      <c r="A67" s="1"/>
      <c r="B67">
        <f>+B7+B20+B33</f>
        <v>72906.3</v>
      </c>
    </row>
    <row r="68" spans="1:5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4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x14ac:dyDescent="0.2">
      <c r="A15" t="s">
        <v>5</v>
      </c>
      <c r="B15" t="s">
        <v>31</v>
      </c>
      <c r="C15" t="s">
        <v>50</v>
      </c>
      <c r="D15" t="s">
        <v>32</v>
      </c>
      <c r="E15" t="s">
        <v>31</v>
      </c>
      <c r="F15" t="s">
        <v>51</v>
      </c>
      <c r="G15" t="s">
        <v>32</v>
      </c>
      <c r="H15" t="s">
        <v>31</v>
      </c>
      <c r="I15" t="s">
        <v>52</v>
      </c>
      <c r="J15" t="s">
        <v>32</v>
      </c>
      <c r="K15" t="s">
        <v>31</v>
      </c>
      <c r="L15" t="s">
        <v>122</v>
      </c>
      <c r="M15" t="s">
        <v>32</v>
      </c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7" spans="1:13" x14ac:dyDescent="0.2">
      <c r="A27" s="5" t="s">
        <v>34</v>
      </c>
    </row>
    <row r="28" spans="1:13" ht="15" x14ac:dyDescent="0.2">
      <c r="A28" s="97" t="s">
        <v>5</v>
      </c>
      <c r="B28" s="97" t="s">
        <v>31</v>
      </c>
      <c r="C28" s="97" t="s">
        <v>50</v>
      </c>
      <c r="D28" s="97" t="s">
        <v>32</v>
      </c>
      <c r="E28" s="97" t="s">
        <v>123</v>
      </c>
      <c r="F28" s="97" t="s">
        <v>51</v>
      </c>
      <c r="G28" s="97" t="s">
        <v>124</v>
      </c>
      <c r="H28" s="97" t="s">
        <v>125</v>
      </c>
      <c r="I28" s="97" t="s">
        <v>52</v>
      </c>
      <c r="J28" s="97" t="s">
        <v>126</v>
      </c>
      <c r="K28" s="97" t="s">
        <v>127</v>
      </c>
      <c r="L28" s="97" t="s">
        <v>122</v>
      </c>
      <c r="M28" s="97" t="s">
        <v>128</v>
      </c>
    </row>
    <row r="29" spans="1:13" ht="15" x14ac:dyDescent="0.25">
      <c r="A29" s="96">
        <v>0</v>
      </c>
      <c r="B29" s="96">
        <v>249035</v>
      </c>
      <c r="C29" s="96">
        <v>120.63</v>
      </c>
      <c r="D29" s="96">
        <v>106.95</v>
      </c>
      <c r="E29" s="96">
        <v>249035</v>
      </c>
      <c r="F29" s="96">
        <v>43.55</v>
      </c>
      <c r="G29" s="96">
        <v>28.84</v>
      </c>
      <c r="H29" s="96">
        <v>249035</v>
      </c>
      <c r="I29" s="96">
        <v>1.7190000000000001</v>
      </c>
      <c r="J29" s="96">
        <v>1.7869999999999999</v>
      </c>
      <c r="K29" s="96">
        <v>249035</v>
      </c>
      <c r="L29" s="96">
        <v>2.5659999999999998</v>
      </c>
      <c r="M29" s="96">
        <v>1.365</v>
      </c>
    </row>
    <row r="30" spans="1:13" ht="15" x14ac:dyDescent="0.25">
      <c r="A30" s="96">
        <v>20</v>
      </c>
      <c r="B30" s="96">
        <v>232793.60000000001</v>
      </c>
      <c r="C30" s="96">
        <v>128.13999999999999</v>
      </c>
      <c r="D30" s="96">
        <v>106.64</v>
      </c>
      <c r="E30" s="96">
        <v>232793.60000000001</v>
      </c>
      <c r="F30" s="96">
        <v>46.17</v>
      </c>
      <c r="G30" s="96">
        <v>28.01</v>
      </c>
      <c r="H30" s="96">
        <v>232793.60000000001</v>
      </c>
      <c r="I30" s="96">
        <v>1.8280000000000001</v>
      </c>
      <c r="J30" s="96">
        <v>1.7989999999999999</v>
      </c>
      <c r="K30" s="96">
        <v>232793.60000000001</v>
      </c>
      <c r="L30" s="96">
        <v>2.4409999999999998</v>
      </c>
      <c r="M30" s="96">
        <v>1.3080000000000001</v>
      </c>
    </row>
    <row r="31" spans="1:13" ht="15" x14ac:dyDescent="0.25">
      <c r="A31" s="96">
        <v>40</v>
      </c>
      <c r="B31" s="96">
        <v>229244.7</v>
      </c>
      <c r="C31" s="96">
        <v>129.59</v>
      </c>
      <c r="D31" s="96">
        <v>106.81</v>
      </c>
      <c r="E31" s="96">
        <v>229244.7</v>
      </c>
      <c r="F31" s="96">
        <v>46.65</v>
      </c>
      <c r="G31" s="96">
        <v>27.94</v>
      </c>
      <c r="H31" s="96">
        <v>229244.7</v>
      </c>
      <c r="I31" s="96">
        <v>1.849</v>
      </c>
      <c r="J31" s="96">
        <v>1.8049999999999999</v>
      </c>
      <c r="K31" s="96">
        <v>229244.7</v>
      </c>
      <c r="L31" s="96">
        <v>2.4060000000000001</v>
      </c>
      <c r="M31" s="96">
        <v>1.2829999999999999</v>
      </c>
    </row>
    <row r="32" spans="1:13" ht="15" x14ac:dyDescent="0.25">
      <c r="A32" s="96">
        <v>60</v>
      </c>
      <c r="B32" s="96">
        <v>154584.9</v>
      </c>
      <c r="C32" s="96">
        <v>168.12</v>
      </c>
      <c r="D32" s="96">
        <v>111.15</v>
      </c>
      <c r="E32" s="96">
        <v>154584.9</v>
      </c>
      <c r="F32" s="96">
        <v>59.17</v>
      </c>
      <c r="G32" s="96">
        <v>25.87</v>
      </c>
      <c r="H32" s="96">
        <v>154584.9</v>
      </c>
      <c r="I32" s="96">
        <v>2.4159999999999999</v>
      </c>
      <c r="J32" s="96">
        <v>1.96</v>
      </c>
      <c r="K32" s="96">
        <v>154584.9</v>
      </c>
      <c r="L32" s="96">
        <v>1.7310000000000001</v>
      </c>
      <c r="M32" s="96">
        <v>0.85799999999999998</v>
      </c>
    </row>
    <row r="33" spans="1:13" ht="15" x14ac:dyDescent="0.25">
      <c r="A33" s="96">
        <v>87.7</v>
      </c>
      <c r="B33" s="96">
        <v>133837.1</v>
      </c>
      <c r="C33" s="96">
        <v>182.21</v>
      </c>
      <c r="D33" s="96">
        <v>113.02</v>
      </c>
      <c r="E33" s="96">
        <v>133837.1</v>
      </c>
      <c r="F33" s="96">
        <v>63.67</v>
      </c>
      <c r="G33" s="96">
        <v>24.87</v>
      </c>
      <c r="H33" s="96">
        <v>133837.1</v>
      </c>
      <c r="I33" s="96">
        <v>2.6240000000000001</v>
      </c>
      <c r="J33" s="96">
        <v>2.0270000000000001</v>
      </c>
      <c r="K33" s="96">
        <v>133837.1</v>
      </c>
      <c r="L33" s="96">
        <v>1.635</v>
      </c>
      <c r="M33" s="96">
        <v>0.753</v>
      </c>
    </row>
    <row r="34" spans="1:13" ht="15" x14ac:dyDescent="0.25">
      <c r="A34" s="96">
        <v>90</v>
      </c>
      <c r="B34" s="96">
        <v>126359.8</v>
      </c>
      <c r="C34" s="96">
        <v>187.73</v>
      </c>
      <c r="D34" s="96">
        <v>113.95</v>
      </c>
      <c r="E34" s="96">
        <v>126359.8</v>
      </c>
      <c r="F34" s="96">
        <v>65.44</v>
      </c>
      <c r="G34" s="96">
        <v>24.46</v>
      </c>
      <c r="H34" s="96">
        <v>126359.8</v>
      </c>
      <c r="I34" s="96">
        <v>2.7050000000000001</v>
      </c>
      <c r="J34" s="96">
        <v>2.0579999999999998</v>
      </c>
      <c r="K34" s="96">
        <v>126359.8</v>
      </c>
      <c r="L34" s="96">
        <v>1.619</v>
      </c>
      <c r="M34" s="96">
        <v>0.74</v>
      </c>
    </row>
    <row r="35" spans="1:13" ht="15" x14ac:dyDescent="0.25">
      <c r="A35" s="96">
        <v>100</v>
      </c>
      <c r="B35" s="96">
        <v>112944.5</v>
      </c>
      <c r="C35" s="96">
        <v>198.9</v>
      </c>
      <c r="D35" s="96">
        <v>115.55</v>
      </c>
      <c r="E35" s="96">
        <v>112944.5</v>
      </c>
      <c r="F35" s="96">
        <v>69.150000000000006</v>
      </c>
      <c r="G35" s="96">
        <v>23.15</v>
      </c>
      <c r="H35" s="96">
        <v>112944.5</v>
      </c>
      <c r="I35" s="96">
        <v>2.8679999999999999</v>
      </c>
      <c r="J35" s="96">
        <v>2.1179999999999999</v>
      </c>
      <c r="K35" s="96">
        <v>112944.5</v>
      </c>
      <c r="L35" s="96">
        <v>1.508</v>
      </c>
      <c r="M35" s="96">
        <v>0.62</v>
      </c>
    </row>
    <row r="36" spans="1:13" ht="15" x14ac:dyDescent="0.25">
      <c r="A36" s="96">
        <v>200</v>
      </c>
      <c r="B36" s="96">
        <v>20844.599999999999</v>
      </c>
      <c r="C36" s="96">
        <v>423.73</v>
      </c>
      <c r="D36" s="96">
        <v>87.25</v>
      </c>
      <c r="E36" s="96">
        <v>20844.599999999999</v>
      </c>
      <c r="F36" s="96">
        <v>74.099999999999994</v>
      </c>
      <c r="G36" s="96">
        <v>13.88</v>
      </c>
      <c r="H36" s="96">
        <v>20844.599999999999</v>
      </c>
      <c r="I36" s="96">
        <v>7.0309999999999997</v>
      </c>
      <c r="J36" s="96">
        <v>1.5</v>
      </c>
      <c r="K36" s="96">
        <v>20844.599999999999</v>
      </c>
      <c r="L36" s="96">
        <v>0.95099999999999996</v>
      </c>
      <c r="M36" s="96">
        <v>0.14899999999999999</v>
      </c>
    </row>
    <row r="37" spans="1:13" ht="15" x14ac:dyDescent="0.25">
      <c r="A37" s="96">
        <v>300</v>
      </c>
      <c r="B37" s="96">
        <v>17121.8</v>
      </c>
      <c r="C37" s="96">
        <v>457.64</v>
      </c>
      <c r="D37" s="96">
        <v>51.43</v>
      </c>
      <c r="E37" s="96">
        <v>17121.8</v>
      </c>
      <c r="F37" s="96">
        <v>78.099999999999994</v>
      </c>
      <c r="G37" s="96">
        <v>10.32</v>
      </c>
      <c r="H37" s="96">
        <v>17121.8</v>
      </c>
      <c r="I37" s="96">
        <v>7.6189999999999998</v>
      </c>
      <c r="J37" s="96">
        <v>0.873</v>
      </c>
      <c r="K37" s="96">
        <v>17121.8</v>
      </c>
      <c r="L37" s="96">
        <v>0.94599999999999995</v>
      </c>
      <c r="M37" s="96">
        <v>0.13300000000000001</v>
      </c>
    </row>
    <row r="38" spans="1:13" ht="15" x14ac:dyDescent="0.25">
      <c r="A38" s="96">
        <v>400</v>
      </c>
      <c r="B38" s="96">
        <v>14614.9</v>
      </c>
      <c r="C38" s="96">
        <v>476.86</v>
      </c>
      <c r="D38" s="96">
        <v>20.03</v>
      </c>
      <c r="E38" s="96">
        <v>14614.9</v>
      </c>
      <c r="F38" s="96">
        <v>81.31</v>
      </c>
      <c r="G38" s="96">
        <v>6.6</v>
      </c>
      <c r="H38" s="96">
        <v>14614.9</v>
      </c>
      <c r="I38" s="96">
        <v>7.9390000000000001</v>
      </c>
      <c r="J38" s="96">
        <v>0.36299999999999999</v>
      </c>
      <c r="K38" s="96">
        <v>14614.9</v>
      </c>
      <c r="L38" s="96">
        <v>0.96399999999999997</v>
      </c>
      <c r="M38" s="96">
        <v>0.129</v>
      </c>
    </row>
    <row r="41" spans="1:13" x14ac:dyDescent="0.2">
      <c r="A41" s="5" t="s">
        <v>35</v>
      </c>
    </row>
    <row r="42" spans="1:13" x14ac:dyDescent="0.2">
      <c r="A42" t="s">
        <v>5</v>
      </c>
      <c r="B42" t="s">
        <v>31</v>
      </c>
      <c r="C42" t="s">
        <v>50</v>
      </c>
      <c r="D42" t="s">
        <v>32</v>
      </c>
      <c r="E42" t="s">
        <v>31</v>
      </c>
      <c r="F42" t="s">
        <v>51</v>
      </c>
      <c r="G42" t="s">
        <v>32</v>
      </c>
      <c r="H42" t="s">
        <v>31</v>
      </c>
      <c r="I42" t="s">
        <v>52</v>
      </c>
      <c r="J42" t="s">
        <v>32</v>
      </c>
      <c r="K42" t="s">
        <v>31</v>
      </c>
      <c r="L42" t="s">
        <v>122</v>
      </c>
      <c r="M42" t="s">
        <v>32</v>
      </c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3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</row>
    <row r="53" spans="1:13" x14ac:dyDescent="0.2">
      <c r="A53" s="1"/>
      <c r="B53">
        <f>+B7+B20</f>
        <v>0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99" t="s">
        <v>5</v>
      </c>
      <c r="B56" s="99" t="s">
        <v>31</v>
      </c>
      <c r="C56" s="99" t="s">
        <v>50</v>
      </c>
      <c r="D56" s="99" t="s">
        <v>32</v>
      </c>
      <c r="E56" s="99" t="s">
        <v>123</v>
      </c>
      <c r="F56" s="99" t="s">
        <v>51</v>
      </c>
      <c r="G56" s="99" t="s">
        <v>124</v>
      </c>
      <c r="H56" s="99" t="s">
        <v>125</v>
      </c>
      <c r="I56" s="99" t="s">
        <v>52</v>
      </c>
      <c r="J56" s="99" t="s">
        <v>126</v>
      </c>
      <c r="K56" s="99" t="s">
        <v>127</v>
      </c>
      <c r="L56" s="99" t="s">
        <v>122</v>
      </c>
      <c r="M56" s="99" t="s">
        <v>128</v>
      </c>
    </row>
    <row r="57" spans="1:13" ht="15" x14ac:dyDescent="0.25">
      <c r="A57" s="98">
        <v>0</v>
      </c>
      <c r="B57" s="98">
        <v>249035</v>
      </c>
      <c r="C57" s="98">
        <v>120.63</v>
      </c>
      <c r="D57" s="98">
        <v>106.95</v>
      </c>
      <c r="E57" s="98">
        <v>249035</v>
      </c>
      <c r="F57" s="98">
        <v>43.55</v>
      </c>
      <c r="G57" s="98">
        <v>28.84</v>
      </c>
      <c r="H57" s="98">
        <v>249035</v>
      </c>
      <c r="I57" s="98">
        <v>1.7190000000000001</v>
      </c>
      <c r="J57" s="98">
        <v>1.7869999999999999</v>
      </c>
      <c r="K57" s="98">
        <v>249035</v>
      </c>
      <c r="L57" s="98">
        <v>2.5659999999999998</v>
      </c>
      <c r="M57" s="98">
        <v>1.365</v>
      </c>
    </row>
    <row r="58" spans="1:13" ht="15" x14ac:dyDescent="0.25">
      <c r="A58" s="98">
        <v>20</v>
      </c>
      <c r="B58" s="98">
        <v>232793.60000000001</v>
      </c>
      <c r="C58" s="98">
        <v>128.13999999999999</v>
      </c>
      <c r="D58" s="98">
        <v>106.64</v>
      </c>
      <c r="E58" s="98">
        <v>232793.60000000001</v>
      </c>
      <c r="F58" s="98">
        <v>46.17</v>
      </c>
      <c r="G58" s="98">
        <v>28.01</v>
      </c>
      <c r="H58" s="98">
        <v>232793.60000000001</v>
      </c>
      <c r="I58" s="98">
        <v>1.8280000000000001</v>
      </c>
      <c r="J58" s="98">
        <v>1.7989999999999999</v>
      </c>
      <c r="K58" s="98">
        <v>232793.60000000001</v>
      </c>
      <c r="L58" s="98">
        <v>2.4409999999999998</v>
      </c>
      <c r="M58" s="98">
        <v>1.3080000000000001</v>
      </c>
    </row>
    <row r="59" spans="1:13" ht="15" x14ac:dyDescent="0.25">
      <c r="A59" s="98">
        <v>40</v>
      </c>
      <c r="B59" s="98">
        <v>229244.7</v>
      </c>
      <c r="C59" s="98">
        <v>129.59</v>
      </c>
      <c r="D59" s="98">
        <v>106.81</v>
      </c>
      <c r="E59" s="98">
        <v>229244.7</v>
      </c>
      <c r="F59" s="98">
        <v>46.65</v>
      </c>
      <c r="G59" s="98">
        <v>27.94</v>
      </c>
      <c r="H59" s="98">
        <v>229244.7</v>
      </c>
      <c r="I59" s="98">
        <v>1.849</v>
      </c>
      <c r="J59" s="98">
        <v>1.8049999999999999</v>
      </c>
      <c r="K59" s="98">
        <v>229244.7</v>
      </c>
      <c r="L59" s="98">
        <v>2.4060000000000001</v>
      </c>
      <c r="M59" s="98">
        <v>1.2829999999999999</v>
      </c>
    </row>
    <row r="60" spans="1:13" ht="15" x14ac:dyDescent="0.25">
      <c r="A60" s="98">
        <v>60</v>
      </c>
      <c r="B60" s="98">
        <v>154584.9</v>
      </c>
      <c r="C60" s="98">
        <v>168.12</v>
      </c>
      <c r="D60" s="98">
        <v>111.15</v>
      </c>
      <c r="E60" s="98">
        <v>154584.9</v>
      </c>
      <c r="F60" s="98">
        <v>59.17</v>
      </c>
      <c r="G60" s="98">
        <v>25.87</v>
      </c>
      <c r="H60" s="98">
        <v>154584.9</v>
      </c>
      <c r="I60" s="98">
        <v>2.4159999999999999</v>
      </c>
      <c r="J60" s="98">
        <v>1.96</v>
      </c>
      <c r="K60" s="98">
        <v>154584.9</v>
      </c>
      <c r="L60" s="98">
        <v>1.7310000000000001</v>
      </c>
      <c r="M60" s="98">
        <v>0.85799999999999998</v>
      </c>
    </row>
    <row r="61" spans="1:13" ht="15" x14ac:dyDescent="0.25">
      <c r="A61" s="98">
        <v>87.7</v>
      </c>
      <c r="B61" s="98">
        <v>133837.1</v>
      </c>
      <c r="C61" s="98">
        <v>182.21</v>
      </c>
      <c r="D61" s="98">
        <v>113.02</v>
      </c>
      <c r="E61" s="98">
        <v>133837.1</v>
      </c>
      <c r="F61" s="98">
        <v>63.67</v>
      </c>
      <c r="G61" s="98">
        <v>24.87</v>
      </c>
      <c r="H61" s="98">
        <v>133837.1</v>
      </c>
      <c r="I61" s="98">
        <v>2.6240000000000001</v>
      </c>
      <c r="J61" s="98">
        <v>2.0270000000000001</v>
      </c>
      <c r="K61" s="98">
        <v>133837.1</v>
      </c>
      <c r="L61" s="98">
        <v>1.635</v>
      </c>
      <c r="M61" s="98">
        <v>0.753</v>
      </c>
    </row>
    <row r="62" spans="1:13" ht="15" x14ac:dyDescent="0.25">
      <c r="A62" s="98">
        <v>90</v>
      </c>
      <c r="B62" s="98">
        <v>126359.8</v>
      </c>
      <c r="C62" s="98">
        <v>187.73</v>
      </c>
      <c r="D62" s="98">
        <v>113.95</v>
      </c>
      <c r="E62" s="98">
        <v>126359.8</v>
      </c>
      <c r="F62" s="98">
        <v>65.44</v>
      </c>
      <c r="G62" s="98">
        <v>24.46</v>
      </c>
      <c r="H62" s="98">
        <v>126359.8</v>
      </c>
      <c r="I62" s="98">
        <v>2.7050000000000001</v>
      </c>
      <c r="J62" s="98">
        <v>2.0579999999999998</v>
      </c>
      <c r="K62" s="98">
        <v>126359.8</v>
      </c>
      <c r="L62" s="98">
        <v>1.619</v>
      </c>
      <c r="M62" s="98">
        <v>0.74</v>
      </c>
    </row>
    <row r="63" spans="1:13" ht="15" x14ac:dyDescent="0.25">
      <c r="A63" s="98">
        <v>100</v>
      </c>
      <c r="B63" s="98">
        <v>112944.5</v>
      </c>
      <c r="C63" s="98">
        <v>198.9</v>
      </c>
      <c r="D63" s="98">
        <v>115.55</v>
      </c>
      <c r="E63" s="98">
        <v>112944.5</v>
      </c>
      <c r="F63" s="98">
        <v>69.150000000000006</v>
      </c>
      <c r="G63" s="98">
        <v>23.15</v>
      </c>
      <c r="H63" s="98">
        <v>112944.5</v>
      </c>
      <c r="I63" s="98">
        <v>2.8679999999999999</v>
      </c>
      <c r="J63" s="98">
        <v>2.1179999999999999</v>
      </c>
      <c r="K63" s="98">
        <v>112944.5</v>
      </c>
      <c r="L63" s="98">
        <v>1.508</v>
      </c>
      <c r="M63" s="98">
        <v>0.62</v>
      </c>
    </row>
    <row r="64" spans="1:13" ht="15" x14ac:dyDescent="0.25">
      <c r="A64" s="98">
        <v>200</v>
      </c>
      <c r="B64" s="98">
        <v>20844.599999999999</v>
      </c>
      <c r="C64" s="98">
        <v>423.73</v>
      </c>
      <c r="D64" s="98">
        <v>87.25</v>
      </c>
      <c r="E64" s="98">
        <v>20844.599999999999</v>
      </c>
      <c r="F64" s="98">
        <v>74.099999999999994</v>
      </c>
      <c r="G64" s="98">
        <v>13.88</v>
      </c>
      <c r="H64" s="98">
        <v>20844.599999999999</v>
      </c>
      <c r="I64" s="98">
        <v>7.0309999999999997</v>
      </c>
      <c r="J64" s="98">
        <v>1.5</v>
      </c>
      <c r="K64" s="98">
        <v>20844.599999999999</v>
      </c>
      <c r="L64" s="98">
        <v>0.95099999999999996</v>
      </c>
      <c r="M64" s="98">
        <v>0.14899999999999999</v>
      </c>
    </row>
    <row r="65" spans="1:13" ht="15" x14ac:dyDescent="0.25">
      <c r="A65" s="98">
        <v>300</v>
      </c>
      <c r="B65" s="98">
        <v>17121.8</v>
      </c>
      <c r="C65" s="98">
        <v>457.64</v>
      </c>
      <c r="D65" s="98">
        <v>51.43</v>
      </c>
      <c r="E65" s="98">
        <v>17121.8</v>
      </c>
      <c r="F65" s="98">
        <v>78.099999999999994</v>
      </c>
      <c r="G65" s="98">
        <v>10.32</v>
      </c>
      <c r="H65" s="98">
        <v>17121.8</v>
      </c>
      <c r="I65" s="98">
        <v>7.6189999999999998</v>
      </c>
      <c r="J65" s="98">
        <v>0.873</v>
      </c>
      <c r="K65" s="98">
        <v>17121.8</v>
      </c>
      <c r="L65" s="98">
        <v>0.94599999999999995</v>
      </c>
      <c r="M65" s="98">
        <v>0.13300000000000001</v>
      </c>
    </row>
    <row r="66" spans="1:13" ht="15" x14ac:dyDescent="0.25">
      <c r="A66" s="98">
        <v>400</v>
      </c>
      <c r="B66" s="98">
        <v>14614.9</v>
      </c>
      <c r="C66" s="98">
        <v>476.86</v>
      </c>
      <c r="D66" s="98">
        <v>20.03</v>
      </c>
      <c r="E66" s="98">
        <v>14614.9</v>
      </c>
      <c r="F66" s="98">
        <v>81.31</v>
      </c>
      <c r="G66" s="98">
        <v>6.6</v>
      </c>
      <c r="H66" s="98">
        <v>14614.9</v>
      </c>
      <c r="I66" s="98">
        <v>7.9390000000000001</v>
      </c>
      <c r="J66" s="98">
        <v>0.36299999999999999</v>
      </c>
      <c r="K66" s="98">
        <v>14614.9</v>
      </c>
      <c r="L66" s="98">
        <v>0.96399999999999997</v>
      </c>
      <c r="M66" s="98">
        <v>0.129</v>
      </c>
    </row>
    <row r="67" spans="1:13" x14ac:dyDescent="0.2">
      <c r="A67" s="1"/>
      <c r="B67">
        <f>+B7+B20+B33</f>
        <v>133837.1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U421"/>
  <sheetViews>
    <sheetView tabSelected="1" workbookViewId="0">
      <pane ySplit="6" topLeftCell="A48" activePane="bottomLeft" state="frozen"/>
      <selection pane="bottomLeft" activeCell="F223" sqref="F222:F223"/>
    </sheetView>
  </sheetViews>
  <sheetFormatPr baseColWidth="10" defaultRowHeight="12.75" x14ac:dyDescent="0.2"/>
  <cols>
    <col min="1" max="1" width="24.85546875" customWidth="1"/>
    <col min="2" max="2" width="18.5703125" customWidth="1"/>
    <col min="3" max="3" width="12.28515625" customWidth="1"/>
    <col min="4" max="4" width="11.140625" customWidth="1"/>
  </cols>
  <sheetData>
    <row r="1" spans="1:99" ht="15.75" x14ac:dyDescent="0.25">
      <c r="A1" s="8" t="s">
        <v>129</v>
      </c>
      <c r="B1" s="9"/>
      <c r="C1" s="9"/>
      <c r="D1" s="9"/>
      <c r="E1" s="9"/>
      <c r="F1" s="9"/>
      <c r="G1" s="9"/>
      <c r="H1" s="9"/>
      <c r="I1" s="9"/>
      <c r="J1" s="9"/>
      <c r="K1" s="22"/>
      <c r="L1" s="9"/>
      <c r="M1" s="22"/>
      <c r="N1" s="9"/>
      <c r="O1" s="22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</row>
    <row r="2" spans="1:99" x14ac:dyDescent="0.2">
      <c r="A2" s="30" t="s">
        <v>130</v>
      </c>
      <c r="B2" s="9"/>
      <c r="C2" s="9"/>
      <c r="D2" s="9"/>
      <c r="E2" s="9"/>
      <c r="F2" s="9"/>
      <c r="G2" s="9"/>
      <c r="H2" s="9"/>
      <c r="I2" s="9"/>
      <c r="J2" s="9"/>
      <c r="K2" s="22"/>
      <c r="L2" s="9"/>
      <c r="M2" s="22"/>
      <c r="N2" s="9"/>
      <c r="O2" s="22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</row>
    <row r="3" spans="1:99" x14ac:dyDescent="0.2">
      <c r="A3" s="9"/>
      <c r="B3" s="9"/>
      <c r="C3" s="9"/>
      <c r="D3" s="9"/>
      <c r="E3" s="9"/>
      <c r="F3" s="9"/>
      <c r="G3" s="9"/>
      <c r="H3" s="10" t="s">
        <v>121</v>
      </c>
      <c r="I3" s="9"/>
      <c r="J3" s="9"/>
      <c r="K3" s="22"/>
      <c r="L3" s="9"/>
      <c r="M3" s="22"/>
      <c r="N3" s="9"/>
      <c r="O3" s="22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</row>
    <row r="4" spans="1:99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22"/>
      <c r="L4" s="9"/>
      <c r="M4" s="22"/>
      <c r="N4" s="9"/>
      <c r="O4" s="2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</row>
    <row r="5" spans="1:99" x14ac:dyDescent="0.2">
      <c r="A5" s="25" t="s">
        <v>4</v>
      </c>
      <c r="B5" s="25" t="s">
        <v>6</v>
      </c>
      <c r="C5" s="24" t="s">
        <v>7</v>
      </c>
      <c r="D5" s="24" t="s">
        <v>49</v>
      </c>
      <c r="E5" s="24" t="s">
        <v>8</v>
      </c>
      <c r="F5" s="24" t="s">
        <v>9</v>
      </c>
      <c r="G5" s="24" t="s">
        <v>10</v>
      </c>
      <c r="H5" s="24" t="s">
        <v>10</v>
      </c>
      <c r="I5" s="9"/>
      <c r="J5" s="9"/>
      <c r="K5" s="22"/>
      <c r="L5" s="9"/>
      <c r="M5" s="22"/>
      <c r="N5" s="9"/>
      <c r="O5" s="2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</row>
    <row r="6" spans="1:99" x14ac:dyDescent="0.2">
      <c r="A6" s="33"/>
      <c r="B6" s="10"/>
      <c r="C6" s="10" t="s">
        <v>11</v>
      </c>
      <c r="D6" s="10" t="s">
        <v>120</v>
      </c>
      <c r="E6" s="10" t="s">
        <v>12</v>
      </c>
      <c r="F6" s="10" t="s">
        <v>12</v>
      </c>
      <c r="G6" s="10" t="s">
        <v>12</v>
      </c>
      <c r="H6" s="10" t="s">
        <v>13</v>
      </c>
      <c r="I6" s="9"/>
      <c r="J6" s="9"/>
      <c r="K6" s="22"/>
      <c r="L6" s="9"/>
      <c r="M6" s="22"/>
      <c r="N6" s="9"/>
      <c r="O6" s="2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</row>
    <row r="7" spans="1:99" x14ac:dyDescent="0.2">
      <c r="A7" s="22" t="s">
        <v>97</v>
      </c>
      <c r="B7" s="9" t="s">
        <v>0</v>
      </c>
      <c r="C7" s="9">
        <f>IFERROR(VLOOKUP(A7,'Reporte Total'!$A$2:$V$157,3,FALSE),0)</f>
        <v>171839.7</v>
      </c>
      <c r="D7" s="22">
        <f>IFERROR(VLOOKUP(A7,'Reporte Total'!$A$2:$V$157,7,FALSE),0)</f>
        <v>2.4209999999999998</v>
      </c>
      <c r="E7" s="9">
        <f>IFERROR(VLOOKUP(A7,'Reporte Total'!$A$2:$V$157,4,FALSE),0)</f>
        <v>59.61</v>
      </c>
      <c r="F7" s="22">
        <f>IFERROR(VLOOKUP(A7,'Reporte Total'!$A$2:$V$157,5,FALSE),0)</f>
        <v>2.85</v>
      </c>
      <c r="G7" s="9">
        <f>+E7+F7*$B$321</f>
        <v>273.36</v>
      </c>
      <c r="H7" s="22">
        <f t="shared" ref="H7:H10" si="0">+C7*G7/31.1035/1000000</f>
        <v>1.5102512705001045</v>
      </c>
      <c r="I7" s="9"/>
      <c r="J7" s="9"/>
      <c r="K7" s="22"/>
      <c r="L7" s="9"/>
      <c r="M7" s="22"/>
      <c r="N7" s="9"/>
      <c r="O7" s="2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</row>
    <row r="8" spans="1:99" x14ac:dyDescent="0.2">
      <c r="A8" s="22"/>
      <c r="B8" s="9" t="s">
        <v>1</v>
      </c>
      <c r="C8" s="9">
        <f>IFERROR(VLOOKUP(A7,'Reporte Total'!$A$2:$V$157,8,FALSE),0)</f>
        <v>509826</v>
      </c>
      <c r="D8" s="22">
        <f>IFERROR(VLOOKUP(A7,'Reporte Total'!$A$2:$V$157,12,FALSE),0)</f>
        <v>1.8340000000000001</v>
      </c>
      <c r="E8" s="9">
        <f>IFERROR(VLOOKUP(A7,'Reporte Total'!$A$2:$V$157,9,FALSE),0)</f>
        <v>49.37</v>
      </c>
      <c r="F8" s="22">
        <f>IFERROR(VLOOKUP(A7,'Reporte Total'!$A$2:$V$157,10,FALSE),0)</f>
        <v>2.6440000000000001</v>
      </c>
      <c r="G8" s="9">
        <f>+E8+F8*$B$321</f>
        <v>247.67000000000002</v>
      </c>
      <c r="H8" s="22">
        <f t="shared" si="0"/>
        <v>4.0596269043676756</v>
      </c>
      <c r="I8" s="9"/>
      <c r="J8" s="9"/>
      <c r="K8" s="22"/>
      <c r="L8" s="9"/>
      <c r="M8" s="22"/>
      <c r="N8" s="9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</row>
    <row r="9" spans="1:99" x14ac:dyDescent="0.2">
      <c r="A9" s="22"/>
      <c r="B9" s="9" t="s">
        <v>3</v>
      </c>
      <c r="C9" s="9">
        <f>+C7+C8</f>
        <v>681665.7</v>
      </c>
      <c r="D9" s="22">
        <f>IF(C9=0,0,(C7*D7+C8*D8)/C9)</f>
        <v>1.9819756189874305</v>
      </c>
      <c r="E9" s="35">
        <f>+IF(C9=0,0,(C7*E7+C8*E8)/C9)</f>
        <v>51.951380474329277</v>
      </c>
      <c r="F9" s="22">
        <f>+IF(C9=0,0,(C7*F7+C8*F8)/C9)</f>
        <v>2.6959301150109214</v>
      </c>
      <c r="G9" s="9">
        <f>+E9+F9*$B$321</f>
        <v>254.14613910014839</v>
      </c>
      <c r="H9" s="22">
        <f t="shared" si="0"/>
        <v>5.5698781748677799</v>
      </c>
      <c r="I9" s="9"/>
      <c r="J9" s="9"/>
      <c r="K9" s="22"/>
      <c r="L9" s="9"/>
      <c r="M9" s="22"/>
      <c r="N9" s="9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</row>
    <row r="10" spans="1:99" x14ac:dyDescent="0.2">
      <c r="A10" s="22"/>
      <c r="B10" s="9" t="s">
        <v>2</v>
      </c>
      <c r="C10" s="9">
        <f>IFERROR(VLOOKUP(A7,'Reporte Total'!$A$2:$V$157,13,FALSE),0)</f>
        <v>33908.199999999997</v>
      </c>
      <c r="D10" s="22">
        <f>IFERROR(VLOOKUP(A7,'Reporte Total'!$A$2:$V$157,17,FALSE),0)</f>
        <v>1.2130000000000001</v>
      </c>
      <c r="E10" s="9">
        <f>IFERROR(VLOOKUP(A7,'Reporte Total'!$A$2:$V$157,14,FALSE),0)</f>
        <v>66.59</v>
      </c>
      <c r="F10" s="22">
        <f>IFERROR(VLOOKUP(A7,'Reporte Total'!$A$2:$V$157,15,FALSE),0)</f>
        <v>2.3029999999999999</v>
      </c>
      <c r="G10" s="9">
        <f>+E10+F10*$B$321</f>
        <v>239.315</v>
      </c>
      <c r="H10" s="22">
        <f t="shared" si="0"/>
        <v>0.26089478299869784</v>
      </c>
      <c r="I10" s="9"/>
      <c r="J10" s="9"/>
      <c r="K10" s="22"/>
      <c r="L10" s="9"/>
      <c r="M10" s="22"/>
      <c r="N10" s="9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</row>
    <row r="11" spans="1:99" x14ac:dyDescent="0.2">
      <c r="A11" s="22" t="s">
        <v>76</v>
      </c>
      <c r="B11" s="9" t="s">
        <v>0</v>
      </c>
      <c r="C11" s="9">
        <f>IFERROR(VLOOKUP(A11,'Reporte Total'!$A$2:$V$157,3,FALSE),0)</f>
        <v>497615.336585382</v>
      </c>
      <c r="D11" s="22">
        <f>IFERROR(VLOOKUP(A11,'Reporte Total'!$A$2:$V$157,7,FALSE),0)</f>
        <v>5.0206940471438974</v>
      </c>
      <c r="E11" s="9">
        <f>IFERROR(VLOOKUP(A11,'Reporte Total'!$A$2:$V$157,4,FALSE),0)</f>
        <v>142.32204794947484</v>
      </c>
      <c r="F11" s="22">
        <f>IFERROR(VLOOKUP(A11,'Reporte Total'!$A$2:$V$157,5,FALSE),0)</f>
        <v>3.3770880534376539</v>
      </c>
      <c r="G11" s="9">
        <f>+E11+F11*$B$321</f>
        <v>395.60365195729889</v>
      </c>
      <c r="H11" s="22">
        <f t="shared" ref="H11:H14" si="1">+C11*G11/31.1035/1000000</f>
        <v>6.3291412356531449</v>
      </c>
      <c r="I11" s="9"/>
      <c r="J11" s="22"/>
      <c r="K11" s="9"/>
      <c r="L11" s="22"/>
      <c r="M11" s="22"/>
      <c r="N11" s="9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</row>
    <row r="12" spans="1:99" x14ac:dyDescent="0.2">
      <c r="A12" s="22"/>
      <c r="B12" s="9" t="s">
        <v>1</v>
      </c>
      <c r="C12" s="9">
        <f>IFERROR(VLOOKUP(A11,'Reporte Total'!$A$2:$V$157,8,FALSE),0)</f>
        <v>1100691.3981771413</v>
      </c>
      <c r="D12" s="22">
        <f>IFERROR(VLOOKUP(A11,'Reporte Total'!$A$2:$V$157,12,FALSE),0)</f>
        <v>5.5495921003132853</v>
      </c>
      <c r="E12" s="9">
        <f>IFERROR(VLOOKUP(A11,'Reporte Total'!$A$2:$V$157,9,FALSE),0)</f>
        <v>100.11973515301725</v>
      </c>
      <c r="F12" s="22">
        <f>IFERROR(VLOOKUP(A11,'Reporte Total'!$A$2:$V$157,10,FALSE),0)</f>
        <v>3.0916836320853953</v>
      </c>
      <c r="G12" s="9">
        <f>+E12+F12*$B$321</f>
        <v>331.99600755942186</v>
      </c>
      <c r="H12" s="22">
        <f t="shared" si="1"/>
        <v>11.748682616098151</v>
      </c>
      <c r="I12" s="9"/>
      <c r="J12" s="9"/>
      <c r="K12" s="22"/>
      <c r="L12" s="9"/>
      <c r="M12" s="22"/>
      <c r="N12" s="9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</row>
    <row r="13" spans="1:99" x14ac:dyDescent="0.2">
      <c r="A13" s="22"/>
      <c r="B13" s="9" t="s">
        <v>3</v>
      </c>
      <c r="C13" s="9">
        <f>+C11+C12</f>
        <v>1598306.7347625233</v>
      </c>
      <c r="D13" s="22">
        <f>IF(C13=0,0,(C11*D11+C12*D12)/C13)</f>
        <v>5.3849254709216856</v>
      </c>
      <c r="E13" s="35">
        <f>+IF(C13=0,0,(C11*E11+C12*E12)/C13)</f>
        <v>113.25896408206953</v>
      </c>
      <c r="F13" s="22">
        <f>+IF(C13=0,0,(C11*F11+C12*F12)/C13)</f>
        <v>3.1805411799548047</v>
      </c>
      <c r="G13" s="9">
        <f>+E13+F13*$B$321</f>
        <v>351.79955257867988</v>
      </c>
      <c r="H13" s="22">
        <f t="shared" si="1"/>
        <v>18.077823851751297</v>
      </c>
      <c r="I13" s="9"/>
      <c r="J13" s="9"/>
      <c r="K13" s="22"/>
      <c r="L13" s="9"/>
      <c r="M13" s="22"/>
      <c r="N13" s="9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</row>
    <row r="14" spans="1:99" x14ac:dyDescent="0.2">
      <c r="A14" s="22"/>
      <c r="B14" s="9" t="s">
        <v>2</v>
      </c>
      <c r="C14" s="9">
        <f>IFERROR(VLOOKUP(A11,'Reporte Total'!$A$2:$V$157,13,FALSE),0)</f>
        <v>359004.43715505674</v>
      </c>
      <c r="D14" s="22">
        <f>IFERROR(VLOOKUP(A11,'Reporte Total'!$A$2:$V$157,17,FALSE),0)</f>
        <v>2.1561980852511042</v>
      </c>
      <c r="E14" s="9">
        <f>IFERROR(VLOOKUP(A11,'Reporte Total'!$A$2:$V$157,14,FALSE),0)</f>
        <v>114.64880636369645</v>
      </c>
      <c r="F14" s="22">
        <f>IFERROR(VLOOKUP(A11,'Reporte Total'!$A$2:$V$157,15,FALSE),0)</f>
        <v>1.9051343732139145</v>
      </c>
      <c r="G14" s="9">
        <f>+E14+F14*$B$321</f>
        <v>257.53388435474005</v>
      </c>
      <c r="H14" s="22">
        <f t="shared" si="1"/>
        <v>2.9725210089259706</v>
      </c>
      <c r="I14" s="9"/>
      <c r="J14" s="9"/>
      <c r="K14" s="22"/>
      <c r="L14" s="9"/>
      <c r="M14" s="22"/>
      <c r="N14" s="9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</row>
    <row r="15" spans="1:99" x14ac:dyDescent="0.2">
      <c r="A15" s="22" t="s">
        <v>38</v>
      </c>
      <c r="B15" s="9" t="s">
        <v>0</v>
      </c>
      <c r="C15" s="9">
        <f>IFERROR(VLOOKUP(A15,'Reporte Total'!$A$2:$V$157,3,FALSE),0)</f>
        <v>0</v>
      </c>
      <c r="D15" s="22">
        <f>IFERROR(VLOOKUP(A15,'Reporte Total'!$A$2:$V$157,7,FALSE),0)</f>
        <v>0</v>
      </c>
      <c r="E15" s="9">
        <f>IFERROR(VLOOKUP(A15,'Reporte Total'!$A$2:$V$157,4,FALSE),0)</f>
        <v>0</v>
      </c>
      <c r="F15" s="22">
        <f>IFERROR(VLOOKUP(A15,'Reporte Total'!$A$2:$V$157,5,FALSE),0)</f>
        <v>0</v>
      </c>
      <c r="G15" s="9">
        <f>+E15+F15*$B$321</f>
        <v>0</v>
      </c>
      <c r="H15" s="22">
        <f t="shared" ref="H15:H38" si="2">+C15*G15/31.1035/1000000</f>
        <v>0</v>
      </c>
      <c r="I15" s="9"/>
      <c r="J15" s="9"/>
      <c r="K15" s="22"/>
      <c r="L15" s="9"/>
      <c r="M15" s="22"/>
      <c r="N15" s="9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</row>
    <row r="16" spans="1:99" x14ac:dyDescent="0.2">
      <c r="A16" s="22"/>
      <c r="B16" s="9" t="s">
        <v>1</v>
      </c>
      <c r="C16" s="9">
        <f>IFERROR(VLOOKUP(A15,'Reporte Total'!$A$2:$V$157,8,FALSE),0)</f>
        <v>0</v>
      </c>
      <c r="D16" s="22">
        <f>IFERROR(VLOOKUP(A15,'Reporte Total'!$A$2:$V$157,12,FALSE),0)</f>
        <v>0</v>
      </c>
      <c r="E16" s="9">
        <f>IFERROR(VLOOKUP(A15,'Reporte Total'!$A$2:$V$157,9,FALSE),0)</f>
        <v>0</v>
      </c>
      <c r="F16" s="22">
        <f>IFERROR(VLOOKUP(A15,'Reporte Total'!$A$2:$V$157,10,FALSE),0)</f>
        <v>0</v>
      </c>
      <c r="G16" s="9">
        <f>+E16+F16*$B$321</f>
        <v>0</v>
      </c>
      <c r="H16" s="22">
        <f t="shared" si="2"/>
        <v>0</v>
      </c>
      <c r="I16" s="9"/>
      <c r="J16" s="9"/>
      <c r="K16" s="22"/>
      <c r="L16" s="9"/>
      <c r="M16" s="22"/>
      <c r="N16" s="9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</row>
    <row r="17" spans="1:99" x14ac:dyDescent="0.2">
      <c r="A17" s="22"/>
      <c r="B17" s="9" t="s">
        <v>3</v>
      </c>
      <c r="C17" s="9">
        <f>+C15+C16</f>
        <v>0</v>
      </c>
      <c r="D17" s="22">
        <f>IF(C17=0,0,(C15*D15+C16*D16)/C17)</f>
        <v>0</v>
      </c>
      <c r="E17" s="35">
        <f>+IF(C17=0,0,(C15*E15+C16*E16)/C17)</f>
        <v>0</v>
      </c>
      <c r="F17" s="22">
        <f>+IF(C17=0,0,(C15*F15+C16*F16)/C17)</f>
        <v>0</v>
      </c>
      <c r="G17" s="9">
        <f>+E17+F17*$B$321</f>
        <v>0</v>
      </c>
      <c r="H17" s="22">
        <f t="shared" si="2"/>
        <v>0</v>
      </c>
      <c r="I17" s="9"/>
      <c r="J17" s="9"/>
      <c r="K17" s="22"/>
      <c r="L17" s="9"/>
      <c r="M17" s="22"/>
      <c r="N17" s="9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</row>
    <row r="18" spans="1:99" x14ac:dyDescent="0.2">
      <c r="A18" s="22"/>
      <c r="B18" s="9" t="s">
        <v>2</v>
      </c>
      <c r="C18" s="9">
        <f>IFERROR(VLOOKUP(A15,'Reporte Total'!$A$2:$V$157,13,FALSE),0)</f>
        <v>442133.5</v>
      </c>
      <c r="D18" s="22">
        <f>IFERROR(VLOOKUP(A15,'Reporte Total'!$A$2:$V$157,17,FALSE),0)</f>
        <v>2.0640000000000001</v>
      </c>
      <c r="E18" s="9">
        <f>IFERROR(VLOOKUP(A15,'Reporte Total'!$A$2:$V$157,14,FALSE),0)</f>
        <v>54.84</v>
      </c>
      <c r="F18" s="22">
        <f>IFERROR(VLOOKUP(A15,'Reporte Total'!$A$2:$V$157,15,FALSE),0)</f>
        <v>2.3820000000000001</v>
      </c>
      <c r="G18" s="9">
        <f>+E18+F18*$B$321</f>
        <v>233.49</v>
      </c>
      <c r="H18" s="22">
        <f t="shared" si="2"/>
        <v>3.3190396873342234</v>
      </c>
      <c r="I18" s="9"/>
      <c r="J18" s="9"/>
      <c r="K18" s="22"/>
      <c r="L18" s="9"/>
      <c r="M18" s="22"/>
      <c r="N18" s="9"/>
      <c r="O18" s="22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</row>
    <row r="19" spans="1:99" x14ac:dyDescent="0.2">
      <c r="A19" s="22" t="s">
        <v>39</v>
      </c>
      <c r="B19" s="9" t="s">
        <v>0</v>
      </c>
      <c r="C19" s="9">
        <f>IFERROR(VLOOKUP(A19,'Reporte Total'!$A$2:$V$157,3,FALSE),0)</f>
        <v>20509.2</v>
      </c>
      <c r="D19" s="22">
        <f>IFERROR(VLOOKUP(A19,'Reporte Total'!$A$2:$V$157,7,FALSE),0)</f>
        <v>1.7310000000000001</v>
      </c>
      <c r="E19" s="9">
        <f>IFERROR(VLOOKUP(A19,'Reporte Total'!$A$2:$V$157,4,FALSE),0)</f>
        <v>111.35</v>
      </c>
      <c r="F19" s="22">
        <f>IFERROR(VLOOKUP(A19,'Reporte Total'!$A$2:$V$157,5,FALSE),0)</f>
        <v>2.0089999999999999</v>
      </c>
      <c r="G19" s="9">
        <f>+E19+F19*$B$321</f>
        <v>262.02499999999998</v>
      </c>
      <c r="H19" s="22">
        <f t="shared" si="2"/>
        <v>0.17277551175912678</v>
      </c>
      <c r="I19" s="9"/>
      <c r="J19" s="9"/>
      <c r="K19" s="22"/>
      <c r="L19" s="9"/>
      <c r="M19" s="22"/>
      <c r="N19" s="9"/>
      <c r="O19" s="22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</row>
    <row r="20" spans="1:99" x14ac:dyDescent="0.2">
      <c r="A20" s="22"/>
      <c r="B20" s="9" t="s">
        <v>1</v>
      </c>
      <c r="C20" s="9">
        <f>IFERROR(VLOOKUP(A19,'Reporte Total'!$A$2:$V$157,8,FALSE),0)</f>
        <v>99327</v>
      </c>
      <c r="D20" s="22">
        <f>IFERROR(VLOOKUP(A19,'Reporte Total'!$A$2:$V$157,12,FALSE),0)</f>
        <v>1.786</v>
      </c>
      <c r="E20" s="9">
        <f>IFERROR(VLOOKUP(A19,'Reporte Total'!$A$2:$V$157,9,FALSE),0)</f>
        <v>98.72</v>
      </c>
      <c r="F20" s="22">
        <f>IFERROR(VLOOKUP(A19,'Reporte Total'!$A$2:$V$157,10,FALSE),0)</f>
        <v>2.0790000000000002</v>
      </c>
      <c r="G20" s="9">
        <f>+E20+F20*$B$321</f>
        <v>254.64500000000001</v>
      </c>
      <c r="H20" s="22">
        <f t="shared" si="2"/>
        <v>0.81319221036217793</v>
      </c>
      <c r="I20" s="9"/>
      <c r="J20" s="9"/>
      <c r="K20" s="22"/>
      <c r="L20" s="9"/>
      <c r="M20" s="22"/>
      <c r="N20" s="9"/>
      <c r="O20" s="22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</row>
    <row r="21" spans="1:99" x14ac:dyDescent="0.2">
      <c r="A21" s="22"/>
      <c r="B21" s="9" t="s">
        <v>3</v>
      </c>
      <c r="C21" s="9">
        <f>+C19+C20</f>
        <v>119836.2</v>
      </c>
      <c r="D21" s="22">
        <f>IF(C21=0,0,(C19*D19+C20*D20)/C21)</f>
        <v>1.776587101393402</v>
      </c>
      <c r="E21" s="35">
        <f>+IF(C21=0,0,(C19*E19+C20*E20)/C21)</f>
        <v>100.88154380729696</v>
      </c>
      <c r="F21" s="22">
        <f>+IF(C21=0,0,(C19*F19+C20*F20)/C21)</f>
        <v>2.0670199472279664</v>
      </c>
      <c r="G21" s="9">
        <f>+E21+F21*$B$321</f>
        <v>255.90803984939444</v>
      </c>
      <c r="H21" s="22">
        <f t="shared" si="2"/>
        <v>0.98596772212130468</v>
      </c>
      <c r="I21" s="9"/>
      <c r="J21" s="9"/>
      <c r="K21" s="22"/>
      <c r="L21" s="9"/>
      <c r="M21" s="22"/>
      <c r="N21" s="9"/>
      <c r="O21" s="22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 x14ac:dyDescent="0.2">
      <c r="A22" s="22"/>
      <c r="B22" s="9" t="s">
        <v>2</v>
      </c>
      <c r="C22" s="9">
        <f>IFERROR(VLOOKUP(A19,'Reporte Total'!$A$2:$V$157,13,FALSE),0)</f>
        <v>149394.4</v>
      </c>
      <c r="D22" s="22">
        <f>IFERROR(VLOOKUP(A19,'Reporte Total'!$A$2:$V$157,17,FALSE),0)</f>
        <v>1.268</v>
      </c>
      <c r="E22" s="9">
        <f>IFERROR(VLOOKUP(A19,'Reporte Total'!$A$2:$V$157,14,FALSE),0)</f>
        <v>136.22</v>
      </c>
      <c r="F22" s="22">
        <f>IFERROR(VLOOKUP(A19,'Reporte Total'!$A$2:$V$157,15,FALSE),0)</f>
        <v>1.754</v>
      </c>
      <c r="G22" s="9">
        <f>+E22+F22*$B$321</f>
        <v>267.77</v>
      </c>
      <c r="H22" s="22">
        <f t="shared" si="2"/>
        <v>1.2861362383011559</v>
      </c>
      <c r="I22" s="9"/>
      <c r="J22" s="9"/>
      <c r="K22" s="22"/>
      <c r="L22" s="9"/>
      <c r="M22" s="22"/>
      <c r="N22" s="9"/>
      <c r="O22" s="22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</row>
    <row r="23" spans="1:99" x14ac:dyDescent="0.2">
      <c r="A23" s="22" t="s">
        <v>37</v>
      </c>
      <c r="B23" s="30" t="s">
        <v>0</v>
      </c>
      <c r="C23" s="9">
        <f>IFERROR(VLOOKUP(A23,'Reporte Total'!$A$2:$V$157,3,FALSE),0)</f>
        <v>0</v>
      </c>
      <c r="D23" s="22">
        <f>IFERROR(VLOOKUP(A23,'Reporte Total'!$A$2:$V$157,7,FALSE),0)</f>
        <v>0</v>
      </c>
      <c r="E23" s="9">
        <f>IFERROR(VLOOKUP(A23,'Reporte Total'!$A$2:$V$157,4,FALSE),0)</f>
        <v>0</v>
      </c>
      <c r="F23" s="22">
        <f>IFERROR(VLOOKUP(A23,'Reporte Total'!$A$2:$V$157,5,FALSE),0)</f>
        <v>0</v>
      </c>
      <c r="G23" s="9">
        <f>+E23+F23*$B$321</f>
        <v>0</v>
      </c>
      <c r="H23" s="22">
        <f t="shared" si="2"/>
        <v>0</v>
      </c>
      <c r="I23" s="9"/>
      <c r="J23" s="9"/>
      <c r="K23" s="22"/>
      <c r="L23" s="9"/>
      <c r="M23" s="22"/>
      <c r="N23" s="9"/>
      <c r="O23" s="2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</row>
    <row r="24" spans="1:99" x14ac:dyDescent="0.2">
      <c r="A24" s="22"/>
      <c r="B24" s="30" t="s">
        <v>1</v>
      </c>
      <c r="C24" s="9">
        <f>IFERROR(VLOOKUP(A23,'Reporte Total'!$A$2:$V$157,8,FALSE),0)</f>
        <v>41220.699999999997</v>
      </c>
      <c r="D24" s="22">
        <f>IFERROR(VLOOKUP(A23,'Reporte Total'!$A$2:$V$157,12,FALSE),0)</f>
        <v>1.82</v>
      </c>
      <c r="E24" s="9">
        <f>IFERROR(VLOOKUP(A23,'Reporte Total'!$A$2:$V$157,9,FALSE),0)</f>
        <v>76.459999999999994</v>
      </c>
      <c r="F24" s="22">
        <f>IFERROR(VLOOKUP(A23,'Reporte Total'!$A$2:$V$157,10,FALSE),0)</f>
        <v>1.68</v>
      </c>
      <c r="G24" s="9">
        <f>+E24+F24*$B$321</f>
        <v>202.45999999999998</v>
      </c>
      <c r="H24" s="22">
        <f t="shared" si="2"/>
        <v>0.26831523532721396</v>
      </c>
      <c r="I24" s="9"/>
      <c r="J24" s="9"/>
      <c r="K24" s="22"/>
      <c r="L24" s="9"/>
      <c r="M24" s="22"/>
      <c r="N24" s="9"/>
      <c r="O24" s="2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</row>
    <row r="25" spans="1:99" x14ac:dyDescent="0.2">
      <c r="A25" s="22"/>
      <c r="B25" s="30" t="s">
        <v>3</v>
      </c>
      <c r="C25" s="9">
        <f>+C23+C24</f>
        <v>41220.699999999997</v>
      </c>
      <c r="D25" s="22">
        <f>IF(C25=0,0,(C23*D23+C24*D24)/C25)</f>
        <v>1.82</v>
      </c>
      <c r="E25" s="35">
        <f>+IF(C25=0,0,(C23*E23+C24*E24)/C25)</f>
        <v>76.459999999999994</v>
      </c>
      <c r="F25" s="22">
        <f>+IF(C25=0,0,(C23*F23+C24*F24)/C25)</f>
        <v>1.6800000000000002</v>
      </c>
      <c r="G25" s="9">
        <f>+E25+F25*$B$321</f>
        <v>202.46</v>
      </c>
      <c r="H25" s="22">
        <f t="shared" si="2"/>
        <v>0.26831523532721396</v>
      </c>
      <c r="I25" s="9"/>
      <c r="J25" s="9"/>
      <c r="K25" s="22"/>
      <c r="L25" s="9"/>
      <c r="M25" s="22"/>
      <c r="N25" s="9"/>
      <c r="O25" s="22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</row>
    <row r="26" spans="1:99" x14ac:dyDescent="0.2">
      <c r="A26" s="22"/>
      <c r="B26" s="30" t="s">
        <v>2</v>
      </c>
      <c r="C26" s="9">
        <f>IFERROR(VLOOKUP(A23,'Reporte Total'!$A$2:$V$157,13,FALSE),0)</f>
        <v>103973.2</v>
      </c>
      <c r="D26" s="22">
        <f>IFERROR(VLOOKUP(A23,'Reporte Total'!$A$2:$V$157,17,FALSE),0)</f>
        <v>1.3720000000000001</v>
      </c>
      <c r="E26" s="9">
        <f>IFERROR(VLOOKUP(A23,'Reporte Total'!$A$2:$V$157,14,FALSE),0)</f>
        <v>96.11</v>
      </c>
      <c r="F26" s="22">
        <f>IFERROR(VLOOKUP(A23,'Reporte Total'!$A$2:$V$157,15,FALSE),0)</f>
        <v>1.869</v>
      </c>
      <c r="G26" s="9">
        <f>+E26+F26*$B$321</f>
        <v>236.28500000000003</v>
      </c>
      <c r="H26" s="22">
        <f t="shared" si="2"/>
        <v>0.78985669014741122</v>
      </c>
      <c r="I26" s="9"/>
      <c r="J26" s="9"/>
      <c r="K26" s="22"/>
      <c r="L26" s="9"/>
      <c r="M26" s="22"/>
      <c r="N26" s="9"/>
      <c r="O26" s="22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</row>
    <row r="27" spans="1:99" x14ac:dyDescent="0.2">
      <c r="A27" s="22" t="s">
        <v>41</v>
      </c>
      <c r="B27" s="30" t="s">
        <v>0</v>
      </c>
      <c r="C27" s="9">
        <f>IFERROR(VLOOKUP(A27,'Reporte Total'!$A$2:$V$157,3,FALSE),0)</f>
        <v>0</v>
      </c>
      <c r="D27" s="22">
        <f>IFERROR(VLOOKUP(A27,'Reporte Total'!$A$2:$V$157,7,FALSE),0)</f>
        <v>0</v>
      </c>
      <c r="E27" s="9">
        <f>IFERROR(VLOOKUP(A27,'Reporte Total'!$A$2:$V$157,4,FALSE),0)</f>
        <v>0</v>
      </c>
      <c r="F27" s="22">
        <f>IFERROR(VLOOKUP(A27,'Reporte Total'!$A$2:$V$157,5,FALSE),0)</f>
        <v>0</v>
      </c>
      <c r="G27" s="9">
        <f>+E27+F27*$B$321</f>
        <v>0</v>
      </c>
      <c r="H27" s="22">
        <f t="shared" si="2"/>
        <v>0</v>
      </c>
      <c r="I27" s="9"/>
      <c r="J27" s="9"/>
      <c r="K27" s="22"/>
      <c r="L27" s="9"/>
      <c r="M27" s="22"/>
      <c r="N27" s="9"/>
      <c r="O27" s="22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</row>
    <row r="28" spans="1:99" x14ac:dyDescent="0.2">
      <c r="A28" s="22"/>
      <c r="B28" s="30" t="s">
        <v>1</v>
      </c>
      <c r="C28" s="9">
        <f>IFERROR(VLOOKUP(A27,'Reporte Total'!$A$2:$V$157,8,FALSE),0)</f>
        <v>2705.6</v>
      </c>
      <c r="D28" s="22">
        <f>IFERROR(VLOOKUP(A27,'Reporte Total'!$A$2:$V$157,12,FALSE),0)</f>
        <v>0.88300000000000001</v>
      </c>
      <c r="E28" s="9">
        <f>IFERROR(VLOOKUP(A27,'Reporte Total'!$A$2:$V$157,9,FALSE),0)</f>
        <v>391.95</v>
      </c>
      <c r="F28" s="22">
        <f>IFERROR(VLOOKUP(A27,'Reporte Total'!$A$2:$V$157,10,FALSE),0)</f>
        <v>1.9059999999999999</v>
      </c>
      <c r="G28" s="9">
        <f>+E28+F28*$B$321</f>
        <v>534.9</v>
      </c>
      <c r="H28" s="22">
        <f t="shared" si="2"/>
        <v>4.6529343642998378E-2</v>
      </c>
      <c r="I28" s="9"/>
      <c r="J28" s="9"/>
      <c r="K28" s="22"/>
      <c r="L28" s="9"/>
      <c r="M28" s="22"/>
      <c r="N28" s="9"/>
      <c r="O28" s="22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</row>
    <row r="29" spans="1:99" x14ac:dyDescent="0.2">
      <c r="A29" s="22"/>
      <c r="B29" s="30" t="s">
        <v>3</v>
      </c>
      <c r="C29" s="9">
        <f>+C27+C28</f>
        <v>2705.6</v>
      </c>
      <c r="D29" s="22">
        <f>IF(C29=0,0,(C27*D27+C28*D28)/C29)</f>
        <v>0.88300000000000012</v>
      </c>
      <c r="E29" s="35">
        <f>+IF(C29=0,0,(C27*E27+C28*E28)/C29)</f>
        <v>391.95</v>
      </c>
      <c r="F29" s="22">
        <f>+IF(C29=0,0,(C27*F27+C28*F28)/C29)</f>
        <v>1.9059999999999999</v>
      </c>
      <c r="G29" s="9">
        <f>+E29+F29*$B$321</f>
        <v>534.9</v>
      </c>
      <c r="H29" s="22">
        <f t="shared" si="2"/>
        <v>4.6529343642998378E-2</v>
      </c>
      <c r="I29" s="9"/>
      <c r="J29" s="9"/>
      <c r="K29" s="22"/>
      <c r="L29" s="9"/>
      <c r="M29" s="22"/>
      <c r="N29" s="9"/>
      <c r="O29" s="22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</row>
    <row r="30" spans="1:99" x14ac:dyDescent="0.2">
      <c r="A30" s="22"/>
      <c r="B30" s="30" t="s">
        <v>2</v>
      </c>
      <c r="C30" s="9">
        <f>IFERROR(VLOOKUP(A27,'Reporte Total'!$A$2:$V$157,13,FALSE),0)</f>
        <v>97671.7</v>
      </c>
      <c r="D30" s="22">
        <f>IFERROR(VLOOKUP(A27,'Reporte Total'!$A$2:$V$157,17,FALSE),0)</f>
        <v>1.833</v>
      </c>
      <c r="E30" s="9">
        <f>IFERROR(VLOOKUP(A27,'Reporte Total'!$A$2:$V$157,14,FALSE),0)</f>
        <v>134.26</v>
      </c>
      <c r="F30" s="22">
        <f>IFERROR(VLOOKUP(A27,'Reporte Total'!$A$2:$V$157,15,FALSE),0)</f>
        <v>1.8120000000000001</v>
      </c>
      <c r="G30" s="9">
        <f>+E30+F30*$B$321</f>
        <v>270.15999999999997</v>
      </c>
      <c r="H30" s="22">
        <f t="shared" si="2"/>
        <v>0.84836068198112735</v>
      </c>
      <c r="I30" s="9"/>
      <c r="J30" s="9"/>
      <c r="K30" s="22"/>
      <c r="L30" s="9"/>
      <c r="M30" s="22"/>
      <c r="N30" s="9"/>
      <c r="O30" s="22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</row>
    <row r="31" spans="1:99" x14ac:dyDescent="0.2">
      <c r="A31" s="22" t="s">
        <v>42</v>
      </c>
      <c r="B31" s="30" t="s">
        <v>0</v>
      </c>
      <c r="C31" s="9">
        <f>IFERROR(VLOOKUP(A31,'Reporte Total'!$A$2:$V$157,3,FALSE),0)</f>
        <v>0</v>
      </c>
      <c r="D31" s="22">
        <f>IFERROR(VLOOKUP(A31,'Reporte Total'!$A$2:$V$157,7,FALSE),0)</f>
        <v>0</v>
      </c>
      <c r="E31" s="9">
        <f>IFERROR(VLOOKUP(A31,'Reporte Total'!$A$2:$V$157,4,FALSE),0)</f>
        <v>0</v>
      </c>
      <c r="F31" s="22">
        <f>IFERROR(VLOOKUP(A31,'Reporte Total'!$A$2:$V$157,5,FALSE),0)</f>
        <v>0</v>
      </c>
      <c r="G31" s="9">
        <f>+E31+F31*$B$321</f>
        <v>0</v>
      </c>
      <c r="H31" s="22">
        <f t="shared" si="2"/>
        <v>0</v>
      </c>
      <c r="I31" s="9"/>
      <c r="J31" s="9"/>
      <c r="K31" s="22"/>
      <c r="L31" s="9"/>
      <c r="M31" s="22"/>
      <c r="N31" s="9"/>
      <c r="O31" s="22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</row>
    <row r="32" spans="1:99" x14ac:dyDescent="0.2">
      <c r="A32" s="22"/>
      <c r="B32" s="30" t="s">
        <v>1</v>
      </c>
      <c r="C32" s="9">
        <f>IFERROR(VLOOKUP(A31,'Reporte Total'!$A$2:$V$157,8,FALSE),0)</f>
        <v>0</v>
      </c>
      <c r="D32" s="22">
        <f>IFERROR(VLOOKUP(A31,'Reporte Total'!$A$2:$V$157,12,FALSE),0)</f>
        <v>0</v>
      </c>
      <c r="E32" s="9">
        <f>IFERROR(VLOOKUP(A31,'Reporte Total'!$A$2:$V$157,9,FALSE),0)</f>
        <v>0</v>
      </c>
      <c r="F32" s="22">
        <f>IFERROR(VLOOKUP(A31,'Reporte Total'!$A$2:$V$157,10,FALSE),0)</f>
        <v>0</v>
      </c>
      <c r="G32" s="9">
        <f>+E32+F32*$B$321</f>
        <v>0</v>
      </c>
      <c r="H32" s="22">
        <f t="shared" si="2"/>
        <v>0</v>
      </c>
      <c r="I32" s="9"/>
      <c r="J32" s="9"/>
      <c r="K32" s="22"/>
      <c r="L32" s="9"/>
      <c r="M32" s="22"/>
      <c r="N32" s="9"/>
      <c r="O32" s="22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</row>
    <row r="33" spans="1:99" x14ac:dyDescent="0.2">
      <c r="A33" s="22"/>
      <c r="B33" s="30" t="s">
        <v>3</v>
      </c>
      <c r="C33" s="9">
        <f>+C31+C32</f>
        <v>0</v>
      </c>
      <c r="D33" s="22">
        <f>IF(C33=0,0,(C31*D31+C32*D32)/C33)</f>
        <v>0</v>
      </c>
      <c r="E33" s="35">
        <f>+IF(C33=0,0,(C31*E31+C32*E32)/C33)</f>
        <v>0</v>
      </c>
      <c r="F33" s="22">
        <f>+IF(C33=0,0,(C31*F31+C32*F32)/C33)</f>
        <v>0</v>
      </c>
      <c r="G33" s="9">
        <f>+E33+F33*$B$321</f>
        <v>0</v>
      </c>
      <c r="H33" s="22">
        <f t="shared" si="2"/>
        <v>0</v>
      </c>
      <c r="I33" s="9"/>
      <c r="J33" s="9"/>
      <c r="K33" s="22"/>
      <c r="L33" s="9"/>
      <c r="M33" s="22"/>
      <c r="N33" s="9"/>
      <c r="O33" s="22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</row>
    <row r="34" spans="1:99" x14ac:dyDescent="0.2">
      <c r="A34" s="22"/>
      <c r="B34" s="30" t="s">
        <v>2</v>
      </c>
      <c r="C34" s="9">
        <f>IFERROR(VLOOKUP(A31,'Reporte Total'!$A$2:$V$157,13,FALSE),0)</f>
        <v>162024.6</v>
      </c>
      <c r="D34" s="22">
        <f>IFERROR(VLOOKUP(A31,'Reporte Total'!$A$2:$V$157,17,FALSE),0)</f>
        <v>1.226</v>
      </c>
      <c r="E34" s="9">
        <f>IFERROR(VLOOKUP(A31,'Reporte Total'!$A$2:$V$157,14,FALSE),0)</f>
        <v>65.61</v>
      </c>
      <c r="F34" s="22">
        <f>IFERROR(VLOOKUP(A31,'Reporte Total'!$A$2:$V$157,15,FALSE),0)</f>
        <v>2.3010000000000002</v>
      </c>
      <c r="G34" s="9">
        <f>+E34+F34*$B$321</f>
        <v>238.185</v>
      </c>
      <c r="H34" s="22">
        <f t="shared" si="2"/>
        <v>1.2407551996077613</v>
      </c>
      <c r="I34" s="9"/>
      <c r="J34" s="9"/>
      <c r="K34" s="22"/>
      <c r="L34" s="9"/>
      <c r="M34" s="22"/>
      <c r="N34" s="9"/>
      <c r="O34" s="22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</row>
    <row r="35" spans="1:99" x14ac:dyDescent="0.2">
      <c r="A35" s="32" t="s">
        <v>43</v>
      </c>
      <c r="B35" s="30" t="s">
        <v>0</v>
      </c>
      <c r="C35" s="9">
        <f>IFERROR(VLOOKUP(A35,'Reporte Total'!$A$2:$V$157,3,FALSE),0)</f>
        <v>236112.8</v>
      </c>
      <c r="D35" s="22">
        <f>IFERROR(VLOOKUP(A35,'Reporte Total'!$A$2:$V$157,7,FALSE),0)</f>
        <v>3.1659999999999999</v>
      </c>
      <c r="E35" s="9">
        <f>IFERROR(VLOOKUP(A35,'Reporte Total'!$A$2:$V$157,4,FALSE),0)</f>
        <v>85.22</v>
      </c>
      <c r="F35" s="22">
        <f>IFERROR(VLOOKUP(A35,'Reporte Total'!$A$2:$V$157,5,FALSE),0)</f>
        <v>2.4009999999999998</v>
      </c>
      <c r="G35" s="9">
        <f>+E35+F35*$B$321</f>
        <v>265.29499999999996</v>
      </c>
      <c r="H35" s="22">
        <f t="shared" si="2"/>
        <v>2.0139066431752051</v>
      </c>
      <c r="I35" s="9"/>
      <c r="J35" s="9"/>
      <c r="K35" s="22"/>
      <c r="L35" s="9"/>
      <c r="M35" s="22"/>
      <c r="N35" s="9"/>
      <c r="O35" s="22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</row>
    <row r="36" spans="1:99" x14ac:dyDescent="0.2">
      <c r="A36" s="9"/>
      <c r="B36" s="30" t="s">
        <v>1</v>
      </c>
      <c r="C36" s="9">
        <f>IFERROR(VLOOKUP(A35,'Reporte Total'!$A$2:$V$157,8,FALSE),0)</f>
        <v>537761</v>
      </c>
      <c r="D36" s="22">
        <f>IFERROR(VLOOKUP(A35,'Reporte Total'!$A$2:$V$157,12,FALSE),0)</f>
        <v>2.6230000000000002</v>
      </c>
      <c r="E36" s="9">
        <f>IFERROR(VLOOKUP(A35,'Reporte Total'!$A$2:$V$157,9,FALSE),0)</f>
        <v>95.15</v>
      </c>
      <c r="F36" s="22">
        <f>IFERROR(VLOOKUP(A35,'Reporte Total'!$A$2:$V$157,10,FALSE),0)</f>
        <v>2.552</v>
      </c>
      <c r="G36" s="9">
        <f>+E36+F36*$B$321</f>
        <v>286.55</v>
      </c>
      <c r="H36" s="22">
        <f t="shared" si="2"/>
        <v>4.9542789252013444</v>
      </c>
      <c r="I36" s="9"/>
      <c r="J36" s="9"/>
      <c r="K36" s="22"/>
      <c r="L36" s="9"/>
      <c r="M36" s="22"/>
      <c r="N36" s="9"/>
      <c r="O36" s="22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</row>
    <row r="37" spans="1:99" x14ac:dyDescent="0.2">
      <c r="A37" s="9"/>
      <c r="B37" s="30" t="s">
        <v>3</v>
      </c>
      <c r="C37" s="9">
        <f>+C35+C36</f>
        <v>773873.8</v>
      </c>
      <c r="D37" s="22">
        <f>IF(C37=0,0,(C35*D35+C36*D36)/C37)</f>
        <v>2.7886720390327207</v>
      </c>
      <c r="E37" s="35">
        <f>+IF(C37=0,0,(C35*E35+C36*E36)/C37)</f>
        <v>92.120306910506599</v>
      </c>
      <c r="F37" s="22">
        <f>+IF(C37=0,0,(C35*F35+C36*F36)/C37)</f>
        <v>2.5059291383168674</v>
      </c>
      <c r="G37" s="9">
        <f>+E37+F37*$B$321</f>
        <v>280.06499228427163</v>
      </c>
      <c r="H37" s="22">
        <f t="shared" si="2"/>
        <v>6.9681855683765486</v>
      </c>
      <c r="I37" s="9"/>
      <c r="J37" s="9"/>
      <c r="K37" s="22"/>
      <c r="L37" s="9"/>
      <c r="M37" s="22"/>
      <c r="N37" s="9"/>
      <c r="O37" s="22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</row>
    <row r="38" spans="1:99" x14ac:dyDescent="0.2">
      <c r="A38" s="9"/>
      <c r="B38" s="30" t="s">
        <v>2</v>
      </c>
      <c r="C38" s="9">
        <f>IFERROR(VLOOKUP(A35,'Reporte Total'!$A$2:$V$157,13,FALSE),0)</f>
        <v>214644.5</v>
      </c>
      <c r="D38" s="22">
        <f>IFERROR(VLOOKUP(A35,'Reporte Total'!$A$2:$V$157,17,FALSE),0)</f>
        <v>1.897</v>
      </c>
      <c r="E38" s="9">
        <f>IFERROR(VLOOKUP(A35,'Reporte Total'!$A$2:$V$157,14,FALSE),0)</f>
        <v>83.81</v>
      </c>
      <c r="F38" s="22">
        <f>IFERROR(VLOOKUP(A35,'Reporte Total'!$A$2:$V$157,15,FALSE),0)</f>
        <v>2.4319999999999999</v>
      </c>
      <c r="G38" s="9">
        <f>+E38+F38*$B$321</f>
        <v>266.21000000000004</v>
      </c>
      <c r="H38" s="22">
        <f t="shared" si="2"/>
        <v>1.8371087609111518</v>
      </c>
      <c r="I38" s="9"/>
      <c r="J38" s="9"/>
      <c r="K38" s="22"/>
      <c r="L38" s="9"/>
      <c r="M38" s="22"/>
      <c r="N38" s="9"/>
      <c r="O38" s="22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</row>
    <row r="39" spans="1:99" x14ac:dyDescent="0.2">
      <c r="A39" s="9" t="s">
        <v>44</v>
      </c>
      <c r="B39" s="30" t="s">
        <v>0</v>
      </c>
      <c r="C39" s="9">
        <f>IFERROR(VLOOKUP(A39,'Reporte Total'!$A$2:$V$157,3,FALSE),0)</f>
        <v>1652.2</v>
      </c>
      <c r="D39" s="22">
        <f>IFERROR(VLOOKUP(A39,'Reporte Total'!$A$2:$V$157,7,FALSE),0)</f>
        <v>1.3620000000000001</v>
      </c>
      <c r="E39" s="9">
        <f>IFERROR(VLOOKUP(A39,'Reporte Total'!$A$2:$V$157,4,FALSE),0)</f>
        <v>174.09</v>
      </c>
      <c r="F39" s="22">
        <f>IFERROR(VLOOKUP(A39,'Reporte Total'!$A$2:$V$157,5,FALSE),0)</f>
        <v>2.121</v>
      </c>
      <c r="G39" s="9">
        <f>+E39+F39*$B$321</f>
        <v>333.16499999999996</v>
      </c>
      <c r="H39" s="22">
        <f t="shared" ref="H39:H102" si="3">+C39*G39/31.1035/1000000</f>
        <v>1.7697532850000804E-2</v>
      </c>
      <c r="I39" s="9"/>
      <c r="J39" s="9"/>
      <c r="K39" s="22"/>
      <c r="L39" s="9"/>
      <c r="M39" s="22"/>
      <c r="N39" s="9"/>
      <c r="O39" s="22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</row>
    <row r="40" spans="1:99" x14ac:dyDescent="0.2">
      <c r="A40" s="9"/>
      <c r="B40" s="30" t="s">
        <v>1</v>
      </c>
      <c r="C40" s="9">
        <f>IFERROR(VLOOKUP(A39,'Reporte Total'!$A$2:$V$157,8,FALSE),0)</f>
        <v>103248.4</v>
      </c>
      <c r="D40" s="22">
        <f>IFERROR(VLOOKUP(A39,'Reporte Total'!$A$2:$V$157,12,FALSE),0)</f>
        <v>2.0710000000000002</v>
      </c>
      <c r="E40" s="9">
        <f>IFERROR(VLOOKUP(A39,'Reporte Total'!$A$2:$V$157,9,FALSE),0)</f>
        <v>160.08000000000001</v>
      </c>
      <c r="F40" s="22">
        <f>IFERROR(VLOOKUP(A39,'Reporte Total'!$A$2:$V$157,10,FALSE),0)</f>
        <v>1.929</v>
      </c>
      <c r="G40" s="9">
        <f>+E40+F40*$B$321</f>
        <v>304.755</v>
      </c>
      <c r="H40" s="22">
        <f t="shared" si="3"/>
        <v>1.011637473017506</v>
      </c>
      <c r="I40" s="9"/>
      <c r="J40" s="9"/>
      <c r="K40" s="22"/>
      <c r="L40" s="9"/>
      <c r="M40" s="22"/>
      <c r="N40" s="9"/>
      <c r="O40" s="22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</row>
    <row r="41" spans="1:99" x14ac:dyDescent="0.2">
      <c r="A41" s="9"/>
      <c r="B41" s="30" t="s">
        <v>3</v>
      </c>
      <c r="C41" s="9">
        <f>+C39+C40</f>
        <v>104900.59999999999</v>
      </c>
      <c r="D41" s="22">
        <f>IF(C41=0,0,(C39*D39+C40*D40)/C41)</f>
        <v>2.0598331449009826</v>
      </c>
      <c r="E41" s="35">
        <f>+IF(C41=0,0,(C39*E39+C40*E40)/C41)</f>
        <v>160.30065957678033</v>
      </c>
      <c r="F41" s="22">
        <f>+IF(C41=0,0,(C39*F39+C40*F40)/C41)</f>
        <v>1.9320240284612291</v>
      </c>
      <c r="G41" s="9">
        <f>+E41+F41*$B$321</f>
        <v>305.20246171137251</v>
      </c>
      <c r="H41" s="22">
        <f t="shared" si="3"/>
        <v>1.0293350058675068</v>
      </c>
      <c r="I41" s="9"/>
      <c r="J41" s="9"/>
      <c r="K41" s="22"/>
      <c r="L41" s="9"/>
      <c r="M41" s="22"/>
      <c r="N41" s="9"/>
      <c r="O41" s="22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</row>
    <row r="42" spans="1:99" x14ac:dyDescent="0.2">
      <c r="A42" s="9"/>
      <c r="B42" s="30" t="s">
        <v>2</v>
      </c>
      <c r="C42" s="9">
        <f>IFERROR(VLOOKUP(A39,'Reporte Total'!$A$2:$V$157,13,FALSE),0)</f>
        <v>83882.8</v>
      </c>
      <c r="D42" s="22">
        <f>IFERROR(VLOOKUP(A39,'Reporte Total'!$A$2:$V$157,17,FALSE),0)</f>
        <v>1.607</v>
      </c>
      <c r="E42" s="9">
        <f>IFERROR(VLOOKUP(A39,'Reporte Total'!$A$2:$V$157,14,FALSE),0)</f>
        <v>90.35</v>
      </c>
      <c r="F42" s="22">
        <f>IFERROR(VLOOKUP(A39,'Reporte Total'!$A$2:$V$157,15,FALSE),0)</f>
        <v>2.0059999999999998</v>
      </c>
      <c r="G42" s="9">
        <f>+E42+F42*$B$321</f>
        <v>240.79999999999998</v>
      </c>
      <c r="H42" s="22">
        <f t="shared" si="3"/>
        <v>0.64941174594499007</v>
      </c>
      <c r="I42" s="9"/>
      <c r="J42" s="9"/>
      <c r="K42" s="22"/>
      <c r="L42" s="9"/>
      <c r="M42" s="22"/>
      <c r="N42" s="9"/>
      <c r="O42" s="22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</row>
    <row r="43" spans="1:99" x14ac:dyDescent="0.2">
      <c r="A43" s="9" t="s">
        <v>45</v>
      </c>
      <c r="B43" s="30" t="s">
        <v>0</v>
      </c>
      <c r="C43" s="9">
        <f>IFERROR(VLOOKUP(A43,'Reporte Total'!$A$2:$V$157,3,FALSE),0)</f>
        <v>0</v>
      </c>
      <c r="D43" s="22">
        <f>IFERROR(VLOOKUP(A43,'Reporte Total'!$A$2:$V$157,7,FALSE),0)</f>
        <v>0</v>
      </c>
      <c r="E43" s="9">
        <f>IFERROR(VLOOKUP(A43,'Reporte Total'!$A$2:$V$157,4,FALSE),0)</f>
        <v>0</v>
      </c>
      <c r="F43" s="22">
        <f>IFERROR(VLOOKUP(A43,'Reporte Total'!$A$2:$V$157,5,FALSE),0)</f>
        <v>0</v>
      </c>
      <c r="G43" s="9">
        <f>+E43+F43*$B$321</f>
        <v>0</v>
      </c>
      <c r="H43" s="22">
        <f t="shared" si="3"/>
        <v>0</v>
      </c>
      <c r="I43" s="9"/>
      <c r="J43" s="9"/>
      <c r="K43" s="22"/>
      <c r="L43" s="9"/>
      <c r="M43" s="22"/>
      <c r="N43" s="9"/>
      <c r="O43" s="22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</row>
    <row r="44" spans="1:99" x14ac:dyDescent="0.2">
      <c r="A44" s="9"/>
      <c r="B44" s="30" t="s">
        <v>1</v>
      </c>
      <c r="C44" s="9">
        <f>IFERROR(VLOOKUP(A43,'Reporte Total'!$A$2:$V$157,8,FALSE),0)</f>
        <v>0</v>
      </c>
      <c r="D44" s="22">
        <f>IFERROR(VLOOKUP(A43,'Reporte Total'!$A$2:$V$157,12,FALSE),0)</f>
        <v>0</v>
      </c>
      <c r="E44" s="9">
        <f>IFERROR(VLOOKUP(A43,'Reporte Total'!$A$2:$V$157,9,FALSE),0)</f>
        <v>0</v>
      </c>
      <c r="F44" s="22">
        <f>IFERROR(VLOOKUP(A43,'Reporte Total'!$A$2:$V$157,10,FALSE),0)</f>
        <v>0</v>
      </c>
      <c r="G44" s="9">
        <f>+E44+F44*$B$321</f>
        <v>0</v>
      </c>
      <c r="H44" s="22">
        <f t="shared" si="3"/>
        <v>0</v>
      </c>
      <c r="I44" s="9"/>
      <c r="J44" s="9"/>
      <c r="K44" s="22"/>
      <c r="L44" s="9"/>
      <c r="M44" s="22"/>
      <c r="N44" s="9"/>
      <c r="O44" s="22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</row>
    <row r="45" spans="1:99" x14ac:dyDescent="0.2">
      <c r="A45" s="9"/>
      <c r="B45" s="30" t="s">
        <v>3</v>
      </c>
      <c r="C45" s="9">
        <f>+C43+C44</f>
        <v>0</v>
      </c>
      <c r="D45" s="22">
        <f>IF(C45=0,0,(C43*D43+C44*D44)/C45)</f>
        <v>0</v>
      </c>
      <c r="E45" s="35">
        <f>+IF(C45=0,0,(C43*E43+C44*E44)/C45)</f>
        <v>0</v>
      </c>
      <c r="F45" s="22">
        <f>+IF(C45=0,0,(C43*F43+C44*F44)/C45)</f>
        <v>0</v>
      </c>
      <c r="G45" s="9">
        <f>+E45+F45*$B$321</f>
        <v>0</v>
      </c>
      <c r="H45" s="22">
        <f t="shared" si="3"/>
        <v>0</v>
      </c>
      <c r="I45" s="9"/>
      <c r="J45" s="9"/>
      <c r="K45" s="22"/>
      <c r="L45" s="9"/>
      <c r="M45" s="22"/>
      <c r="N45" s="9"/>
      <c r="O45" s="22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</row>
    <row r="46" spans="1:99" x14ac:dyDescent="0.2">
      <c r="A46" s="9"/>
      <c r="B46" s="30" t="s">
        <v>2</v>
      </c>
      <c r="C46" s="9">
        <f>IFERROR(VLOOKUP(A43,'Reporte Total'!$A$2:$V$157,13,FALSE),0)</f>
        <v>137884.20000000001</v>
      </c>
      <c r="D46" s="22">
        <f>IFERROR(VLOOKUP(A43,'Reporte Total'!$A$2:$V$157,17,FALSE),0)</f>
        <v>0.99</v>
      </c>
      <c r="E46" s="9">
        <f>IFERROR(VLOOKUP(A43,'Reporte Total'!$A$2:$V$157,14,FALSE),0)</f>
        <v>87.61</v>
      </c>
      <c r="F46" s="22">
        <f>IFERROR(VLOOKUP(A43,'Reporte Total'!$A$2:$V$157,15,FALSE),0)</f>
        <v>2.0990000000000002</v>
      </c>
      <c r="G46" s="9">
        <f>+E46+F46*$B$321</f>
        <v>245.03500000000003</v>
      </c>
      <c r="H46" s="22">
        <f t="shared" si="3"/>
        <v>1.0862589402157314</v>
      </c>
      <c r="I46" s="9"/>
      <c r="J46" s="9"/>
      <c r="K46" s="22"/>
      <c r="L46" s="9"/>
      <c r="M46" s="22"/>
      <c r="N46" s="9"/>
      <c r="O46" s="22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</row>
    <row r="47" spans="1:99" x14ac:dyDescent="0.2">
      <c r="A47" s="9" t="s">
        <v>46</v>
      </c>
      <c r="B47" s="30" t="s">
        <v>0</v>
      </c>
      <c r="C47" s="9">
        <f>IFERROR(VLOOKUP(A47,'Reporte Total'!$A$2:$V$157,3,FALSE),0)</f>
        <v>0</v>
      </c>
      <c r="D47" s="22">
        <f>IFERROR(VLOOKUP(A47,'Reporte Total'!$A$2:$V$157,7,FALSE),0)</f>
        <v>0</v>
      </c>
      <c r="E47" s="9">
        <f>IFERROR(VLOOKUP(A47,'Reporte Total'!$A$2:$V$157,4,FALSE),0)</f>
        <v>0</v>
      </c>
      <c r="F47" s="22">
        <f>IFERROR(VLOOKUP(A47,'Reporte Total'!$A$2:$V$157,5,FALSE),0)</f>
        <v>0</v>
      </c>
      <c r="G47" s="9">
        <f>+E47+F47*$B$321</f>
        <v>0</v>
      </c>
      <c r="H47" s="22">
        <f t="shared" si="3"/>
        <v>0</v>
      </c>
      <c r="I47" s="9"/>
      <c r="J47" s="9"/>
      <c r="K47" s="22"/>
      <c r="L47" s="9"/>
      <c r="M47" s="22"/>
      <c r="N47" s="9"/>
      <c r="O47" s="22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</row>
    <row r="48" spans="1:99" x14ac:dyDescent="0.2">
      <c r="A48" s="9"/>
      <c r="B48" s="30" t="s">
        <v>1</v>
      </c>
      <c r="C48" s="9">
        <f>IFERROR(VLOOKUP(A47,'Reporte Total'!$A$2:$V$157,8,FALSE),0)</f>
        <v>0</v>
      </c>
      <c r="D48" s="22">
        <f>IFERROR(VLOOKUP(A47,'Reporte Total'!$A$2:$V$157,12,FALSE),0)</f>
        <v>0</v>
      </c>
      <c r="E48" s="9">
        <f>IFERROR(VLOOKUP(A47,'Reporte Total'!$A$2:$V$157,9,FALSE),0)</f>
        <v>0</v>
      </c>
      <c r="F48" s="22">
        <f>IFERROR(VLOOKUP(A47,'Reporte Total'!$A$2:$V$157,10,FALSE),0)</f>
        <v>0</v>
      </c>
      <c r="G48" s="9">
        <f>+E48+F48*$B$321</f>
        <v>0</v>
      </c>
      <c r="H48" s="22">
        <f t="shared" si="3"/>
        <v>0</v>
      </c>
      <c r="I48" s="9"/>
      <c r="J48" s="9"/>
      <c r="K48" s="22"/>
      <c r="L48" s="9"/>
      <c r="M48" s="22"/>
      <c r="N48" s="9"/>
      <c r="O48" s="22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</row>
    <row r="49" spans="1:99" x14ac:dyDescent="0.2">
      <c r="A49" s="9"/>
      <c r="B49" s="30" t="s">
        <v>3</v>
      </c>
      <c r="C49" s="9">
        <f>+C47+C48</f>
        <v>0</v>
      </c>
      <c r="D49" s="22">
        <f>IF(C49=0,0,(C47*D47+C48*D48)/C49)</f>
        <v>0</v>
      </c>
      <c r="E49" s="35">
        <f>+IF(C49=0,0,(C47*E47+C48*E48)/C49)</f>
        <v>0</v>
      </c>
      <c r="F49" s="22">
        <f>+IF(C49=0,0,(C47*F47+C48*F48)/C49)</f>
        <v>0</v>
      </c>
      <c r="G49" s="9">
        <f>+E49+F49*$B$321</f>
        <v>0</v>
      </c>
      <c r="H49" s="22">
        <f t="shared" si="3"/>
        <v>0</v>
      </c>
      <c r="I49" s="9"/>
      <c r="J49" s="9"/>
      <c r="K49" s="22"/>
      <c r="L49" s="9"/>
      <c r="M49" s="22"/>
      <c r="N49" s="9"/>
      <c r="O49" s="22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</row>
    <row r="50" spans="1:99" x14ac:dyDescent="0.2">
      <c r="A50" s="9"/>
      <c r="B50" s="30" t="s">
        <v>2</v>
      </c>
      <c r="C50" s="9">
        <f>IFERROR(VLOOKUP(A47,'Reporte Total'!$A$2:$V$157,13,FALSE),0)</f>
        <v>90363.7</v>
      </c>
      <c r="D50" s="22">
        <f>IFERROR(VLOOKUP(A47,'Reporte Total'!$A$2:$V$157,17,FALSE),0)</f>
        <v>1.7749999999999999</v>
      </c>
      <c r="E50" s="9">
        <f>IFERROR(VLOOKUP(A47,'Reporte Total'!$A$2:$V$157,14,FALSE),0)</f>
        <v>201.34</v>
      </c>
      <c r="F50" s="22">
        <f>IFERROR(VLOOKUP(A47,'Reporte Total'!$A$2:$V$157,15,FALSE),0)</f>
        <v>2.097</v>
      </c>
      <c r="G50" s="9">
        <f>+E50+F50*$B$321</f>
        <v>358.61500000000001</v>
      </c>
      <c r="H50" s="22">
        <f t="shared" si="3"/>
        <v>1.0418691875673156</v>
      </c>
      <c r="I50" s="9"/>
      <c r="J50" s="9"/>
      <c r="K50" s="22"/>
      <c r="L50" s="9"/>
      <c r="M50" s="22"/>
      <c r="N50" s="9"/>
      <c r="O50" s="22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</row>
    <row r="51" spans="1:99" x14ac:dyDescent="0.2">
      <c r="A51" s="9" t="s">
        <v>47</v>
      </c>
      <c r="B51" s="30" t="s">
        <v>0</v>
      </c>
      <c r="C51" s="9">
        <f>IFERROR(VLOOKUP(A51,'Reporte Total'!$A$2:$V$157,3,FALSE),0)</f>
        <v>0</v>
      </c>
      <c r="D51" s="22">
        <f>IFERROR(VLOOKUP(A51,'Reporte Total'!$A$2:$V$157,7,FALSE),0)</f>
        <v>0</v>
      </c>
      <c r="E51" s="9">
        <f>IFERROR(VLOOKUP(A51,'Reporte Total'!$A$2:$V$157,4,FALSE),0)</f>
        <v>0</v>
      </c>
      <c r="F51" s="22">
        <f>IFERROR(VLOOKUP(A51,'Reporte Total'!$A$2:$V$157,5,FALSE),0)</f>
        <v>0</v>
      </c>
      <c r="G51" s="9">
        <f>+E51+F51*$B$321</f>
        <v>0</v>
      </c>
      <c r="H51" s="22">
        <f t="shared" si="3"/>
        <v>0</v>
      </c>
      <c r="I51" s="9"/>
      <c r="J51" s="9"/>
      <c r="K51" s="22"/>
      <c r="L51" s="9"/>
      <c r="M51" s="22"/>
      <c r="N51" s="9"/>
      <c r="O51" s="22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</row>
    <row r="52" spans="1:99" x14ac:dyDescent="0.2">
      <c r="A52" s="9"/>
      <c r="B52" s="30" t="s">
        <v>1</v>
      </c>
      <c r="C52" s="9">
        <f>IFERROR(VLOOKUP(A51,'Reporte Total'!$A$2:$V$157,8,FALSE),0)</f>
        <v>0</v>
      </c>
      <c r="D52" s="22">
        <f>IFERROR(VLOOKUP(A51,'Reporte Total'!$A$2:$V$157,12,FALSE),0)</f>
        <v>0</v>
      </c>
      <c r="E52" s="9">
        <f>IFERROR(VLOOKUP(A51,'Reporte Total'!$A$2:$V$157,9,FALSE),0)</f>
        <v>0</v>
      </c>
      <c r="F52" s="22">
        <f>IFERROR(VLOOKUP(A51,'Reporte Total'!$A$2:$V$157,10,FALSE),0)</f>
        <v>0</v>
      </c>
      <c r="G52" s="9">
        <f>+E52+F52*$B$321</f>
        <v>0</v>
      </c>
      <c r="H52" s="22">
        <f t="shared" si="3"/>
        <v>0</v>
      </c>
      <c r="I52" s="9"/>
      <c r="J52" s="9"/>
      <c r="K52" s="22"/>
      <c r="L52" s="9"/>
      <c r="M52" s="22"/>
      <c r="N52" s="9"/>
      <c r="O52" s="22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</row>
    <row r="53" spans="1:99" x14ac:dyDescent="0.2">
      <c r="A53" s="9"/>
      <c r="B53" s="30" t="s">
        <v>3</v>
      </c>
      <c r="C53" s="9">
        <f>+C51+C52</f>
        <v>0</v>
      </c>
      <c r="D53" s="22">
        <f>IF(C53=0,0,(C51*D51+C52*D52)/C53)</f>
        <v>0</v>
      </c>
      <c r="E53" s="35">
        <f>+IF(C53=0,0,(C51*E51+C52*E52)/C53)</f>
        <v>0</v>
      </c>
      <c r="F53" s="22">
        <f>+IF(C53=0,0,(C51*F51+C52*F52)/C53)</f>
        <v>0</v>
      </c>
      <c r="G53" s="9">
        <f>+E53+F53*$B$321</f>
        <v>0</v>
      </c>
      <c r="H53" s="22">
        <f t="shared" si="3"/>
        <v>0</v>
      </c>
      <c r="I53" s="9"/>
      <c r="J53" s="9"/>
      <c r="K53" s="22"/>
      <c r="L53" s="9"/>
      <c r="M53" s="22"/>
      <c r="N53" s="9"/>
      <c r="O53" s="22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</row>
    <row r="54" spans="1:99" x14ac:dyDescent="0.2">
      <c r="A54" s="9"/>
      <c r="B54" s="30" t="s">
        <v>2</v>
      </c>
      <c r="C54" s="9">
        <f>IFERROR(VLOOKUP(A51,'Reporte Total'!$A$2:$V$157,13,FALSE),0)</f>
        <v>72906.3</v>
      </c>
      <c r="D54" s="22">
        <f>IFERROR(VLOOKUP(A51,'Reporte Total'!$A$2:$V$157,17,FALSE),0)</f>
        <v>0.95899999999999996</v>
      </c>
      <c r="E54" s="9">
        <f>IFERROR(VLOOKUP(A51,'Reporte Total'!$A$2:$V$157,14,FALSE),0)</f>
        <v>42.19</v>
      </c>
      <c r="F54" s="22">
        <f>IFERROR(VLOOKUP(A51,'Reporte Total'!$A$2:$V$157,15,FALSE),0)</f>
        <v>2.5299999999999998</v>
      </c>
      <c r="G54" s="9">
        <f>+E54+F54*$B$321</f>
        <v>231.93999999999997</v>
      </c>
      <c r="H54" s="22">
        <f t="shared" si="3"/>
        <v>0.54366509306026645</v>
      </c>
      <c r="I54" s="9"/>
      <c r="J54" s="9"/>
      <c r="K54" s="22"/>
      <c r="L54" s="9"/>
      <c r="M54" s="22"/>
      <c r="N54" s="9"/>
      <c r="O54" s="22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</row>
    <row r="55" spans="1:99" x14ac:dyDescent="0.2">
      <c r="A55" s="9" t="s">
        <v>48</v>
      </c>
      <c r="B55" s="30" t="s">
        <v>0</v>
      </c>
      <c r="C55" s="9">
        <f>IFERROR(VLOOKUP(A55,'Reporte Total'!$A$2:$V$157,3,FALSE),0)</f>
        <v>0</v>
      </c>
      <c r="D55" s="22">
        <f>IFERROR(VLOOKUP(A55,'Reporte Total'!$A$2:$V$157,7,FALSE),0)</f>
        <v>0</v>
      </c>
      <c r="E55" s="9">
        <f>IFERROR(VLOOKUP(A55,'Reporte Total'!$A$2:$V$157,4,FALSE),0)</f>
        <v>0</v>
      </c>
      <c r="F55" s="22">
        <f>IFERROR(VLOOKUP(A55,'Reporte Total'!$A$2:$V$157,5,FALSE),0)</f>
        <v>0</v>
      </c>
      <c r="G55" s="9">
        <f>+E55+F55*$B$321</f>
        <v>0</v>
      </c>
      <c r="H55" s="22">
        <f t="shared" si="3"/>
        <v>0</v>
      </c>
      <c r="I55" s="9"/>
      <c r="J55" s="9"/>
      <c r="K55" s="22"/>
      <c r="L55" s="9"/>
      <c r="M55" s="22"/>
      <c r="N55" s="9"/>
      <c r="O55" s="22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</row>
    <row r="56" spans="1:99" x14ac:dyDescent="0.2">
      <c r="A56" s="9"/>
      <c r="B56" s="30" t="s">
        <v>1</v>
      </c>
      <c r="C56" s="9">
        <f>IFERROR(VLOOKUP(A55,'Reporte Total'!$A$2:$V$157,8,FALSE),0)</f>
        <v>0</v>
      </c>
      <c r="D56" s="22">
        <f>IFERROR(VLOOKUP(A55,'Reporte Total'!$A$2:$V$157,12,FALSE),0)</f>
        <v>0</v>
      </c>
      <c r="E56" s="9">
        <f>IFERROR(VLOOKUP(A55,'Reporte Total'!$A$2:$V$157,9,FALSE),0)</f>
        <v>0</v>
      </c>
      <c r="F56" s="22">
        <f>IFERROR(VLOOKUP(A55,'Reporte Total'!$A$2:$V$157,10,FALSE),0)</f>
        <v>0</v>
      </c>
      <c r="G56" s="9">
        <f>+E56+F56*$B$321</f>
        <v>0</v>
      </c>
      <c r="H56" s="22">
        <f t="shared" si="3"/>
        <v>0</v>
      </c>
      <c r="I56" s="9"/>
      <c r="J56" s="9"/>
      <c r="K56" s="22"/>
      <c r="L56" s="9"/>
      <c r="M56" s="22"/>
      <c r="N56" s="9"/>
      <c r="O56" s="2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</row>
    <row r="57" spans="1:99" x14ac:dyDescent="0.2">
      <c r="A57" s="9"/>
      <c r="B57" s="30" t="s">
        <v>3</v>
      </c>
      <c r="C57" s="9">
        <f>+C55+C56</f>
        <v>0</v>
      </c>
      <c r="D57" s="22">
        <f>IF(C57=0,0,(C55*D55+C56*D56)/C57)</f>
        <v>0</v>
      </c>
      <c r="E57" s="35">
        <f>+IF(C57=0,0,(C55*E55+C56*E56)/C57)</f>
        <v>0</v>
      </c>
      <c r="F57" s="22">
        <f>+IF(C57=0,0,(C55*F55+C56*F56)/C57)</f>
        <v>0</v>
      </c>
      <c r="G57" s="9">
        <f>+E57+F57*$B$321</f>
        <v>0</v>
      </c>
      <c r="H57" s="22">
        <f t="shared" si="3"/>
        <v>0</v>
      </c>
      <c r="I57" s="9"/>
      <c r="J57" s="9"/>
      <c r="K57" s="22"/>
      <c r="L57" s="9"/>
      <c r="M57" s="22"/>
      <c r="N57" s="9"/>
      <c r="O57" s="22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</row>
    <row r="58" spans="1:99" x14ac:dyDescent="0.2">
      <c r="A58" s="9"/>
      <c r="B58" s="30" t="s">
        <v>2</v>
      </c>
      <c r="C58" s="9">
        <f>IFERROR(VLOOKUP(A55,'Reporte Total'!$A$2:$V$157,13,FALSE),0)</f>
        <v>133837.1</v>
      </c>
      <c r="D58" s="22">
        <f>IFERROR(VLOOKUP(A55,'Reporte Total'!$A$2:$V$157,17,FALSE),0)</f>
        <v>1.635</v>
      </c>
      <c r="E58" s="9">
        <f>IFERROR(VLOOKUP(A55,'Reporte Total'!$A$2:$V$157,14,FALSE),0)</f>
        <v>63.67</v>
      </c>
      <c r="F58" s="22">
        <f>IFERROR(VLOOKUP(A55,'Reporte Total'!$A$2:$V$157,15,FALSE),0)</f>
        <v>2.6240000000000001</v>
      </c>
      <c r="G58" s="9">
        <f>+E58+F58*$B$321</f>
        <v>260.47000000000003</v>
      </c>
      <c r="H58" s="22">
        <f t="shared" si="3"/>
        <v>1.1207918541964732</v>
      </c>
      <c r="I58" s="9"/>
      <c r="J58" s="9"/>
      <c r="K58" s="22"/>
      <c r="L58" s="9"/>
      <c r="M58" s="22"/>
      <c r="N58" s="9"/>
      <c r="O58" s="2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</row>
    <row r="59" spans="1:99" x14ac:dyDescent="0.2">
      <c r="A59" s="9" t="s">
        <v>112</v>
      </c>
      <c r="B59" s="9" t="s">
        <v>0</v>
      </c>
      <c r="C59" s="9">
        <f>IFERROR(VLOOKUP(A59,'Reporte Total'!$A$2:$V$157,3,FALSE),0)</f>
        <v>322075.51512360759</v>
      </c>
      <c r="D59" s="22">
        <f>IFERROR(VLOOKUP(A59,'Reporte Total'!$A$2:$V$157,7,FALSE),0)</f>
        <v>5.7281990578384114</v>
      </c>
      <c r="E59" s="9">
        <f>IFERROR(VLOOKUP(A59,'Reporte Total'!$A$2:$V$157,4,FALSE),0)</f>
        <v>479.0730566275534</v>
      </c>
      <c r="F59" s="22">
        <f>IFERROR(VLOOKUP(A59,'Reporte Total'!$A$2:$V$157,5,FALSE),0)</f>
        <v>10.270419545965121</v>
      </c>
      <c r="G59" s="9">
        <f>+E59+F59*$B$321</f>
        <v>1249.3545225749374</v>
      </c>
      <c r="H59" s="22">
        <f t="shared" si="3"/>
        <v>12.937016780437306</v>
      </c>
      <c r="I59" s="9"/>
      <c r="J59" s="9"/>
      <c r="K59" s="22"/>
      <c r="L59" s="9"/>
      <c r="M59" s="22"/>
      <c r="N59" s="9"/>
      <c r="O59" s="22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</row>
    <row r="60" spans="1:99" x14ac:dyDescent="0.2">
      <c r="A60" s="9"/>
      <c r="B60" s="9" t="s">
        <v>1</v>
      </c>
      <c r="C60" s="9">
        <f>IFERROR(VLOOKUP(A59,'Reporte Total'!$A$2:$V$157,8,FALSE),0)</f>
        <v>394447.70102218352</v>
      </c>
      <c r="D60" s="22">
        <f>IFERROR(VLOOKUP(A59,'Reporte Total'!$A$2:$V$157,12,FALSE),0)</f>
        <v>5.0397820420612742</v>
      </c>
      <c r="E60" s="9">
        <f>IFERROR(VLOOKUP(A59,'Reporte Total'!$A$2:$V$157,9,FALSE),0)</f>
        <v>327.70167151685348</v>
      </c>
      <c r="F60" s="22">
        <f>IFERROR(VLOOKUP(A59,'Reporte Total'!$A$2:$V$157,10,FALSE),0)</f>
        <v>5.9369058937029431</v>
      </c>
      <c r="G60" s="9">
        <f>+E60+F60*$B$321</f>
        <v>772.96961354457426</v>
      </c>
      <c r="H60" s="22">
        <f t="shared" si="3"/>
        <v>9.8026295118768925</v>
      </c>
      <c r="I60" s="9"/>
      <c r="J60" s="9"/>
      <c r="K60" s="22"/>
      <c r="L60" s="9"/>
      <c r="M60" s="22"/>
      <c r="N60" s="9"/>
      <c r="O60" s="2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</row>
    <row r="61" spans="1:99" x14ac:dyDescent="0.2">
      <c r="A61" s="9"/>
      <c r="B61" s="9" t="s">
        <v>3</v>
      </c>
      <c r="C61" s="9">
        <f>+C59+C60</f>
        <v>716523.21614579111</v>
      </c>
      <c r="D61" s="22">
        <f>IF(C61=0,0,(C59*D59+C60*D60)/C61)</f>
        <v>5.349223885647211</v>
      </c>
      <c r="E61" s="35">
        <f>+IF(C61=0,0,(C59*E59+C60*E60)/C61)</f>
        <v>395.74275621016915</v>
      </c>
      <c r="F61" s="22">
        <f>+IF(C61=0,0,(C59*F59+C60*F60)/C61)</f>
        <v>7.8848101770493457</v>
      </c>
      <c r="G61" s="9">
        <f>+E61+F61*$B$321</f>
        <v>987.10351948887001</v>
      </c>
      <c r="H61" s="22">
        <f t="shared" si="3"/>
        <v>22.739646292314198</v>
      </c>
      <c r="I61" s="9"/>
      <c r="J61" s="9"/>
      <c r="K61" s="22"/>
      <c r="L61" s="9"/>
      <c r="M61" s="22"/>
      <c r="N61" s="9"/>
      <c r="O61" s="22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</row>
    <row r="62" spans="1:99" x14ac:dyDescent="0.2">
      <c r="A62" s="9"/>
      <c r="B62" s="9" t="s">
        <v>2</v>
      </c>
      <c r="C62" s="9">
        <f>IFERROR(VLOOKUP(A59,'Reporte Total'!$A$2:$V$157,13,FALSE),0)</f>
        <v>230233.43978251889</v>
      </c>
      <c r="D62" s="22">
        <f>IFERROR(VLOOKUP(A59,'Reporte Total'!$A$2:$V$157,17,FALSE),0)</f>
        <v>3.5668739438581905</v>
      </c>
      <c r="E62" s="9">
        <f>IFERROR(VLOOKUP(A59,'Reporte Total'!$A$2:$V$157,14,FALSE),0)</f>
        <v>276.86244911354487</v>
      </c>
      <c r="F62" s="22">
        <f>IFERROR(VLOOKUP(A59,'Reporte Total'!$A$2:$V$157,15,FALSE),0)</f>
        <v>5.1526361490240671</v>
      </c>
      <c r="G62" s="9">
        <f>+E62+F62*$B$321</f>
        <v>663.31016029034993</v>
      </c>
      <c r="H62" s="22">
        <f t="shared" si="3"/>
        <v>4.9099355328609713</v>
      </c>
      <c r="I62" s="9"/>
      <c r="J62" s="9"/>
      <c r="K62" s="22"/>
      <c r="L62" s="9"/>
      <c r="M62" s="22"/>
      <c r="N62" s="9"/>
      <c r="O62" s="22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</row>
    <row r="63" spans="1:99" x14ac:dyDescent="0.2">
      <c r="A63" s="9" t="s">
        <v>94</v>
      </c>
      <c r="B63" s="9" t="s">
        <v>0</v>
      </c>
      <c r="C63" s="9">
        <f>IFERROR(VLOOKUP(A63,'Reporte Total'!$A$2:$V$157,3,FALSE),0)</f>
        <v>454652.56049102917</v>
      </c>
      <c r="D63" s="22">
        <f>IFERROR(VLOOKUP(A63,'Reporte Total'!$A$2:$V$157,7,FALSE),0)</f>
        <v>3.2805197676339124</v>
      </c>
      <c r="E63" s="9">
        <f>IFERROR(VLOOKUP(A63,'Reporte Total'!$A$2:$V$157,4,FALSE),0)</f>
        <v>149.65789035228801</v>
      </c>
      <c r="F63" s="22">
        <f>IFERROR(VLOOKUP(A63,'Reporte Total'!$A$2:$V$157,5,FALSE),0)</f>
        <v>4.2609598949372849</v>
      </c>
      <c r="G63" s="9">
        <f>+E63+F63*$B$321</f>
        <v>469.22988247258439</v>
      </c>
      <c r="H63" s="22">
        <f t="shared" si="3"/>
        <v>6.858924800265731</v>
      </c>
      <c r="I63" s="9"/>
      <c r="J63" s="9"/>
      <c r="K63" s="22"/>
      <c r="L63" s="9"/>
      <c r="M63" s="22"/>
      <c r="N63" s="9"/>
      <c r="O63" s="2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</row>
    <row r="64" spans="1:99" x14ac:dyDescent="0.2">
      <c r="A64" s="9"/>
      <c r="B64" s="9" t="s">
        <v>1</v>
      </c>
      <c r="C64" s="9">
        <f>IFERROR(VLOOKUP(A63,'Reporte Total'!$A$2:$V$157,8,FALSE),0)</f>
        <v>289709.95658468641</v>
      </c>
      <c r="D64" s="22">
        <f>IFERROR(VLOOKUP(A63,'Reporte Total'!$A$2:$V$157,12,FALSE),0)</f>
        <v>1.8071045846382516</v>
      </c>
      <c r="E64" s="9">
        <f>IFERROR(VLOOKUP(A63,'Reporte Total'!$A$2:$V$157,9,FALSE),0)</f>
        <v>96.65287149096595</v>
      </c>
      <c r="F64" s="22">
        <f>IFERROR(VLOOKUP(A63,'Reporte Total'!$A$2:$V$157,10,FALSE),0)</f>
        <v>2.4293663483659351</v>
      </c>
      <c r="G64" s="9">
        <f>+E64+F64*$B$321</f>
        <v>278.85534761841109</v>
      </c>
      <c r="H64" s="22">
        <f t="shared" si="3"/>
        <v>2.5973659122586694</v>
      </c>
      <c r="I64" s="9"/>
      <c r="J64" s="9"/>
      <c r="K64" s="22"/>
      <c r="L64" s="9"/>
      <c r="M64" s="22"/>
      <c r="N64" s="9"/>
      <c r="O64" s="22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</row>
    <row r="65" spans="1:99" x14ac:dyDescent="0.2">
      <c r="A65" s="9"/>
      <c r="B65" s="9" t="s">
        <v>3</v>
      </c>
      <c r="C65" s="9">
        <f>+C63+C64</f>
        <v>744362.51707571559</v>
      </c>
      <c r="D65" s="22">
        <f>IF(C65=0,0,(C63*D63+C64*D64)/C65)</f>
        <v>2.7070585321409508</v>
      </c>
      <c r="E65" s="35">
        <f>+IF(C65=0,0,(C63*E63+C64*E64)/C65)</f>
        <v>129.02804755282568</v>
      </c>
      <c r="F65" s="22">
        <f>+IF(C65=0,0,(C63*F63+C64*F64)/C65)</f>
        <v>3.5480936843405972</v>
      </c>
      <c r="G65" s="9">
        <f>+E65+F65*$B$321</f>
        <v>395.13507387837046</v>
      </c>
      <c r="H65" s="22">
        <f t="shared" si="3"/>
        <v>9.4562907125243996</v>
      </c>
      <c r="I65" s="9"/>
      <c r="J65" s="9"/>
      <c r="K65" s="22"/>
      <c r="L65" s="9"/>
      <c r="M65" s="22"/>
      <c r="N65" s="9"/>
      <c r="O65" s="2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</row>
    <row r="66" spans="1:99" x14ac:dyDescent="0.2">
      <c r="A66" s="9"/>
      <c r="B66" s="9" t="s">
        <v>2</v>
      </c>
      <c r="C66" s="9">
        <f>IFERROR(VLOOKUP(A63,'Reporte Total'!$A$2:$V$157,13,FALSE),0)</f>
        <v>137424.915656453</v>
      </c>
      <c r="D66" s="22">
        <f>IFERROR(VLOOKUP(A63,'Reporte Total'!$A$2:$V$157,17,FALSE),0)</f>
        <v>1.1693986093755471</v>
      </c>
      <c r="E66" s="9">
        <f>IFERROR(VLOOKUP(A63,'Reporte Total'!$A$2:$V$157,14,FALSE),0)</f>
        <v>132.49458010619608</v>
      </c>
      <c r="F66" s="22">
        <f>IFERROR(VLOOKUP(A63,'Reporte Total'!$A$2:$V$157,15,FALSE),0)</f>
        <v>2.7003366457215248</v>
      </c>
      <c r="G66" s="9">
        <f>+E66+F66*$B$321</f>
        <v>335.01982853531047</v>
      </c>
      <c r="H66" s="22">
        <f t="shared" si="3"/>
        <v>1.4802215724823375</v>
      </c>
      <c r="I66" s="9"/>
      <c r="J66" s="9"/>
      <c r="K66" s="22"/>
      <c r="L66" s="9"/>
      <c r="M66" s="22"/>
      <c r="N66" s="9"/>
      <c r="O66" s="22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</row>
    <row r="67" spans="1:99" x14ac:dyDescent="0.2">
      <c r="A67" s="9" t="s">
        <v>61</v>
      </c>
      <c r="B67" s="9" t="s">
        <v>0</v>
      </c>
      <c r="C67" s="9">
        <f>IFERROR(VLOOKUP(A67,'Reporte Total'!$A$2:$V$157,3,FALSE),0)</f>
        <v>106645.21120692273</v>
      </c>
      <c r="D67" s="22">
        <f>IFERROR(VLOOKUP(A67,'Reporte Total'!$A$2:$V$157,7,FALSE),0)</f>
        <v>2.3917359554166158</v>
      </c>
      <c r="E67" s="9">
        <f>IFERROR(VLOOKUP(A67,'Reporte Total'!$A$2:$V$157,4,FALSE),0)</f>
        <v>194.6216767305873</v>
      </c>
      <c r="F67" s="22">
        <f>IFERROR(VLOOKUP(A67,'Reporte Total'!$A$2:$V$157,5,FALSE),0)</f>
        <v>3.8256656283689137</v>
      </c>
      <c r="G67" s="9">
        <f>+E67+F67*$B$321</f>
        <v>481.54659885825583</v>
      </c>
      <c r="H67" s="22">
        <f t="shared" si="3"/>
        <v>1.6510887437495456</v>
      </c>
      <c r="I67" s="9"/>
      <c r="J67" s="9"/>
      <c r="K67" s="22"/>
      <c r="L67" s="9"/>
      <c r="M67" s="22"/>
      <c r="N67" s="9"/>
      <c r="O67" s="2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</row>
    <row r="68" spans="1:99" x14ac:dyDescent="0.2">
      <c r="A68" s="9"/>
      <c r="B68" s="9" t="s">
        <v>1</v>
      </c>
      <c r="C68" s="9">
        <f>IFERROR(VLOOKUP(A67,'Reporte Total'!$A$2:$V$157,8,FALSE),0)</f>
        <v>355045.38326240197</v>
      </c>
      <c r="D68" s="22">
        <f>IFERROR(VLOOKUP(A67,'Reporte Total'!$A$2:$V$157,12,FALSE),0)</f>
        <v>2.1848396642250099</v>
      </c>
      <c r="E68" s="9">
        <f>IFERROR(VLOOKUP(A67,'Reporte Total'!$A$2:$V$157,9,FALSE),0)</f>
        <v>210.90692681504987</v>
      </c>
      <c r="F68" s="22">
        <f>IFERROR(VLOOKUP(A67,'Reporte Total'!$A$2:$V$157,10,FALSE),0)</f>
        <v>3.6572637918195432</v>
      </c>
      <c r="G68" s="9">
        <f>+E68+F68*$B$321</f>
        <v>485.20171120151559</v>
      </c>
      <c r="H68" s="22">
        <f t="shared" si="3"/>
        <v>5.5385608537018465</v>
      </c>
      <c r="I68" s="9"/>
      <c r="J68" s="9"/>
      <c r="K68" s="22"/>
      <c r="L68" s="9"/>
      <c r="M68" s="22"/>
      <c r="N68" s="9"/>
      <c r="O68" s="22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</row>
    <row r="69" spans="1:99" x14ac:dyDescent="0.2">
      <c r="A69" s="9"/>
      <c r="B69" s="9" t="s">
        <v>3</v>
      </c>
      <c r="C69" s="9">
        <f>+C67+C68</f>
        <v>461690.59446932469</v>
      </c>
      <c r="D69" s="22">
        <f>IF(C69=0,0,(C67*D67+C68*D68)/C69)</f>
        <v>2.2326303251922734</v>
      </c>
      <c r="E69" s="35">
        <f>+IF(C69=0,0,(C67*E67+C68*E68)/C69)</f>
        <v>207.1452215613154</v>
      </c>
      <c r="F69" s="22">
        <f>+IF(C69=0,0,(C67*F67+C68*F68)/C69)</f>
        <v>3.6961626770071092</v>
      </c>
      <c r="G69" s="9">
        <f>+E69+F69*$B$321</f>
        <v>484.35742233684857</v>
      </c>
      <c r="H69" s="22">
        <f t="shared" si="3"/>
        <v>7.1896495974513925</v>
      </c>
      <c r="I69" s="9"/>
      <c r="J69" s="9"/>
      <c r="K69" s="22"/>
      <c r="L69" s="9"/>
      <c r="M69" s="22"/>
      <c r="N69" s="9"/>
      <c r="O69" s="2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</row>
    <row r="70" spans="1:99" x14ac:dyDescent="0.2">
      <c r="A70" s="9"/>
      <c r="B70" s="9" t="s">
        <v>2</v>
      </c>
      <c r="C70" s="9">
        <f>IFERROR(VLOOKUP(A67,'Reporte Total'!$A$2:$V$157,13,FALSE),0)</f>
        <v>157348.07884214251</v>
      </c>
      <c r="D70" s="22">
        <f>IFERROR(VLOOKUP(A67,'Reporte Total'!$A$2:$V$157,17,FALSE),0)</f>
        <v>1.6986553363470862</v>
      </c>
      <c r="E70" s="9">
        <f>IFERROR(VLOOKUP(A67,'Reporte Total'!$A$2:$V$157,14,FALSE),0)</f>
        <v>214.26301267881615</v>
      </c>
      <c r="F70" s="22">
        <f>IFERROR(VLOOKUP(A67,'Reporte Total'!$A$2:$V$157,15,FALSE),0)</f>
        <v>3.8878244648259508</v>
      </c>
      <c r="G70" s="9">
        <f>+E70+F70*$B$321</f>
        <v>505.84984754076248</v>
      </c>
      <c r="H70" s="22">
        <f t="shared" si="3"/>
        <v>2.5590207434253269</v>
      </c>
      <c r="I70" s="9"/>
      <c r="J70" s="9"/>
      <c r="K70" s="22"/>
      <c r="L70" s="9"/>
      <c r="M70" s="22"/>
      <c r="N70" s="9"/>
      <c r="O70" s="22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</row>
    <row r="71" spans="1:99" x14ac:dyDescent="0.2">
      <c r="A71" s="9" t="s">
        <v>93</v>
      </c>
      <c r="B71" s="9" t="s">
        <v>0</v>
      </c>
      <c r="C71" s="9">
        <f>IFERROR(VLOOKUP(A71,'Reporte Total'!$A$2:$V$157,3,FALSE),0)</f>
        <v>0</v>
      </c>
      <c r="D71" s="22">
        <f>IFERROR(VLOOKUP(A71,'Reporte Total'!$A$2:$V$157,7,FALSE),0)</f>
        <v>0</v>
      </c>
      <c r="E71" s="9">
        <f>IFERROR(VLOOKUP(A71,'Reporte Total'!$A$2:$V$157,4,FALSE),0)</f>
        <v>0</v>
      </c>
      <c r="F71" s="22">
        <f>IFERROR(VLOOKUP(A71,'Reporte Total'!$A$2:$V$157,5,FALSE),0)</f>
        <v>0</v>
      </c>
      <c r="G71" s="9">
        <f>+E71+F71*$B$321</f>
        <v>0</v>
      </c>
      <c r="H71" s="22">
        <f t="shared" si="3"/>
        <v>0</v>
      </c>
      <c r="I71" s="9"/>
      <c r="J71" s="9"/>
      <c r="K71" s="22"/>
      <c r="L71" s="9"/>
      <c r="M71" s="22"/>
      <c r="N71" s="9"/>
      <c r="O71" s="22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</row>
    <row r="72" spans="1:99" x14ac:dyDescent="0.2">
      <c r="A72" s="9"/>
      <c r="B72" s="9" t="s">
        <v>1</v>
      </c>
      <c r="C72" s="9">
        <f>IFERROR(VLOOKUP(A71,'Reporte Total'!$A$2:$V$157,8,FALSE),0)</f>
        <v>0</v>
      </c>
      <c r="D72" s="22">
        <f>IFERROR(VLOOKUP(A71,'Reporte Total'!$A$2:$V$157,12,FALSE),0)</f>
        <v>0</v>
      </c>
      <c r="E72" s="9">
        <f>IFERROR(VLOOKUP(A71,'Reporte Total'!$A$2:$V$157,9,FALSE),0)</f>
        <v>0</v>
      </c>
      <c r="F72" s="22">
        <f>IFERROR(VLOOKUP(A71,'Reporte Total'!$A$2:$V$157,10,FALSE),0)</f>
        <v>0</v>
      </c>
      <c r="G72" s="9">
        <f>+E72+F72*$B$321</f>
        <v>0</v>
      </c>
      <c r="H72" s="22">
        <f t="shared" si="3"/>
        <v>0</v>
      </c>
      <c r="I72" s="9"/>
      <c r="J72" s="9"/>
      <c r="K72" s="22"/>
      <c r="L72" s="9"/>
      <c r="M72" s="22"/>
      <c r="N72" s="9"/>
      <c r="O72" s="2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</row>
    <row r="73" spans="1:99" x14ac:dyDescent="0.2">
      <c r="A73" s="9"/>
      <c r="B73" s="9" t="s">
        <v>3</v>
      </c>
      <c r="C73" s="9">
        <f>+C71+C72</f>
        <v>0</v>
      </c>
      <c r="D73" s="22">
        <f>IF(C73=0,0,(C71*D71+C72*D72)/C73)</f>
        <v>0</v>
      </c>
      <c r="E73" s="35">
        <f>+IF(C73=0,0,(C71*E71+C72*E72)/C73)</f>
        <v>0</v>
      </c>
      <c r="F73" s="22">
        <f>+IF(C73=0,0,(C71*F71+C72*F72)/C73)</f>
        <v>0</v>
      </c>
      <c r="G73" s="9">
        <f>+E73+F73*$B$321</f>
        <v>0</v>
      </c>
      <c r="H73" s="22">
        <f t="shared" si="3"/>
        <v>0</v>
      </c>
      <c r="I73" s="9"/>
      <c r="J73" s="9"/>
      <c r="K73" s="22"/>
      <c r="L73" s="9"/>
      <c r="M73" s="22"/>
      <c r="N73" s="9"/>
      <c r="O73" s="2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</row>
    <row r="74" spans="1:99" x14ac:dyDescent="0.2">
      <c r="A74" s="9"/>
      <c r="B74" s="9" t="s">
        <v>2</v>
      </c>
      <c r="C74" s="9">
        <f>IFERROR(VLOOKUP(A71,'Reporte Total'!$A$2:$V$157,13,FALSE),0)</f>
        <v>483999.08753896097</v>
      </c>
      <c r="D74" s="22">
        <f>IFERROR(VLOOKUP(A71,'Reporte Total'!$A$2:$V$157,17,FALSE),0)</f>
        <v>3.3126436667425279</v>
      </c>
      <c r="E74" s="9">
        <f>IFERROR(VLOOKUP(A71,'Reporte Total'!$A$2:$V$157,14,FALSE),0)</f>
        <v>163.5045200275471</v>
      </c>
      <c r="F74" s="22">
        <f>IFERROR(VLOOKUP(A71,'Reporte Total'!$A$2:$V$157,15,FALSE),0)</f>
        <v>5.338039483722925</v>
      </c>
      <c r="G74" s="9">
        <f>+E74+F74*$B$321</f>
        <v>563.85748130676643</v>
      </c>
      <c r="H74" s="22">
        <f t="shared" si="3"/>
        <v>8.7741413813394526</v>
      </c>
      <c r="I74" s="9"/>
      <c r="J74" s="9"/>
      <c r="K74" s="22"/>
      <c r="L74" s="9"/>
      <c r="M74" s="22"/>
      <c r="N74" s="9"/>
      <c r="O74" s="2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</row>
    <row r="75" spans="1:99" x14ac:dyDescent="0.2">
      <c r="A75" s="9" t="s">
        <v>69</v>
      </c>
      <c r="B75" s="9" t="s">
        <v>0</v>
      </c>
      <c r="C75" s="9">
        <f>IFERROR(VLOOKUP(A75,'Reporte Total'!$A$2:$V$157,3,FALSE),0)</f>
        <v>51964.024068073064</v>
      </c>
      <c r="D75" s="22">
        <f>IFERROR(VLOOKUP(A75,'Reporte Total'!$A$2:$V$157,7,FALSE),0)</f>
        <v>1.546870059157974</v>
      </c>
      <c r="E75" s="9">
        <f>IFERROR(VLOOKUP(A75,'Reporte Total'!$A$2:$V$157,4,FALSE),0)</f>
        <v>118.00969344637542</v>
      </c>
      <c r="F75" s="22">
        <f>IFERROR(VLOOKUP(A75,'Reporte Total'!$A$2:$V$157,5,FALSE),0)</f>
        <v>2.9852670814373705</v>
      </c>
      <c r="G75" s="9">
        <f>+E75+F75*$B$321</f>
        <v>341.90472455417819</v>
      </c>
      <c r="H75" s="22">
        <f t="shared" si="3"/>
        <v>0.57121370057135712</v>
      </c>
      <c r="I75" s="9"/>
      <c r="J75" s="9"/>
      <c r="K75" s="22"/>
      <c r="L75" s="9"/>
      <c r="M75" s="22"/>
      <c r="N75" s="9"/>
      <c r="O75" s="2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</row>
    <row r="76" spans="1:99" x14ac:dyDescent="0.2">
      <c r="A76" s="9"/>
      <c r="B76" s="9" t="s">
        <v>1</v>
      </c>
      <c r="C76" s="9">
        <f>IFERROR(VLOOKUP(A75,'Reporte Total'!$A$2:$V$157,8,FALSE),0)</f>
        <v>142275.34954486683</v>
      </c>
      <c r="D76" s="22">
        <f>IFERROR(VLOOKUP(A75,'Reporte Total'!$A$2:$V$157,12,FALSE),0)</f>
        <v>1.4344601508062267</v>
      </c>
      <c r="E76" s="9">
        <f>IFERROR(VLOOKUP(A75,'Reporte Total'!$A$2:$V$157,9,FALSE),0)</f>
        <v>129.57346993823413</v>
      </c>
      <c r="F76" s="22">
        <f>IFERROR(VLOOKUP(A75,'Reporte Total'!$A$2:$V$157,10,FALSE),0)</f>
        <v>3.0223632210926796</v>
      </c>
      <c r="G76" s="9">
        <f>+E76+F76*$B$321</f>
        <v>356.25071152018506</v>
      </c>
      <c r="H76" s="22">
        <f t="shared" si="3"/>
        <v>1.629581703253391</v>
      </c>
      <c r="I76" s="9"/>
      <c r="J76" s="9"/>
      <c r="K76" s="22"/>
      <c r="L76" s="9"/>
      <c r="M76" s="22"/>
      <c r="N76" s="9"/>
      <c r="O76" s="22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</row>
    <row r="77" spans="1:99" x14ac:dyDescent="0.2">
      <c r="A77" s="9"/>
      <c r="B77" s="9" t="s">
        <v>3</v>
      </c>
      <c r="C77" s="9">
        <f>+C75+C76</f>
        <v>194239.3736129399</v>
      </c>
      <c r="D77" s="22">
        <f>IF(C77=0,0,(C75*D75+C76*D76)/C77)</f>
        <v>1.4645326900367119</v>
      </c>
      <c r="E77" s="35">
        <f>+IF(C77=0,0,(C75*E75+C76*E76)/C77)</f>
        <v>126.47986255697178</v>
      </c>
      <c r="F77" s="22">
        <f>+IF(C77=0,0,(C75*F75+C76*F76)/C77)</f>
        <v>3.0124390504262197</v>
      </c>
      <c r="G77" s="9">
        <f>+E77+F77*$B$321</f>
        <v>352.41279133893823</v>
      </c>
      <c r="H77" s="22">
        <f t="shared" si="3"/>
        <v>2.2007954038247481</v>
      </c>
      <c r="I77" s="9"/>
      <c r="J77" s="9"/>
      <c r="K77" s="22"/>
      <c r="L77" s="9"/>
      <c r="M77" s="22"/>
      <c r="N77" s="9"/>
      <c r="O77" s="22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</row>
    <row r="78" spans="1:99" x14ac:dyDescent="0.2">
      <c r="A78" s="9"/>
      <c r="B78" s="9" t="s">
        <v>2</v>
      </c>
      <c r="C78" s="9">
        <f>IFERROR(VLOOKUP(A75,'Reporte Total'!$A$2:$V$157,13,FALSE),0)</f>
        <v>222775.36404535695</v>
      </c>
      <c r="D78" s="22">
        <f>IFERROR(VLOOKUP(A75,'Reporte Total'!$A$2:$V$157,17,FALSE),0)</f>
        <v>1.4271942198259366</v>
      </c>
      <c r="E78" s="9">
        <f>IFERROR(VLOOKUP(A75,'Reporte Total'!$A$2:$V$157,14,FALSE),0)</f>
        <v>157.38489491921922</v>
      </c>
      <c r="F78" s="22">
        <f>IFERROR(VLOOKUP(A75,'Reporte Total'!$A$2:$V$157,15,FALSE),0)</f>
        <v>2.2736032720957096</v>
      </c>
      <c r="G78" s="9">
        <f>+E78+F78*$B$321</f>
        <v>327.90514032639743</v>
      </c>
      <c r="H78" s="22">
        <f t="shared" si="3"/>
        <v>2.3485841467538076</v>
      </c>
      <c r="I78" s="9"/>
      <c r="J78" s="9"/>
      <c r="K78" s="22"/>
      <c r="L78" s="9"/>
      <c r="M78" s="22"/>
      <c r="N78" s="9"/>
      <c r="O78" s="22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</row>
    <row r="79" spans="1:99" x14ac:dyDescent="0.2">
      <c r="A79" s="9" t="s">
        <v>40</v>
      </c>
      <c r="B79" s="9" t="s">
        <v>0</v>
      </c>
      <c r="C79" s="9">
        <f>IFERROR(VLOOKUP(A79,'Reporte Total'!$A$2:$V$157,3,FALSE),0)</f>
        <v>900.4</v>
      </c>
      <c r="D79" s="22">
        <f>IFERROR(VLOOKUP(A79,'Reporte Total'!$A$2:$V$157,7,FALSE),0)</f>
        <v>1.444</v>
      </c>
      <c r="E79" s="9">
        <f>IFERROR(VLOOKUP(A79,'Reporte Total'!$A$2:$V$157,4,FALSE),0)</f>
        <v>59.61</v>
      </c>
      <c r="F79" s="22">
        <f>IFERROR(VLOOKUP(A79,'Reporte Total'!$A$2:$V$157,5,FALSE),0)</f>
        <v>1.778</v>
      </c>
      <c r="G79" s="9">
        <f>+E79+F79*$B$321</f>
        <v>192.95999999999998</v>
      </c>
      <c r="H79" s="22">
        <f t="shared" si="3"/>
        <v>5.585904608806082E-3</v>
      </c>
      <c r="I79" s="9"/>
      <c r="J79" s="9"/>
      <c r="K79" s="22"/>
      <c r="L79" s="9"/>
      <c r="M79" s="22"/>
      <c r="N79" s="9"/>
      <c r="O79" s="22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</row>
    <row r="80" spans="1:99" x14ac:dyDescent="0.2">
      <c r="A80" s="9"/>
      <c r="B80" s="9" t="s">
        <v>1</v>
      </c>
      <c r="C80" s="9">
        <f>IFERROR(VLOOKUP(A79,'Reporte Total'!$A$2:$V$157,8,FALSE),0)</f>
        <v>53458</v>
      </c>
      <c r="D80" s="22">
        <f>IFERROR(VLOOKUP(A79,'Reporte Total'!$A$2:$V$157,12,FALSE),0)</f>
        <v>1.9990000000000001</v>
      </c>
      <c r="E80" s="9">
        <f>IFERROR(VLOOKUP(A79,'Reporte Total'!$A$2:$V$157,9,FALSE),0)</f>
        <v>68.61</v>
      </c>
      <c r="F80" s="22">
        <f>IFERROR(VLOOKUP(A79,'Reporte Total'!$A$2:$V$157,10,FALSE),0)</f>
        <v>2.5259999999999998</v>
      </c>
      <c r="G80" s="9">
        <f>+E80+F80*$B$321</f>
        <v>258.06</v>
      </c>
      <c r="H80" s="22">
        <f t="shared" si="3"/>
        <v>0.44353116144485349</v>
      </c>
      <c r="I80" s="9"/>
      <c r="J80" s="9"/>
      <c r="K80" s="22"/>
      <c r="L80" s="9"/>
      <c r="M80" s="22"/>
      <c r="N80" s="9"/>
      <c r="O80" s="22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</row>
    <row r="81" spans="1:99" x14ac:dyDescent="0.2">
      <c r="A81" s="9"/>
      <c r="B81" s="9" t="s">
        <v>3</v>
      </c>
      <c r="C81" s="9">
        <f>+C79+C80</f>
        <v>54358.400000000001</v>
      </c>
      <c r="D81" s="22">
        <f>IF(C81=0,0,(C79*D79+C80*D80)/C81)</f>
        <v>1.9898069038087949</v>
      </c>
      <c r="E81" s="35">
        <f>+IF(C81=0,0,(C79*E79+C80*E80)/C81)</f>
        <v>68.460922764466943</v>
      </c>
      <c r="F81" s="22">
        <f>+IF(C81=0,0,(C79*F79+C80*F80)/C81)</f>
        <v>2.5136100253134748</v>
      </c>
      <c r="G81" s="9">
        <f>+E81+F81*$B$321</f>
        <v>256.98167466297753</v>
      </c>
      <c r="H81" s="22">
        <f t="shared" si="3"/>
        <v>0.44911706605365947</v>
      </c>
      <c r="I81" s="9"/>
      <c r="J81" s="9"/>
      <c r="K81" s="22"/>
      <c r="L81" s="9"/>
      <c r="M81" s="22"/>
      <c r="N81" s="9"/>
      <c r="O81" s="22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</row>
    <row r="82" spans="1:99" x14ac:dyDescent="0.2">
      <c r="A82" s="32"/>
      <c r="B82" s="9" t="s">
        <v>2</v>
      </c>
      <c r="C82" s="9">
        <f>IFERROR(VLOOKUP(A79,'Reporte Total'!$A$2:$V$157,13,FALSE),0)</f>
        <v>358456.5</v>
      </c>
      <c r="D82" s="22">
        <f>IFERROR(VLOOKUP(A79,'Reporte Total'!$A$2:$V$157,17,FALSE),0)</f>
        <v>1.6659999999999999</v>
      </c>
      <c r="E82" s="9">
        <f>IFERROR(VLOOKUP(A79,'Reporte Total'!$A$2:$V$157,14,FALSE),0)</f>
        <v>84.81</v>
      </c>
      <c r="F82" s="22">
        <f>IFERROR(VLOOKUP(A79,'Reporte Total'!$A$2:$V$157,15,FALSE),0)</f>
        <v>2.1589999999999998</v>
      </c>
      <c r="G82" s="9">
        <f>+E82+F82*$B$321</f>
        <v>246.73499999999999</v>
      </c>
      <c r="H82" s="22">
        <f t="shared" si="3"/>
        <v>2.8435309379169547</v>
      </c>
      <c r="I82" s="9"/>
      <c r="J82" s="9"/>
      <c r="K82" s="22"/>
      <c r="L82" s="9"/>
      <c r="M82" s="22"/>
      <c r="N82" s="9"/>
      <c r="O82" s="22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</row>
    <row r="83" spans="1:99" x14ac:dyDescent="0.2">
      <c r="A83" s="9" t="s">
        <v>78</v>
      </c>
      <c r="B83" s="9" t="s">
        <v>0</v>
      </c>
      <c r="C83" s="9">
        <f>IFERROR(VLOOKUP(A83,'Reporte Total'!$A$2:$V$157,3,FALSE),0)</f>
        <v>0</v>
      </c>
      <c r="D83" s="22">
        <f>IFERROR(VLOOKUP(A83,'Reporte Total'!$A$2:$V$157,7,FALSE),0)</f>
        <v>0</v>
      </c>
      <c r="E83" s="9">
        <f>IFERROR(VLOOKUP(A83,'Reporte Total'!$A$2:$V$157,4,FALSE),0)</f>
        <v>0</v>
      </c>
      <c r="F83" s="22">
        <f>IFERROR(VLOOKUP(A83,'Reporte Total'!$A$2:$V$157,5,FALSE),0)</f>
        <v>0</v>
      </c>
      <c r="G83" s="9">
        <f>+E83+F83*$B$321</f>
        <v>0</v>
      </c>
      <c r="H83" s="22">
        <f t="shared" si="3"/>
        <v>0</v>
      </c>
      <c r="I83" s="9"/>
      <c r="J83" s="9"/>
      <c r="K83" s="22"/>
      <c r="L83" s="9"/>
      <c r="M83" s="22"/>
      <c r="N83" s="9"/>
      <c r="O83" s="22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</row>
    <row r="84" spans="1:99" x14ac:dyDescent="0.2">
      <c r="A84" s="9"/>
      <c r="B84" s="9" t="s">
        <v>1</v>
      </c>
      <c r="C84" s="9">
        <f>IFERROR(VLOOKUP(A83,'Reporte Total'!$A$2:$V$157,8,FALSE),0)</f>
        <v>0</v>
      </c>
      <c r="D84" s="22">
        <f>IFERROR(VLOOKUP(A83,'Reporte Total'!$A$2:$V$157,12,FALSE),0)</f>
        <v>0</v>
      </c>
      <c r="E84" s="9">
        <f>IFERROR(VLOOKUP(A83,'Reporte Total'!$A$2:$V$157,9,FALSE),0)</f>
        <v>0</v>
      </c>
      <c r="F84" s="22">
        <f>IFERROR(VLOOKUP(A83,'Reporte Total'!$A$2:$V$157,10,FALSE),0)</f>
        <v>0</v>
      </c>
      <c r="G84" s="9">
        <f>+E84+F84*$B$321</f>
        <v>0</v>
      </c>
      <c r="H84" s="22">
        <f t="shared" si="3"/>
        <v>0</v>
      </c>
      <c r="I84" s="9"/>
      <c r="J84" s="9"/>
      <c r="K84" s="22"/>
      <c r="L84" s="9"/>
      <c r="M84" s="22"/>
      <c r="N84" s="9"/>
      <c r="O84" s="2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</row>
    <row r="85" spans="1:99" x14ac:dyDescent="0.2">
      <c r="A85" s="9"/>
      <c r="B85" s="9" t="s">
        <v>3</v>
      </c>
      <c r="C85" s="9">
        <f>+C83+C84</f>
        <v>0</v>
      </c>
      <c r="D85" s="22">
        <f>IF(C85=0,0,(C83*D83+C84*D84)/C85)</f>
        <v>0</v>
      </c>
      <c r="E85" s="35">
        <f>+IF(C85=0,0,(C83*E83+C84*E84)/C85)</f>
        <v>0</v>
      </c>
      <c r="F85" s="22">
        <f>+IF(C85=0,0,(C83*F83+C84*F84)/C85)</f>
        <v>0</v>
      </c>
      <c r="G85" s="9">
        <f>+E85+F85*$B$321</f>
        <v>0</v>
      </c>
      <c r="H85" s="22">
        <f t="shared" si="3"/>
        <v>0</v>
      </c>
      <c r="I85" s="9"/>
      <c r="J85" s="9"/>
      <c r="K85" s="22"/>
      <c r="L85" s="9"/>
      <c r="M85" s="22"/>
      <c r="N85" s="9"/>
      <c r="O85" s="2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</row>
    <row r="86" spans="1:99" x14ac:dyDescent="0.2">
      <c r="A86" s="9"/>
      <c r="B86" s="9" t="s">
        <v>2</v>
      </c>
      <c r="C86" s="9">
        <f>IFERROR(VLOOKUP(A83,'Reporte Total'!$A$2:$V$157,13,FALSE),0)</f>
        <v>404635.15015318833</v>
      </c>
      <c r="D86" s="22">
        <f>IFERROR(VLOOKUP(A83,'Reporte Total'!$A$2:$V$157,17,FALSE),0)</f>
        <v>0.91440060901278541</v>
      </c>
      <c r="E86" s="9">
        <f>IFERROR(VLOOKUP(A83,'Reporte Total'!$A$2:$V$157,14,FALSE),0)</f>
        <v>70.474012876885581</v>
      </c>
      <c r="F86" s="22">
        <f>IFERROR(VLOOKUP(A83,'Reporte Total'!$A$2:$V$157,15,FALSE),0)</f>
        <v>3.3660498345851777</v>
      </c>
      <c r="G86" s="9">
        <f>+E86+F86*$B$321</f>
        <v>322.9277504707739</v>
      </c>
      <c r="H86" s="22">
        <f t="shared" si="3"/>
        <v>4.2010680084354792</v>
      </c>
      <c r="I86" s="9"/>
      <c r="J86" s="9"/>
      <c r="K86" s="22"/>
      <c r="L86" s="9"/>
      <c r="M86" s="22"/>
      <c r="N86" s="9"/>
      <c r="O86" s="2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</row>
    <row r="87" spans="1:99" x14ac:dyDescent="0.2">
      <c r="A87" s="9" t="s">
        <v>82</v>
      </c>
      <c r="B87" s="9" t="s">
        <v>0</v>
      </c>
      <c r="C87" s="9">
        <f>IFERROR(VLOOKUP(A87,'Reporte Total'!$A$2:$V$157,3,FALSE),0)</f>
        <v>0</v>
      </c>
      <c r="D87" s="22">
        <f>IFERROR(VLOOKUP(A87,'Reporte Total'!$A$2:$V$157,7,FALSE),0)</f>
        <v>0</v>
      </c>
      <c r="E87" s="9">
        <f>IFERROR(VLOOKUP(A87,'Reporte Total'!$A$2:$V$157,4,FALSE),0)</f>
        <v>0</v>
      </c>
      <c r="F87" s="22">
        <f>IFERROR(VLOOKUP(A87,'Reporte Total'!$A$2:$V$157,5,FALSE),0)</f>
        <v>0</v>
      </c>
      <c r="G87" s="9">
        <f>+E87+F87*$B$321</f>
        <v>0</v>
      </c>
      <c r="H87" s="22">
        <f t="shared" si="3"/>
        <v>0</v>
      </c>
      <c r="I87" s="9"/>
      <c r="J87" s="9"/>
      <c r="K87" s="22"/>
      <c r="L87" s="9"/>
      <c r="M87" s="22"/>
      <c r="N87" s="9"/>
      <c r="O87" s="2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</row>
    <row r="88" spans="1:99" x14ac:dyDescent="0.2">
      <c r="A88" s="9"/>
      <c r="B88" s="9" t="s">
        <v>1</v>
      </c>
      <c r="C88" s="9">
        <f>IFERROR(VLOOKUP(A87,'Reporte Total'!$A$2:$V$157,8,FALSE),0)</f>
        <v>119800.38981520018</v>
      </c>
      <c r="D88" s="22">
        <f>IFERROR(VLOOKUP(A87,'Reporte Total'!$A$2:$V$157,12,FALSE),0)</f>
        <v>1.3699061500190846</v>
      </c>
      <c r="E88" s="9">
        <f>IFERROR(VLOOKUP(A87,'Reporte Total'!$A$2:$V$157,9,FALSE),0)</f>
        <v>75.434456365547121</v>
      </c>
      <c r="F88" s="22">
        <f>IFERROR(VLOOKUP(A87,'Reporte Total'!$A$2:$V$157,10,FALSE),0)</f>
        <v>4.5508206814730974</v>
      </c>
      <c r="G88" s="9">
        <f>+E88+F88*$B$321</f>
        <v>416.74600747602943</v>
      </c>
      <c r="H88" s="22">
        <f t="shared" si="3"/>
        <v>1.605167719052732</v>
      </c>
      <c r="I88" s="9"/>
      <c r="J88" s="9"/>
      <c r="K88" s="22"/>
      <c r="L88" s="9"/>
      <c r="M88" s="22"/>
      <c r="N88" s="9"/>
      <c r="O88" s="2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</row>
    <row r="89" spans="1:99" x14ac:dyDescent="0.2">
      <c r="A89" s="9"/>
      <c r="B89" s="9" t="s">
        <v>3</v>
      </c>
      <c r="C89" s="9">
        <f>+C87+C88</f>
        <v>119800.38981520018</v>
      </c>
      <c r="D89" s="22">
        <f>IF(C89=0,0,(C87*D87+C88*D88)/C89)</f>
        <v>1.3699061500190846</v>
      </c>
      <c r="E89" s="35">
        <f>+IF(C89=0,0,(C87*E87+C88*E88)/C89)</f>
        <v>75.434456365547121</v>
      </c>
      <c r="F89" s="22">
        <f>+IF(C89=0,0,(C87*F87+C88*F88)/C89)</f>
        <v>4.5508206814730974</v>
      </c>
      <c r="G89" s="9">
        <f>+E89+F89*$B$321</f>
        <v>416.74600747602943</v>
      </c>
      <c r="H89" s="22">
        <f t="shared" si="3"/>
        <v>1.605167719052732</v>
      </c>
      <c r="I89" s="9"/>
      <c r="J89" s="9"/>
      <c r="K89" s="22"/>
      <c r="L89" s="9"/>
      <c r="M89" s="22"/>
      <c r="N89" s="9"/>
      <c r="O89" s="2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</row>
    <row r="90" spans="1:99" x14ac:dyDescent="0.2">
      <c r="A90" s="9"/>
      <c r="B90" s="9" t="s">
        <v>2</v>
      </c>
      <c r="C90" s="9">
        <f>IFERROR(VLOOKUP(A87,'Reporte Total'!$A$2:$V$157,13,FALSE),0)</f>
        <v>279837.96598311252</v>
      </c>
      <c r="D90" s="22">
        <f>IFERROR(VLOOKUP(A87,'Reporte Total'!$A$2:$V$157,17,FALSE),0)</f>
        <v>1.274549065982107</v>
      </c>
      <c r="E90" s="9">
        <f>IFERROR(VLOOKUP(A87,'Reporte Total'!$A$2:$V$157,14,FALSE),0)</f>
        <v>58.093323999615997</v>
      </c>
      <c r="F90" s="22">
        <f>IFERROR(VLOOKUP(A87,'Reporte Total'!$A$2:$V$157,15,FALSE),0)</f>
        <v>3.861232721927645</v>
      </c>
      <c r="G90" s="9">
        <f>+E90+F90*$B$321</f>
        <v>347.68577814418938</v>
      </c>
      <c r="H90" s="22">
        <f t="shared" si="3"/>
        <v>3.128126447413496</v>
      </c>
      <c r="I90" s="9"/>
      <c r="J90" s="9"/>
      <c r="K90" s="22"/>
      <c r="L90" s="9"/>
      <c r="M90" s="22"/>
      <c r="N90" s="9"/>
      <c r="O90" s="22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</row>
    <row r="91" spans="1:99" x14ac:dyDescent="0.2">
      <c r="A91" s="9" t="s">
        <v>54</v>
      </c>
      <c r="B91" s="9" t="s">
        <v>0</v>
      </c>
      <c r="C91" s="9">
        <f>IFERROR(VLOOKUP(A91,'Reporte Total'!$A$2:$V$157,3,FALSE),0)</f>
        <v>0</v>
      </c>
      <c r="D91" s="22">
        <f>IFERROR(VLOOKUP(A91,'Reporte Total'!$A$2:$V$157,7,FALSE),0)</f>
        <v>0</v>
      </c>
      <c r="E91" s="9">
        <f>IFERROR(VLOOKUP(A91,'Reporte Total'!$A$2:$V$157,4,FALSE),0)</f>
        <v>0</v>
      </c>
      <c r="F91" s="22">
        <f>IFERROR(VLOOKUP(A91,'Reporte Total'!$A$2:$V$157,5,FALSE),0)</f>
        <v>0</v>
      </c>
      <c r="G91" s="9">
        <f>+E91+F91*$B$321</f>
        <v>0</v>
      </c>
      <c r="H91" s="22">
        <f t="shared" si="3"/>
        <v>0</v>
      </c>
      <c r="I91" s="9"/>
      <c r="J91" s="9"/>
      <c r="K91" s="22"/>
      <c r="L91" s="9"/>
      <c r="M91" s="22"/>
      <c r="N91" s="9"/>
      <c r="O91" s="22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</row>
    <row r="92" spans="1:99" x14ac:dyDescent="0.2">
      <c r="A92" s="9"/>
      <c r="B92" s="9" t="s">
        <v>1</v>
      </c>
      <c r="C92" s="9">
        <f>IFERROR(VLOOKUP(A91,'Reporte Total'!$A$2:$V$157,8,FALSE),0)</f>
        <v>224469.3708480075</v>
      </c>
      <c r="D92" s="22">
        <f>IFERROR(VLOOKUP(A91,'Reporte Total'!$A$2:$V$157,12,FALSE),0)</f>
        <v>2.7321400418864981</v>
      </c>
      <c r="E92" s="9">
        <f>IFERROR(VLOOKUP(A91,'Reporte Total'!$A$2:$V$157,9,FALSE),0)</f>
        <v>66.672330517782513</v>
      </c>
      <c r="F92" s="22">
        <f>IFERROR(VLOOKUP(A91,'Reporte Total'!$A$2:$V$157,10,FALSE),0)</f>
        <v>2.8712240229083581</v>
      </c>
      <c r="G92" s="9">
        <f>+E92+F92*$B$321</f>
        <v>282.01413223590936</v>
      </c>
      <c r="H92" s="22">
        <f t="shared" si="3"/>
        <v>2.0352543872310629</v>
      </c>
      <c r="I92" s="9"/>
      <c r="J92" s="9"/>
      <c r="K92" s="22"/>
      <c r="L92" s="9"/>
      <c r="M92" s="22"/>
      <c r="N92" s="9"/>
      <c r="O92" s="22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</row>
    <row r="93" spans="1:99" x14ac:dyDescent="0.2">
      <c r="A93" s="9"/>
      <c r="B93" s="9" t="s">
        <v>3</v>
      </c>
      <c r="C93" s="9">
        <f>+C91+C92</f>
        <v>224469.3708480075</v>
      </c>
      <c r="D93" s="22">
        <f>IF(C93=0,0,(C91*D91+C92*D92)/C93)</f>
        <v>2.7321400418864981</v>
      </c>
      <c r="E93" s="35">
        <f>+IF(C93=0,0,(C91*E91+C92*E92)/C93)</f>
        <v>66.672330517782513</v>
      </c>
      <c r="F93" s="22">
        <f>+IF(C93=0,0,(C91*F91+C92*F92)/C93)</f>
        <v>2.8712240229083581</v>
      </c>
      <c r="G93" s="9">
        <f>+E93+F93*$B$321</f>
        <v>282.01413223590936</v>
      </c>
      <c r="H93" s="22">
        <f t="shared" si="3"/>
        <v>2.0352543872310629</v>
      </c>
      <c r="I93" s="9"/>
      <c r="J93" s="9"/>
      <c r="K93" s="22"/>
      <c r="L93" s="9"/>
      <c r="M93" s="22"/>
      <c r="N93" s="9"/>
      <c r="O93" s="22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</row>
    <row r="94" spans="1:99" x14ac:dyDescent="0.2">
      <c r="A94" s="9"/>
      <c r="B94" s="9" t="s">
        <v>2</v>
      </c>
      <c r="C94" s="9">
        <f>IFERROR(VLOOKUP(A91,'Reporte Total'!$A$2:$V$157,13,FALSE),0)</f>
        <v>162226.99721118063</v>
      </c>
      <c r="D94" s="22">
        <f>IFERROR(VLOOKUP(A91,'Reporte Total'!$A$2:$V$157,17,FALSE),0)</f>
        <v>3.0332934380118353</v>
      </c>
      <c r="E94" s="9">
        <f>IFERROR(VLOOKUP(A91,'Reporte Total'!$A$2:$V$157,14,FALSE),0)</f>
        <v>46.382000885382958</v>
      </c>
      <c r="F94" s="22">
        <f>IFERROR(VLOOKUP(A91,'Reporte Total'!$A$2:$V$157,15,FALSE),0)</f>
        <v>2.2639060795724868</v>
      </c>
      <c r="G94" s="9">
        <f>+E94+F94*$B$321</f>
        <v>216.17495685331946</v>
      </c>
      <c r="H94" s="22">
        <f t="shared" si="3"/>
        <v>1.1275070047605751</v>
      </c>
      <c r="I94" s="9"/>
      <c r="J94" s="9"/>
      <c r="K94" s="22"/>
      <c r="L94" s="9"/>
      <c r="M94" s="22"/>
      <c r="N94" s="9"/>
      <c r="O94" s="22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</row>
    <row r="95" spans="1:99" x14ac:dyDescent="0.2">
      <c r="A95" s="9" t="s">
        <v>55</v>
      </c>
      <c r="B95" s="9" t="s">
        <v>0</v>
      </c>
      <c r="C95" s="9">
        <f>IFERROR(VLOOKUP(A95,'Reporte Total'!$A$2:$V$157,3,FALSE),0)</f>
        <v>162391.71228730542</v>
      </c>
      <c r="D95" s="22">
        <f>IFERROR(VLOOKUP(A95,'Reporte Total'!$A$2:$V$157,7,FALSE),0)</f>
        <v>2.4719109726696238</v>
      </c>
      <c r="E95" s="9">
        <f>IFERROR(VLOOKUP(A95,'Reporte Total'!$A$2:$V$157,4,FALSE),0)</f>
        <v>86.955004452647302</v>
      </c>
      <c r="F95" s="22">
        <f>IFERROR(VLOOKUP(A95,'Reporte Total'!$A$2:$V$157,5,FALSE),0)</f>
        <v>3.0555045423831411</v>
      </c>
      <c r="G95" s="9">
        <f>+E95+F95*$B$321</f>
        <v>316.11784513138286</v>
      </c>
      <c r="H95" s="22">
        <f t="shared" si="3"/>
        <v>1.6504547126676579</v>
      </c>
      <c r="I95" s="9"/>
      <c r="J95" s="9"/>
      <c r="K95" s="22"/>
      <c r="L95" s="9"/>
      <c r="M95" s="22"/>
      <c r="N95" s="9"/>
      <c r="O95" s="22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</row>
    <row r="96" spans="1:99" x14ac:dyDescent="0.2">
      <c r="A96" s="9"/>
      <c r="B96" s="9" t="s">
        <v>1</v>
      </c>
      <c r="C96" s="9">
        <f>IFERROR(VLOOKUP(A95,'Reporte Total'!$A$2:$V$157,8,FALSE),0)</f>
        <v>60968.574127521904</v>
      </c>
      <c r="D96" s="22">
        <f>IFERROR(VLOOKUP(A95,'Reporte Total'!$A$2:$V$157,12,FALSE),0)</f>
        <v>1.6465822748187877</v>
      </c>
      <c r="E96" s="9">
        <f>IFERROR(VLOOKUP(A95,'Reporte Total'!$A$2:$V$157,9,FALSE),0)</f>
        <v>79.713273531527747</v>
      </c>
      <c r="F96" s="22">
        <f>IFERROR(VLOOKUP(A95,'Reporte Total'!$A$2:$V$157,10,FALSE),0)</f>
        <v>3.1179088511001014</v>
      </c>
      <c r="G96" s="9">
        <f>+E96+F96*$B$321</f>
        <v>313.55643736403533</v>
      </c>
      <c r="H96" s="22">
        <f t="shared" si="3"/>
        <v>0.61462822173037979</v>
      </c>
      <c r="I96" s="9"/>
      <c r="J96" s="9"/>
      <c r="K96" s="22"/>
      <c r="L96" s="9"/>
      <c r="M96" s="22"/>
      <c r="N96" s="9"/>
      <c r="O96" s="22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</row>
    <row r="97" spans="1:99" x14ac:dyDescent="0.2">
      <c r="A97" s="9"/>
      <c r="B97" s="9" t="s">
        <v>3</v>
      </c>
      <c r="C97" s="9">
        <f>+C95+C96</f>
        <v>223360.28641482734</v>
      </c>
      <c r="D97" s="22">
        <f>IF(C97=0,0,(C95*D95+C96*D96)/C97)</f>
        <v>2.2466286957610215</v>
      </c>
      <c r="E97" s="35">
        <f>+IF(C97=0,0,(C95*E95+C96*E96)/C97)</f>
        <v>84.978296705882272</v>
      </c>
      <c r="F97" s="22">
        <f>+IF(C97=0,0,(C95*F95+C96*F96)/C97)</f>
        <v>3.0725384644959584</v>
      </c>
      <c r="G97" s="9">
        <f>+E97+F97*$B$321</f>
        <v>315.41868154307917</v>
      </c>
      <c r="H97" s="22">
        <f t="shared" si="3"/>
        <v>2.2650829343980381</v>
      </c>
      <c r="I97" s="9"/>
      <c r="J97" s="9"/>
      <c r="K97" s="22"/>
      <c r="L97" s="9"/>
      <c r="M97" s="22"/>
      <c r="N97" s="9"/>
      <c r="O97" s="22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</row>
    <row r="98" spans="1:99" x14ac:dyDescent="0.2">
      <c r="A98" s="9"/>
      <c r="B98" s="9" t="s">
        <v>2</v>
      </c>
      <c r="C98" s="9">
        <f>IFERROR(VLOOKUP(A95,'Reporte Total'!$A$2:$V$157,13,FALSE),0)</f>
        <v>103645.61448195305</v>
      </c>
      <c r="D98" s="22">
        <f>IFERROR(VLOOKUP(A95,'Reporte Total'!$A$2:$V$157,17,FALSE),0)</f>
        <v>1.3671642885112181</v>
      </c>
      <c r="E98" s="9">
        <f>IFERROR(VLOOKUP(A95,'Reporte Total'!$A$2:$V$157,14,FALSE),0)</f>
        <v>67.980288264872172</v>
      </c>
      <c r="F98" s="22">
        <f>IFERROR(VLOOKUP(A95,'Reporte Total'!$A$2:$V$157,15,FALSE),0)</f>
        <v>1.9196576492591473</v>
      </c>
      <c r="G98" s="9">
        <f>+E98+F98*$B$321</f>
        <v>211.95461195930821</v>
      </c>
      <c r="H98" s="22">
        <f t="shared" si="3"/>
        <v>0.70629241078355853</v>
      </c>
      <c r="I98" s="9"/>
      <c r="J98" s="9"/>
      <c r="K98" s="22"/>
      <c r="L98" s="9"/>
      <c r="M98" s="22"/>
      <c r="N98" s="9"/>
      <c r="O98" s="22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</row>
    <row r="99" spans="1:99" x14ac:dyDescent="0.2">
      <c r="A99" s="9" t="s">
        <v>113</v>
      </c>
      <c r="B99" s="9" t="s">
        <v>0</v>
      </c>
      <c r="C99" s="9">
        <f>IFERROR(VLOOKUP(A99,'Reporte Total'!$A$2:$V$157,3,FALSE),0)</f>
        <v>16060.715715281565</v>
      </c>
      <c r="D99" s="22">
        <f>IFERROR(VLOOKUP(A99,'Reporte Total'!$A$2:$V$157,7,FALSE),0)</f>
        <v>1.9745062045626465</v>
      </c>
      <c r="E99" s="9">
        <f>IFERROR(VLOOKUP(A99,'Reporte Total'!$A$2:$V$157,4,FALSE),0)</f>
        <v>134.82879918559146</v>
      </c>
      <c r="F99" s="22">
        <f>IFERROR(VLOOKUP(A99,'Reporte Total'!$A$2:$V$157,5,FALSE),0)</f>
        <v>5.3397584785164156</v>
      </c>
      <c r="G99" s="9">
        <f>+E99+F99*$B$321</f>
        <v>535.31068507432269</v>
      </c>
      <c r="H99" s="22">
        <f t="shared" si="3"/>
        <v>0.27641496077069511</v>
      </c>
      <c r="I99" s="9"/>
      <c r="J99" s="9"/>
      <c r="K99" s="22"/>
      <c r="L99" s="9"/>
      <c r="M99" s="22"/>
      <c r="N99" s="9"/>
      <c r="O99" s="22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</row>
    <row r="100" spans="1:99" x14ac:dyDescent="0.2">
      <c r="A100" s="9"/>
      <c r="B100" s="9" t="s">
        <v>1</v>
      </c>
      <c r="C100" s="9">
        <f>IFERROR(VLOOKUP(A99,'Reporte Total'!$A$2:$V$157,8,FALSE),0)</f>
        <v>100665.2446078486</v>
      </c>
      <c r="D100" s="22">
        <f>IFERROR(VLOOKUP(A99,'Reporte Total'!$A$2:$V$157,12,FALSE),0)</f>
        <v>2.1049467496711838</v>
      </c>
      <c r="E100" s="9">
        <f>IFERROR(VLOOKUP(A99,'Reporte Total'!$A$2:$V$157,9,FALSE),0)</f>
        <v>106.82015481510881</v>
      </c>
      <c r="F100" s="22">
        <f>IFERROR(VLOOKUP(A99,'Reporte Total'!$A$2:$V$157,10,FALSE),0)</f>
        <v>2.8792379320829071</v>
      </c>
      <c r="G100" s="9">
        <f>+E100+F100*$B$321</f>
        <v>322.76299972132682</v>
      </c>
      <c r="H100" s="22">
        <f t="shared" si="3"/>
        <v>1.0446096522034605</v>
      </c>
      <c r="I100" s="9"/>
      <c r="J100" s="9"/>
      <c r="K100" s="22"/>
      <c r="L100" s="9"/>
      <c r="M100" s="22"/>
      <c r="N100" s="9"/>
      <c r="O100" s="22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</row>
    <row r="101" spans="1:99" x14ac:dyDescent="0.2">
      <c r="A101" s="9"/>
      <c r="B101" s="9" t="s">
        <v>3</v>
      </c>
      <c r="C101" s="9">
        <f>+C99+C100</f>
        <v>116725.96032313016</v>
      </c>
      <c r="D101" s="22">
        <f>IF(C101=0,0,(C99*D99+C100*D100)/C101)</f>
        <v>2.0869989983146295</v>
      </c>
      <c r="E101" s="35">
        <f>+IF(C101=0,0,(C99*E99+C100*E100)/C101)</f>
        <v>110.67395797560083</v>
      </c>
      <c r="F101" s="22">
        <f>+IF(C101=0,0,(C99*F99+C100*F100)/C101)</f>
        <v>3.2177891926463817</v>
      </c>
      <c r="G101" s="9">
        <f>+E101+F101*$B$321</f>
        <v>352.00814742407948</v>
      </c>
      <c r="H101" s="22">
        <f t="shared" si="3"/>
        <v>1.3210246129741556</v>
      </c>
      <c r="I101" s="9"/>
      <c r="J101" s="9"/>
      <c r="K101" s="22"/>
      <c r="L101" s="9"/>
      <c r="M101" s="22"/>
      <c r="N101" s="9"/>
      <c r="O101" s="22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</row>
    <row r="102" spans="1:99" x14ac:dyDescent="0.2">
      <c r="A102" s="9"/>
      <c r="B102" s="9" t="s">
        <v>2</v>
      </c>
      <c r="C102" s="9">
        <f>IFERROR(VLOOKUP(A99,'Reporte Total'!$A$2:$V$157,13,FALSE),0)</f>
        <v>230613.67774899333</v>
      </c>
      <c r="D102" s="22">
        <f>IFERROR(VLOOKUP(A99,'Reporte Total'!$A$2:$V$157,17,FALSE),0)</f>
        <v>2.3828442492707258</v>
      </c>
      <c r="E102" s="9">
        <f>IFERROR(VLOOKUP(A99,'Reporte Total'!$A$2:$V$157,14,FALSE),0)</f>
        <v>114.20340245583151</v>
      </c>
      <c r="F102" s="22">
        <f>IFERROR(VLOOKUP(A99,'Reporte Total'!$A$2:$V$157,15,FALSE),0)</f>
        <v>2.8493090992757621</v>
      </c>
      <c r="G102" s="9">
        <f>+E102+F102*$B$321</f>
        <v>327.90158490151367</v>
      </c>
      <c r="H102" s="22">
        <f t="shared" si="3"/>
        <v>2.4311923234961288</v>
      </c>
      <c r="I102" s="9"/>
      <c r="J102" s="9"/>
      <c r="K102" s="22"/>
      <c r="L102" s="9"/>
      <c r="M102" s="22"/>
      <c r="N102" s="9"/>
      <c r="O102" s="22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</row>
    <row r="103" spans="1:99" x14ac:dyDescent="0.2">
      <c r="A103" s="9" t="s">
        <v>66</v>
      </c>
      <c r="B103" s="9" t="s">
        <v>0</v>
      </c>
      <c r="C103" s="9">
        <f>IFERROR(VLOOKUP(A103,'Reporte Total'!$A$2:$V$157,3,FALSE),0)</f>
        <v>0</v>
      </c>
      <c r="D103" s="22">
        <f>IFERROR(VLOOKUP(A103,'Reporte Total'!$A$2:$V$157,7,FALSE),0)</f>
        <v>0</v>
      </c>
      <c r="E103" s="9">
        <f>IFERROR(VLOOKUP(A103,'Reporte Total'!$A$2:$V$157,4,FALSE),0)</f>
        <v>0</v>
      </c>
      <c r="F103" s="22">
        <f>IFERROR(VLOOKUP(A103,'Reporte Total'!$A$2:$V$157,5,FALSE),0)</f>
        <v>0</v>
      </c>
      <c r="G103" s="9">
        <f>+E103+F103*$B$321</f>
        <v>0</v>
      </c>
      <c r="H103" s="22">
        <f t="shared" ref="H103:H166" si="4">+C103*G103/31.1035/1000000</f>
        <v>0</v>
      </c>
      <c r="I103" s="9"/>
      <c r="J103" s="9"/>
      <c r="K103" s="22"/>
      <c r="L103" s="9"/>
      <c r="M103" s="22"/>
      <c r="N103" s="9"/>
      <c r="O103" s="22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</row>
    <row r="104" spans="1:99" x14ac:dyDescent="0.2">
      <c r="A104" s="9"/>
      <c r="B104" s="9" t="s">
        <v>1</v>
      </c>
      <c r="C104" s="9">
        <f>IFERROR(VLOOKUP(A103,'Reporte Total'!$A$2:$V$157,8,FALSE),0)</f>
        <v>0</v>
      </c>
      <c r="D104" s="22">
        <f>IFERROR(VLOOKUP(A103,'Reporte Total'!$A$2:$V$157,12,FALSE),0)</f>
        <v>0</v>
      </c>
      <c r="E104" s="9">
        <f>IFERROR(VLOOKUP(A103,'Reporte Total'!$A$2:$V$157,9,FALSE),0)</f>
        <v>0</v>
      </c>
      <c r="F104" s="22">
        <f>IFERROR(VLOOKUP(A103,'Reporte Total'!$A$2:$V$157,10,FALSE),0)</f>
        <v>0</v>
      </c>
      <c r="G104" s="9">
        <f>+E104+F104*$B$321</f>
        <v>0</v>
      </c>
      <c r="H104" s="22">
        <f t="shared" si="4"/>
        <v>0</v>
      </c>
      <c r="I104" s="9"/>
      <c r="J104" s="9"/>
      <c r="K104" s="22"/>
      <c r="L104" s="9"/>
      <c r="M104" s="22"/>
      <c r="N104" s="9"/>
      <c r="O104" s="22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</row>
    <row r="105" spans="1:99" x14ac:dyDescent="0.2">
      <c r="A105" s="9"/>
      <c r="B105" s="9" t="s">
        <v>3</v>
      </c>
      <c r="C105" s="9">
        <f>+C103+C104</f>
        <v>0</v>
      </c>
      <c r="D105" s="22">
        <f>IF(C105=0,0,(C103*D103+C104*D104)/C105)</f>
        <v>0</v>
      </c>
      <c r="E105" s="35">
        <f>+IF(C105=0,0,(C103*E103+C104*E104)/C105)</f>
        <v>0</v>
      </c>
      <c r="F105" s="22">
        <f>+IF(C105=0,0,(C103*F103+C104*F104)/C105)</f>
        <v>0</v>
      </c>
      <c r="G105" s="9">
        <f>+E105+F105*$B$321</f>
        <v>0</v>
      </c>
      <c r="H105" s="22">
        <f t="shared" si="4"/>
        <v>0</v>
      </c>
      <c r="I105" s="9"/>
      <c r="J105" s="9"/>
      <c r="K105" s="22"/>
      <c r="L105" s="9"/>
      <c r="M105" s="22"/>
      <c r="N105" s="9"/>
      <c r="O105" s="22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</row>
    <row r="106" spans="1:99" x14ac:dyDescent="0.2">
      <c r="A106" s="9"/>
      <c r="B106" s="9" t="s">
        <v>2</v>
      </c>
      <c r="C106" s="9">
        <f>IFERROR(VLOOKUP(A103,'Reporte Total'!$A$2:$V$157,13,FALSE),0)</f>
        <v>276862.5142519527</v>
      </c>
      <c r="D106" s="22">
        <f>IFERROR(VLOOKUP(A103,'Reporte Total'!$A$2:$V$157,17,FALSE),0)</f>
        <v>1.846127858198191</v>
      </c>
      <c r="E106" s="9">
        <f>IFERROR(VLOOKUP(A103,'Reporte Total'!$A$2:$V$157,14,FALSE),0)</f>
        <v>163.94644086134321</v>
      </c>
      <c r="F106" s="22">
        <f>IFERROR(VLOOKUP(A103,'Reporte Total'!$A$2:$V$157,15,FALSE),0)</f>
        <v>2.1870653166080434</v>
      </c>
      <c r="G106" s="9">
        <f>+E106+F106*$B$321</f>
        <v>327.97633960694645</v>
      </c>
      <c r="H106" s="22">
        <f t="shared" si="4"/>
        <v>2.9194255951494688</v>
      </c>
      <c r="I106" s="9"/>
      <c r="J106" s="9"/>
      <c r="K106" s="22"/>
      <c r="L106" s="9"/>
      <c r="M106" s="22"/>
      <c r="N106" s="9"/>
      <c r="O106" s="22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</row>
    <row r="107" spans="1:99" x14ac:dyDescent="0.2">
      <c r="A107" s="9" t="s">
        <v>100</v>
      </c>
      <c r="B107" s="9" t="s">
        <v>0</v>
      </c>
      <c r="C107" s="9">
        <f>IFERROR(VLOOKUP(A107,'Reporte Total'!$A$2:$V$157,3,FALSE),0)</f>
        <v>53239.03970929006</v>
      </c>
      <c r="D107" s="22">
        <f>IFERROR(VLOOKUP(A107,'Reporte Total'!$A$2:$V$157,7,FALSE),0)</f>
        <v>2.4985431148420894</v>
      </c>
      <c r="E107" s="9">
        <f>IFERROR(VLOOKUP(A107,'Reporte Total'!$A$2:$V$157,4,FALSE),0)</f>
        <v>214.81817080989265</v>
      </c>
      <c r="F107" s="22">
        <f>IFERROR(VLOOKUP(A107,'Reporte Total'!$A$2:$V$157,5,FALSE),0)</f>
        <v>3.4465435930564219</v>
      </c>
      <c r="G107" s="9">
        <f>+E107+F107*$B$321</f>
        <v>473.30894028912428</v>
      </c>
      <c r="H107" s="22">
        <f t="shared" si="4"/>
        <v>0.81015041608869376</v>
      </c>
      <c r="I107" s="9"/>
      <c r="J107" s="9"/>
      <c r="K107" s="22"/>
      <c r="L107" s="9"/>
      <c r="M107" s="22"/>
      <c r="N107" s="9"/>
      <c r="O107" s="22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</row>
    <row r="108" spans="1:99" x14ac:dyDescent="0.2">
      <c r="A108" s="9"/>
      <c r="B108" s="9" t="s">
        <v>1</v>
      </c>
      <c r="C108" s="9">
        <f>IFERROR(VLOOKUP(A107,'Reporte Total'!$A$2:$V$157,8,FALSE),0)</f>
        <v>108582.70295650177</v>
      </c>
      <c r="D108" s="22">
        <f>IFERROR(VLOOKUP(A107,'Reporte Total'!$A$2:$V$157,12,FALSE),0)</f>
        <v>2.1531507505748704</v>
      </c>
      <c r="E108" s="9">
        <f>IFERROR(VLOOKUP(A107,'Reporte Total'!$A$2:$V$157,9,FALSE),0)</f>
        <v>329.00643672317614</v>
      </c>
      <c r="F108" s="22">
        <f>IFERROR(VLOOKUP(A107,'Reporte Total'!$A$2:$V$157,10,FALSE),0)</f>
        <v>4.9023959914591595</v>
      </c>
      <c r="G108" s="9">
        <f>+E108+F108*$B$321</f>
        <v>696.68613608261307</v>
      </c>
      <c r="H108" s="22">
        <f t="shared" si="4"/>
        <v>2.432139912491242</v>
      </c>
      <c r="I108" s="9"/>
      <c r="J108" s="9"/>
      <c r="K108" s="22"/>
      <c r="L108" s="9"/>
      <c r="M108" s="22"/>
      <c r="N108" s="9"/>
      <c r="O108" s="22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</row>
    <row r="109" spans="1:99" x14ac:dyDescent="0.2">
      <c r="A109" s="9"/>
      <c r="B109" s="9" t="s">
        <v>3</v>
      </c>
      <c r="C109" s="9">
        <f>+C107+C108</f>
        <v>161821.74266579183</v>
      </c>
      <c r="D109" s="22">
        <f>IF(C109=0,0,(C107*D107+C108*D108)/C109)</f>
        <v>2.266784169011633</v>
      </c>
      <c r="E109" s="35">
        <f>+IF(C109=0,0,(C107*E107+C108*E108)/C109)</f>
        <v>291.43871854671511</v>
      </c>
      <c r="F109" s="22">
        <f>+IF(C109=0,0,(C107*F107+C108*F108)/C109)</f>
        <v>4.423423373981513</v>
      </c>
      <c r="G109" s="9">
        <f>+E109+F109*$B$321</f>
        <v>623.19547159532863</v>
      </c>
      <c r="H109" s="22">
        <f t="shared" si="4"/>
        <v>3.2422903285799363</v>
      </c>
      <c r="I109" s="9"/>
      <c r="J109" s="9"/>
      <c r="K109" s="22"/>
      <c r="L109" s="9"/>
      <c r="M109" s="22"/>
      <c r="N109" s="9"/>
      <c r="O109" s="22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</row>
    <row r="110" spans="1:99" x14ac:dyDescent="0.2">
      <c r="A110" s="9"/>
      <c r="B110" s="9" t="s">
        <v>2</v>
      </c>
      <c r="C110" s="9">
        <f>IFERROR(VLOOKUP(A107,'Reporte Total'!$A$2:$V$157,13,FALSE),0)</f>
        <v>106619.97787327188</v>
      </c>
      <c r="D110" s="22">
        <f>IFERROR(VLOOKUP(A107,'Reporte Total'!$A$2:$V$157,17,FALSE),0)</f>
        <v>1.5673159901997313</v>
      </c>
      <c r="E110" s="9">
        <f>IFERROR(VLOOKUP(A107,'Reporte Total'!$A$2:$V$157,14,FALSE),0)</f>
        <v>122.7153048153675</v>
      </c>
      <c r="F110" s="22">
        <f>IFERROR(VLOOKUP(A107,'Reporte Total'!$A$2:$V$157,15,FALSE),0)</f>
        <v>2.2074697147161011</v>
      </c>
      <c r="G110" s="9">
        <f>+E110+F110*$B$321</f>
        <v>288.27553341907509</v>
      </c>
      <c r="H110" s="22">
        <f t="shared" si="4"/>
        <v>0.98818239087393489</v>
      </c>
      <c r="I110" s="9"/>
      <c r="J110" s="9"/>
      <c r="K110" s="22"/>
      <c r="L110" s="9"/>
      <c r="M110" s="22"/>
      <c r="N110" s="9"/>
      <c r="O110" s="22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</row>
    <row r="111" spans="1:99" x14ac:dyDescent="0.2">
      <c r="A111" s="9" t="s">
        <v>98</v>
      </c>
      <c r="B111" s="9" t="s">
        <v>0</v>
      </c>
      <c r="C111" s="9">
        <f>IFERROR(VLOOKUP(A111,'Reporte Total'!$A$2:$V$157,3,FALSE),0)</f>
        <v>0</v>
      </c>
      <c r="D111" s="22">
        <f>IFERROR(VLOOKUP(A111,'Reporte Total'!$A$2:$V$157,7,FALSE),0)</f>
        <v>0</v>
      </c>
      <c r="E111" s="9">
        <f>IFERROR(VLOOKUP(A111,'Reporte Total'!$A$2:$V$157,4,FALSE),0)</f>
        <v>0</v>
      </c>
      <c r="F111" s="22">
        <f>IFERROR(VLOOKUP(A111,'Reporte Total'!$A$2:$V$157,5,FALSE),0)</f>
        <v>0</v>
      </c>
      <c r="G111" s="9">
        <f>+E111+F111*$B$321</f>
        <v>0</v>
      </c>
      <c r="H111" s="22">
        <f t="shared" si="4"/>
        <v>0</v>
      </c>
      <c r="I111" s="9"/>
      <c r="J111" s="9"/>
      <c r="K111" s="22"/>
      <c r="L111" s="9"/>
      <c r="M111" s="22"/>
      <c r="N111" s="9"/>
      <c r="O111" s="22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</row>
    <row r="112" spans="1:99" x14ac:dyDescent="0.2">
      <c r="A112" s="9"/>
      <c r="B112" s="9" t="s">
        <v>1</v>
      </c>
      <c r="C112" s="9">
        <f>IFERROR(VLOOKUP(A111,'Reporte Total'!$A$2:$V$157,8,FALSE),0)</f>
        <v>0</v>
      </c>
      <c r="D112" s="22">
        <f>IFERROR(VLOOKUP(A111,'Reporte Total'!$A$2:$V$157,12,FALSE),0)</f>
        <v>0</v>
      </c>
      <c r="E112" s="9">
        <f>IFERROR(VLOOKUP(A111,'Reporte Total'!$A$2:$V$157,9,FALSE),0)</f>
        <v>0</v>
      </c>
      <c r="F112" s="22">
        <f>IFERROR(VLOOKUP(A111,'Reporte Total'!$A$2:$V$157,10,FALSE),0)</f>
        <v>0</v>
      </c>
      <c r="G112" s="9">
        <f>+E112+F112*$B$321</f>
        <v>0</v>
      </c>
      <c r="H112" s="22">
        <f t="shared" si="4"/>
        <v>0</v>
      </c>
      <c r="I112" s="9"/>
      <c r="J112" s="9"/>
      <c r="K112" s="22"/>
      <c r="L112" s="9"/>
      <c r="M112" s="22"/>
      <c r="N112" s="9"/>
      <c r="O112" s="22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</row>
    <row r="113" spans="1:99" x14ac:dyDescent="0.2">
      <c r="A113" s="9"/>
      <c r="B113" s="9" t="s">
        <v>3</v>
      </c>
      <c r="C113" s="9">
        <f>+C111+C112</f>
        <v>0</v>
      </c>
      <c r="D113" s="22">
        <f>IF(C113=0,0,(C111*D111+C112*D112)/C113)</f>
        <v>0</v>
      </c>
      <c r="E113" s="35">
        <f>+IF(C113=0,0,(C111*E111+C112*E112)/C113)</f>
        <v>0</v>
      </c>
      <c r="F113" s="22">
        <f>+IF(C113=0,0,(C111*F111+C112*F112)/C113)</f>
        <v>0</v>
      </c>
      <c r="G113" s="9">
        <f>+E113+F113*$B$321</f>
        <v>0</v>
      </c>
      <c r="H113" s="22">
        <f t="shared" si="4"/>
        <v>0</v>
      </c>
      <c r="I113" s="9"/>
      <c r="J113" s="9"/>
      <c r="K113" s="22"/>
      <c r="L113" s="9"/>
      <c r="M113" s="22"/>
      <c r="N113" s="9"/>
      <c r="O113" s="22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</row>
    <row r="114" spans="1:99" x14ac:dyDescent="0.2">
      <c r="A114" s="9"/>
      <c r="B114" s="9" t="s">
        <v>2</v>
      </c>
      <c r="C114" s="9">
        <f>IFERROR(VLOOKUP(A111,'Reporte Total'!$A$2:$V$157,13,FALSE),0)</f>
        <v>270161.41556212655</v>
      </c>
      <c r="D114" s="22">
        <f>IFERROR(VLOOKUP(A111,'Reporte Total'!$A$2:$V$157,17,FALSE),0)</f>
        <v>0.83876138893219809</v>
      </c>
      <c r="E114" s="9">
        <f>IFERROR(VLOOKUP(A111,'Reporte Total'!$A$2:$V$157,14,FALSE),0)</f>
        <v>60.474262273425204</v>
      </c>
      <c r="F114" s="22">
        <f>IFERROR(VLOOKUP(A111,'Reporte Total'!$A$2:$V$157,15,FALSE),0)</f>
        <v>4.0813802171109064</v>
      </c>
      <c r="G114" s="9">
        <f>+E114+F114*$B$321</f>
        <v>366.57777855674317</v>
      </c>
      <c r="H114" s="22">
        <f t="shared" si="4"/>
        <v>3.1840523275036405</v>
      </c>
      <c r="I114" s="9"/>
      <c r="J114" s="9"/>
      <c r="K114" s="22"/>
      <c r="L114" s="9"/>
      <c r="M114" s="22"/>
      <c r="N114" s="9"/>
      <c r="O114" s="22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</row>
    <row r="115" spans="1:99" x14ac:dyDescent="0.2">
      <c r="A115" s="9" t="s">
        <v>59</v>
      </c>
      <c r="B115" s="9" t="s">
        <v>0</v>
      </c>
      <c r="C115" s="9">
        <f>IFERROR(VLOOKUP(A115,'Reporte Total'!$A$2:$V$157,3,FALSE),0)</f>
        <v>74755.670959075447</v>
      </c>
      <c r="D115" s="22">
        <f>IFERROR(VLOOKUP(A115,'Reporte Total'!$A$2:$V$157,7,FALSE),0)</f>
        <v>1.326038866758029</v>
      </c>
      <c r="E115" s="9">
        <f>IFERROR(VLOOKUP(A115,'Reporte Total'!$A$2:$V$157,4,FALSE),0)</f>
        <v>96.153586036424301</v>
      </c>
      <c r="F115" s="22">
        <f>IFERROR(VLOOKUP(A115,'Reporte Total'!$A$2:$V$157,5,FALSE),0)</f>
        <v>4.578607103134761</v>
      </c>
      <c r="G115" s="9">
        <f>+E115+F115*$B$321</f>
        <v>439.54911877153137</v>
      </c>
      <c r="H115" s="22">
        <f t="shared" si="4"/>
        <v>1.0564338191276279</v>
      </c>
      <c r="I115" s="9"/>
      <c r="J115" s="9"/>
      <c r="K115" s="22"/>
      <c r="L115" s="9"/>
      <c r="M115" s="22"/>
      <c r="N115" s="9"/>
      <c r="O115" s="22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</row>
    <row r="116" spans="1:99" x14ac:dyDescent="0.2">
      <c r="A116" s="9"/>
      <c r="B116" s="9" t="s">
        <v>1</v>
      </c>
      <c r="C116" s="9">
        <f>IFERROR(VLOOKUP(A115,'Reporte Total'!$A$2:$V$157,8,FALSE),0)</f>
        <v>20976.183704802028</v>
      </c>
      <c r="D116" s="22">
        <f>IFERROR(VLOOKUP(A115,'Reporte Total'!$A$2:$V$157,12,FALSE),0)</f>
        <v>1.1333250413978535</v>
      </c>
      <c r="E116" s="9">
        <f>IFERROR(VLOOKUP(A115,'Reporte Total'!$A$2:$V$157,9,FALSE),0)</f>
        <v>91.241810459973536</v>
      </c>
      <c r="F116" s="22">
        <f>IFERROR(VLOOKUP(A115,'Reporte Total'!$A$2:$V$157,10,FALSE),0)</f>
        <v>3.3110752093044393</v>
      </c>
      <c r="G116" s="9">
        <f>+E116+F116*$B$321</f>
        <v>339.57245115780648</v>
      </c>
      <c r="H116" s="22">
        <f t="shared" si="4"/>
        <v>0.22900747879100622</v>
      </c>
      <c r="I116" s="9"/>
      <c r="J116" s="9"/>
      <c r="K116" s="22"/>
      <c r="L116" s="9"/>
      <c r="M116" s="22"/>
      <c r="N116" s="9"/>
      <c r="O116" s="22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</row>
    <row r="117" spans="1:99" x14ac:dyDescent="0.2">
      <c r="A117" s="9"/>
      <c r="B117" s="9" t="s">
        <v>3</v>
      </c>
      <c r="C117" s="9">
        <f>+C115+C116</f>
        <v>95731.854663877471</v>
      </c>
      <c r="D117" s="22">
        <f>IF(C117=0,0,(C115*D115+C116*D116)/C117)</f>
        <v>1.2838125815011165</v>
      </c>
      <c r="E117" s="35">
        <f>+IF(C117=0,0,(C115*E115+C116*E116)/C117)</f>
        <v>95.077347545379297</v>
      </c>
      <c r="F117" s="22">
        <f>+IF(C117=0,0,(C115*F115+C116*F116)/C117)</f>
        <v>4.3008731978423898</v>
      </c>
      <c r="G117" s="9">
        <f>+E117+F117*$B$321</f>
        <v>417.64283738355857</v>
      </c>
      <c r="H117" s="22">
        <f t="shared" si="4"/>
        <v>1.2854412979186343</v>
      </c>
      <c r="I117" s="9"/>
      <c r="J117" s="9"/>
      <c r="K117" s="22"/>
      <c r="L117" s="9"/>
      <c r="M117" s="22"/>
      <c r="N117" s="9"/>
      <c r="O117" s="22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</row>
    <row r="118" spans="1:99" x14ac:dyDescent="0.2">
      <c r="A118" s="9"/>
      <c r="B118" s="9" t="s">
        <v>2</v>
      </c>
      <c r="C118" s="9">
        <f>IFERROR(VLOOKUP(A115,'Reporte Total'!$A$2:$V$157,13,FALSE),0)</f>
        <v>160870.86439461296</v>
      </c>
      <c r="D118" s="22">
        <f>IFERROR(VLOOKUP(A115,'Reporte Total'!$A$2:$V$157,17,FALSE),0)</f>
        <v>1.3476216103077432</v>
      </c>
      <c r="E118" s="9">
        <f>IFERROR(VLOOKUP(A115,'Reporte Total'!$A$2:$V$157,14,FALSE),0)</f>
        <v>64.867869990509448</v>
      </c>
      <c r="F118" s="22">
        <f>IFERROR(VLOOKUP(A115,'Reporte Total'!$A$2:$V$157,15,FALSE),0)</f>
        <v>3.0870601452380018</v>
      </c>
      <c r="G118" s="9">
        <f>+E118+F118*$B$321</f>
        <v>296.39738088335957</v>
      </c>
      <c r="H118" s="22">
        <f t="shared" si="4"/>
        <v>1.5330012013762242</v>
      </c>
      <c r="I118" s="9"/>
      <c r="J118" s="9"/>
      <c r="K118" s="22"/>
      <c r="L118" s="9"/>
      <c r="M118" s="22"/>
      <c r="N118" s="9"/>
      <c r="O118" s="22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</row>
    <row r="119" spans="1:99" x14ac:dyDescent="0.2">
      <c r="A119" s="9" t="s">
        <v>68</v>
      </c>
      <c r="B119" s="9" t="s">
        <v>0</v>
      </c>
      <c r="C119" s="9">
        <f>IFERROR(VLOOKUP(A119,'Reporte Total'!$A$2:$V$157,3,FALSE),0)</f>
        <v>62677.34381620543</v>
      </c>
      <c r="D119" s="22">
        <f>IFERROR(VLOOKUP(A119,'Reporte Total'!$A$2:$V$157,7,FALSE),0)</f>
        <v>3.1204999338832384</v>
      </c>
      <c r="E119" s="9">
        <f>IFERROR(VLOOKUP(A119,'Reporte Total'!$A$2:$V$157,4,FALSE),0)</f>
        <v>90.311727992793024</v>
      </c>
      <c r="F119" s="22">
        <f>IFERROR(VLOOKUP(A119,'Reporte Total'!$A$2:$V$157,5,FALSE),0)</f>
        <v>2.3435941300953114</v>
      </c>
      <c r="G119" s="9">
        <f>+E119+F119*$B$321</f>
        <v>266.0812877499414</v>
      </c>
      <c r="H119" s="22">
        <f t="shared" si="4"/>
        <v>0.53618622841036434</v>
      </c>
      <c r="I119" s="9"/>
      <c r="J119" s="9"/>
      <c r="K119" s="22"/>
      <c r="L119" s="9"/>
      <c r="M119" s="22"/>
      <c r="N119" s="9"/>
      <c r="O119" s="22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</row>
    <row r="120" spans="1:99" x14ac:dyDescent="0.2">
      <c r="A120" s="9"/>
      <c r="B120" s="9" t="s">
        <v>1</v>
      </c>
      <c r="C120" s="9">
        <f>IFERROR(VLOOKUP(A119,'Reporte Total'!$A$2:$V$157,8,FALSE),0)</f>
        <v>20947.283976346363</v>
      </c>
      <c r="D120" s="22">
        <f>IFERROR(VLOOKUP(A119,'Reporte Total'!$A$2:$V$157,12,FALSE),0)</f>
        <v>3.8460041987075115</v>
      </c>
      <c r="E120" s="9">
        <f>IFERROR(VLOOKUP(A119,'Reporte Total'!$A$2:$V$157,9,FALSE),0)</f>
        <v>94.693793216208874</v>
      </c>
      <c r="F120" s="22">
        <f>IFERROR(VLOOKUP(A119,'Reporte Total'!$A$2:$V$157,10,FALSE),0)</f>
        <v>2.4254492914517458</v>
      </c>
      <c r="G120" s="9">
        <f>+E120+F120*$B$321</f>
        <v>276.6024900750898</v>
      </c>
      <c r="H120" s="22">
        <f t="shared" si="4"/>
        <v>0.18628356642073826</v>
      </c>
      <c r="I120" s="9"/>
      <c r="J120" s="9"/>
      <c r="K120" s="22"/>
      <c r="L120" s="9"/>
      <c r="M120" s="22"/>
      <c r="N120" s="9"/>
      <c r="O120" s="22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</row>
    <row r="121" spans="1:99" x14ac:dyDescent="0.2">
      <c r="A121" s="9"/>
      <c r="B121" s="9" t="s">
        <v>3</v>
      </c>
      <c r="C121" s="9">
        <f>+C119+C120</f>
        <v>83624.627792551793</v>
      </c>
      <c r="D121" s="22">
        <f>IF(C121=0,0,(C119*D119+C120*D120)/C121)</f>
        <v>3.3022328068716194</v>
      </c>
      <c r="E121" s="35">
        <f>+IF(C121=0,0,(C119*E119+C120*E120)/C121)</f>
        <v>91.409399421184588</v>
      </c>
      <c r="F121" s="22">
        <f>+IF(C121=0,0,(C119*F119+C120*F120)/C121)</f>
        <v>2.364098177229804</v>
      </c>
      <c r="G121" s="9">
        <f>+E121+F121*$B$321</f>
        <v>268.71676271341988</v>
      </c>
      <c r="H121" s="22">
        <f t="shared" si="4"/>
        <v>0.72246979483110252</v>
      </c>
      <c r="I121" s="9"/>
      <c r="J121" s="9"/>
      <c r="K121" s="22"/>
      <c r="L121" s="9"/>
      <c r="M121" s="22"/>
      <c r="N121" s="9"/>
      <c r="O121" s="22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</row>
    <row r="122" spans="1:99" x14ac:dyDescent="0.2">
      <c r="A122" s="9"/>
      <c r="B122" s="9" t="s">
        <v>2</v>
      </c>
      <c r="C122" s="9">
        <f>IFERROR(VLOOKUP(A119,'Reporte Total'!$A$2:$V$157,13,FALSE),0)</f>
        <v>159248.37629009897</v>
      </c>
      <c r="D122" s="22">
        <f>IFERROR(VLOOKUP(A119,'Reporte Total'!$A$2:$V$157,17,FALSE),0)</f>
        <v>1.299341812488874</v>
      </c>
      <c r="E122" s="9">
        <f>IFERROR(VLOOKUP(A119,'Reporte Total'!$A$2:$V$157,14,FALSE),0)</f>
        <v>142.25114057133328</v>
      </c>
      <c r="F122" s="22">
        <f>IFERROR(VLOOKUP(A119,'Reporte Total'!$A$2:$V$157,15,FALSE),0)</f>
        <v>2.9048409406314621</v>
      </c>
      <c r="G122" s="9">
        <f>+E122+F122*$B$321</f>
        <v>360.11421111869294</v>
      </c>
      <c r="H122" s="22">
        <f t="shared" si="4"/>
        <v>1.8437668879592892</v>
      </c>
      <c r="I122" s="9"/>
      <c r="J122" s="9"/>
      <c r="K122" s="22"/>
      <c r="L122" s="9"/>
      <c r="M122" s="22"/>
      <c r="N122" s="9"/>
      <c r="O122" s="22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</row>
    <row r="123" spans="1:99" x14ac:dyDescent="0.2">
      <c r="A123" s="9" t="s">
        <v>56</v>
      </c>
      <c r="B123" s="9" t="s">
        <v>0</v>
      </c>
      <c r="C123" s="9">
        <f>IFERROR(VLOOKUP(A123,'Reporte Total'!$A$2:$V$157,3,FALSE),0)</f>
        <v>18812.118271815601</v>
      </c>
      <c r="D123" s="22">
        <f>IFERROR(VLOOKUP(A123,'Reporte Total'!$A$2:$V$157,7,FALSE),0)</f>
        <v>1.1356665381205162</v>
      </c>
      <c r="E123" s="9">
        <f>IFERROR(VLOOKUP(A123,'Reporte Total'!$A$2:$V$157,4,FALSE),0)</f>
        <v>223.58571121759104</v>
      </c>
      <c r="F123" s="22">
        <f>IFERROR(VLOOKUP(A123,'Reporte Total'!$A$2:$V$157,5,FALSE),0)</f>
        <v>3.0733335821530496</v>
      </c>
      <c r="G123" s="9">
        <f>+E123+F123*$B$321</f>
        <v>454.08572987906973</v>
      </c>
      <c r="H123" s="22">
        <f t="shared" si="4"/>
        <v>0.27464158233088787</v>
      </c>
      <c r="I123" s="9"/>
      <c r="J123" s="9"/>
      <c r="K123" s="22"/>
      <c r="L123" s="9"/>
      <c r="M123" s="22"/>
      <c r="N123" s="9"/>
      <c r="O123" s="22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</row>
    <row r="124" spans="1:99" x14ac:dyDescent="0.2">
      <c r="A124" s="9"/>
      <c r="B124" s="9" t="s">
        <v>1</v>
      </c>
      <c r="C124" s="9">
        <f>IFERROR(VLOOKUP(A123,'Reporte Total'!$A$2:$V$157,8,FALSE),0)</f>
        <v>82374.84698004766</v>
      </c>
      <c r="D124" s="22">
        <f>IFERROR(VLOOKUP(A123,'Reporte Total'!$A$2:$V$157,12,FALSE),0)</f>
        <v>1.0733629248306236</v>
      </c>
      <c r="E124" s="9">
        <f>IFERROR(VLOOKUP(A123,'Reporte Total'!$A$2:$V$157,9,FALSE),0)</f>
        <v>142.930923189292</v>
      </c>
      <c r="F124" s="22">
        <f>IFERROR(VLOOKUP(A123,'Reporte Total'!$A$2:$V$157,10,FALSE),0)</f>
        <v>2.5800282006617281</v>
      </c>
      <c r="G124" s="9">
        <f>+E124+F124*$B$321</f>
        <v>336.4330382389216</v>
      </c>
      <c r="H124" s="22">
        <f t="shared" si="4"/>
        <v>0.89101290992858317</v>
      </c>
      <c r="I124" s="9"/>
      <c r="J124" s="9"/>
      <c r="K124" s="22"/>
      <c r="L124" s="9"/>
      <c r="M124" s="22"/>
      <c r="N124" s="9"/>
      <c r="O124" s="22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</row>
    <row r="125" spans="1:99" x14ac:dyDescent="0.2">
      <c r="A125" s="9"/>
      <c r="B125" s="9" t="s">
        <v>3</v>
      </c>
      <c r="C125" s="9">
        <f>+C123+C124</f>
        <v>101186.96525186326</v>
      </c>
      <c r="D125" s="22">
        <f>IF(C125=0,0,(C123*D123+C124*D124)/C125)</f>
        <v>1.0849460663850079</v>
      </c>
      <c r="E125" s="35">
        <f>+IF(C125=0,0,(C123*E123+C124*E124)/C125)</f>
        <v>157.92581317141486</v>
      </c>
      <c r="F125" s="22">
        <f>+IF(C125=0,0,(C123*F123+C124*F124)/C125)</f>
        <v>2.671740795832843</v>
      </c>
      <c r="G125" s="9">
        <f>+E125+F125*$B$321</f>
        <v>358.30637285887809</v>
      </c>
      <c r="H125" s="22">
        <f t="shared" si="4"/>
        <v>1.1656544922594712</v>
      </c>
      <c r="I125" s="9"/>
      <c r="J125" s="9"/>
      <c r="K125" s="22"/>
      <c r="L125" s="9"/>
      <c r="M125" s="22"/>
      <c r="N125" s="9"/>
      <c r="O125" s="22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</row>
    <row r="126" spans="1:99" x14ac:dyDescent="0.2">
      <c r="A126" s="9"/>
      <c r="B126" s="9" t="s">
        <v>2</v>
      </c>
      <c r="C126" s="9">
        <f>IFERROR(VLOOKUP(A123,'Reporte Total'!$A$2:$V$157,13,FALSE),0)</f>
        <v>158476.36925035872</v>
      </c>
      <c r="D126" s="22">
        <f>IFERROR(VLOOKUP(A123,'Reporte Total'!$A$2:$V$157,17,FALSE),0)</f>
        <v>0.94358052507835366</v>
      </c>
      <c r="E126" s="9">
        <f>IFERROR(VLOOKUP(A123,'Reporte Total'!$A$2:$V$157,14,FALSE),0)</f>
        <v>88.715077050816859</v>
      </c>
      <c r="F126" s="22">
        <f>IFERROR(VLOOKUP(A123,'Reporte Total'!$A$2:$V$157,15,FALSE),0)</f>
        <v>2.4027957001165574</v>
      </c>
      <c r="G126" s="9">
        <f>+E126+F126*$B$321</f>
        <v>268.92475455955866</v>
      </c>
      <c r="H126" s="22">
        <f t="shared" si="4"/>
        <v>1.3702065267298764</v>
      </c>
      <c r="I126" s="9"/>
      <c r="J126" s="9"/>
      <c r="K126" s="22"/>
      <c r="L126" s="9"/>
      <c r="M126" s="22"/>
      <c r="N126" s="9"/>
      <c r="O126" s="22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</row>
    <row r="127" spans="1:99" x14ac:dyDescent="0.2">
      <c r="A127" s="9" t="s">
        <v>92</v>
      </c>
      <c r="B127" s="9" t="s">
        <v>0</v>
      </c>
      <c r="C127" s="9">
        <f>IFERROR(VLOOKUP(A127,'Reporte Total'!$A$2:$V$157,3,FALSE),0)</f>
        <v>0</v>
      </c>
      <c r="D127" s="22">
        <f>IFERROR(VLOOKUP(A127,'Reporte Total'!$A$2:$V$157,7,FALSE),0)</f>
        <v>0</v>
      </c>
      <c r="E127" s="9">
        <f>IFERROR(VLOOKUP(A127,'Reporte Total'!$A$2:$V$157,4,FALSE),0)</f>
        <v>0</v>
      </c>
      <c r="F127" s="22">
        <f>IFERROR(VLOOKUP(A127,'Reporte Total'!$A$2:$V$157,5,FALSE),0)</f>
        <v>0</v>
      </c>
      <c r="G127" s="9">
        <f>+E127+F127*$B$321</f>
        <v>0</v>
      </c>
      <c r="H127" s="22">
        <f t="shared" si="4"/>
        <v>0</v>
      </c>
      <c r="I127" s="9"/>
      <c r="J127" s="9"/>
      <c r="K127" s="22"/>
      <c r="L127" s="9"/>
      <c r="M127" s="22"/>
      <c r="N127" s="9"/>
      <c r="O127" s="22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</row>
    <row r="128" spans="1:99" x14ac:dyDescent="0.2">
      <c r="A128" s="9"/>
      <c r="B128" s="9" t="s">
        <v>1</v>
      </c>
      <c r="C128" s="9">
        <f>IFERROR(VLOOKUP(A127,'Reporte Total'!$A$2:$V$157,8,FALSE),0)</f>
        <v>0</v>
      </c>
      <c r="D128" s="22">
        <f>IFERROR(VLOOKUP(A127,'Reporte Total'!$A$2:$V$157,12,FALSE),0)</f>
        <v>0</v>
      </c>
      <c r="E128" s="9">
        <f>IFERROR(VLOOKUP(A127,'Reporte Total'!$A$2:$V$157,9,FALSE),0)</f>
        <v>0</v>
      </c>
      <c r="F128" s="22">
        <f>IFERROR(VLOOKUP(A127,'Reporte Total'!$A$2:$V$157,10,FALSE),0)</f>
        <v>0</v>
      </c>
      <c r="G128" s="9">
        <f>+E128+F128*$B$321</f>
        <v>0</v>
      </c>
      <c r="H128" s="22">
        <f t="shared" si="4"/>
        <v>0</v>
      </c>
      <c r="I128" s="9"/>
      <c r="J128" s="9"/>
      <c r="K128" s="22"/>
      <c r="L128" s="9"/>
      <c r="M128" s="22"/>
      <c r="N128" s="9"/>
      <c r="O128" s="22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</row>
    <row r="129" spans="1:99" x14ac:dyDescent="0.2">
      <c r="A129" s="9"/>
      <c r="B129" s="9" t="s">
        <v>3</v>
      </c>
      <c r="C129" s="9">
        <f>+C127+C128</f>
        <v>0</v>
      </c>
      <c r="D129" s="22">
        <f>IF(C129=0,0,(C127*D127+C128*D128)/C129)</f>
        <v>0</v>
      </c>
      <c r="E129" s="35">
        <f>+IF(C129=0,0,(C127*E127+C128*E128)/C129)</f>
        <v>0</v>
      </c>
      <c r="F129" s="22">
        <f>+IF(C129=0,0,(C127*F127+C128*F128)/C129)</f>
        <v>0</v>
      </c>
      <c r="G129" s="9">
        <f>+E129+F129*$B$321</f>
        <v>0</v>
      </c>
      <c r="H129" s="22">
        <f t="shared" si="4"/>
        <v>0</v>
      </c>
      <c r="I129" s="9"/>
      <c r="J129" s="9"/>
      <c r="K129" s="22"/>
      <c r="L129" s="9"/>
      <c r="M129" s="22"/>
      <c r="N129" s="9"/>
      <c r="O129" s="22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</row>
    <row r="130" spans="1:99" x14ac:dyDescent="0.2">
      <c r="A130" s="9"/>
      <c r="B130" s="9" t="s">
        <v>2</v>
      </c>
      <c r="C130" s="9">
        <f>IFERROR(VLOOKUP(A127,'Reporte Total'!$A$2:$V$157,13,FALSE),0)</f>
        <v>241534.97931516243</v>
      </c>
      <c r="D130" s="22">
        <f>IFERROR(VLOOKUP(A127,'Reporte Total'!$A$2:$V$157,17,FALSE),0)</f>
        <v>2.5192756034136989</v>
      </c>
      <c r="E130" s="9">
        <f>IFERROR(VLOOKUP(A127,'Reporte Total'!$A$2:$V$157,14,FALSE),0)</f>
        <v>113.67425770039601</v>
      </c>
      <c r="F130" s="22">
        <f>IFERROR(VLOOKUP(A127,'Reporte Total'!$A$2:$V$157,15,FALSE),0)</f>
        <v>3.2849821562703263</v>
      </c>
      <c r="G130" s="9">
        <f>+E130+F130*$B$321</f>
        <v>360.0479194206705</v>
      </c>
      <c r="H130" s="22">
        <f t="shared" si="4"/>
        <v>2.7959608008661054</v>
      </c>
      <c r="I130" s="9"/>
      <c r="J130" s="9"/>
      <c r="K130" s="22"/>
      <c r="L130" s="9"/>
      <c r="M130" s="22"/>
      <c r="N130" s="9"/>
      <c r="O130" s="22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</row>
    <row r="131" spans="1:99" x14ac:dyDescent="0.2">
      <c r="A131" s="9" t="s">
        <v>89</v>
      </c>
      <c r="B131" s="9" t="s">
        <v>0</v>
      </c>
      <c r="C131" s="9">
        <f>IFERROR(VLOOKUP(A131,'Reporte Total'!$A$2:$V$157,3,FALSE),0)</f>
        <v>0</v>
      </c>
      <c r="D131" s="22">
        <f>IFERROR(VLOOKUP(A131,'Reporte Total'!$A$2:$V$157,7,FALSE),0)</f>
        <v>0</v>
      </c>
      <c r="E131" s="9">
        <f>IFERROR(VLOOKUP(A131,'Reporte Total'!$A$2:$V$157,4,FALSE),0)</f>
        <v>0</v>
      </c>
      <c r="F131" s="22">
        <f>IFERROR(VLOOKUP(A131,'Reporte Total'!$A$2:$V$157,5,FALSE),0)</f>
        <v>0</v>
      </c>
      <c r="G131" s="9">
        <f>+E131+F131*$B$321</f>
        <v>0</v>
      </c>
      <c r="H131" s="22">
        <f t="shared" si="4"/>
        <v>0</v>
      </c>
      <c r="I131" s="9"/>
      <c r="J131" s="9"/>
      <c r="K131" s="22"/>
      <c r="L131" s="9"/>
      <c r="M131" s="22"/>
      <c r="N131" s="9"/>
      <c r="O131" s="22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</row>
    <row r="132" spans="1:99" x14ac:dyDescent="0.2">
      <c r="A132" s="9"/>
      <c r="B132" s="9" t="s">
        <v>1</v>
      </c>
      <c r="C132" s="9">
        <f>IFERROR(VLOOKUP(A131,'Reporte Total'!$A$2:$V$157,8,FALSE),0)</f>
        <v>0</v>
      </c>
      <c r="D132" s="22">
        <f>IFERROR(VLOOKUP(A131,'Reporte Total'!$A$2:$V$157,12,FALSE),0)</f>
        <v>0</v>
      </c>
      <c r="E132" s="9">
        <f>IFERROR(VLOOKUP(A131,'Reporte Total'!$A$2:$V$157,9,FALSE),0)</f>
        <v>0</v>
      </c>
      <c r="F132" s="22">
        <f>IFERROR(VLOOKUP(A131,'Reporte Total'!$A$2:$V$157,10,FALSE),0)</f>
        <v>0</v>
      </c>
      <c r="G132" s="9">
        <f>+E132+F132*$B$321</f>
        <v>0</v>
      </c>
      <c r="H132" s="22">
        <f t="shared" si="4"/>
        <v>0</v>
      </c>
      <c r="I132" s="9"/>
      <c r="J132" s="9"/>
      <c r="K132" s="22"/>
      <c r="L132" s="9"/>
      <c r="M132" s="22"/>
      <c r="N132" s="9"/>
      <c r="O132" s="22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</row>
    <row r="133" spans="1:99" x14ac:dyDescent="0.2">
      <c r="A133" s="9"/>
      <c r="B133" s="9" t="s">
        <v>3</v>
      </c>
      <c r="C133" s="9">
        <f>+C131+C132</f>
        <v>0</v>
      </c>
      <c r="D133" s="22">
        <f>IF(C133=0,0,(C131*D131+C132*D132)/C133)</f>
        <v>0</v>
      </c>
      <c r="E133" s="35">
        <f>+IF(C133=0,0,(C131*E131+C132*E132)/C133)</f>
        <v>0</v>
      </c>
      <c r="F133" s="22">
        <f>+IF(C133=0,0,(C131*F131+C132*F132)/C133)</f>
        <v>0</v>
      </c>
      <c r="G133" s="9">
        <f>+E133+F133*$B$321</f>
        <v>0</v>
      </c>
      <c r="H133" s="22">
        <f t="shared" si="4"/>
        <v>0</v>
      </c>
      <c r="I133" s="9"/>
      <c r="J133" s="9"/>
      <c r="K133" s="22"/>
      <c r="L133" s="9"/>
      <c r="M133" s="22"/>
      <c r="N133" s="9"/>
      <c r="O133" s="22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</row>
    <row r="134" spans="1:99" x14ac:dyDescent="0.2">
      <c r="A134" s="9"/>
      <c r="B134" s="9" t="s">
        <v>2</v>
      </c>
      <c r="C134" s="9">
        <f>IFERROR(VLOOKUP(A131,'Reporte Total'!$A$2:$V$157,13,FALSE),0)</f>
        <v>200379.74562047608</v>
      </c>
      <c r="D134" s="22">
        <f>IFERROR(VLOOKUP(A131,'Reporte Total'!$A$2:$V$157,17,FALSE),0)</f>
        <v>1.371892881115482</v>
      </c>
      <c r="E134" s="9">
        <f>IFERROR(VLOOKUP(A131,'Reporte Total'!$A$2:$V$157,14,FALSE),0)</f>
        <v>98.574892877131845</v>
      </c>
      <c r="F134" s="22">
        <f>IFERROR(VLOOKUP(A131,'Reporte Total'!$A$2:$V$157,15,FALSE),0)</f>
        <v>2.7874761819324969</v>
      </c>
      <c r="G134" s="9">
        <f>+E134+F134*$B$321</f>
        <v>307.63560652206911</v>
      </c>
      <c r="H134" s="22">
        <f t="shared" si="4"/>
        <v>1.981897361348179</v>
      </c>
      <c r="I134" s="9"/>
      <c r="J134" s="9"/>
      <c r="K134" s="22"/>
      <c r="L134" s="9"/>
      <c r="M134" s="22"/>
      <c r="N134" s="9"/>
      <c r="O134" s="22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</row>
    <row r="135" spans="1:99" x14ac:dyDescent="0.2">
      <c r="A135" s="9" t="s">
        <v>86</v>
      </c>
      <c r="B135" s="9" t="s">
        <v>0</v>
      </c>
      <c r="C135" s="9">
        <f>IFERROR(VLOOKUP(A135,'Reporte Total'!$A$2:$V$157,3,FALSE),0)</f>
        <v>52232.172416143214</v>
      </c>
      <c r="D135" s="22">
        <f>IFERROR(VLOOKUP(A135,'Reporte Total'!$A$2:$V$157,7,FALSE),0)</f>
        <v>1.6752720045995777</v>
      </c>
      <c r="E135" s="9">
        <f>IFERROR(VLOOKUP(A135,'Reporte Total'!$A$2:$V$157,4,FALSE),0)</f>
        <v>187.94670078096036</v>
      </c>
      <c r="F135" s="22">
        <f>IFERROR(VLOOKUP(A135,'Reporte Total'!$A$2:$V$157,5,FALSE),0)</f>
        <v>3.3198405146537344</v>
      </c>
      <c r="G135" s="9">
        <f>+E135+F135*$B$321</f>
        <v>436.93473937999045</v>
      </c>
      <c r="H135" s="22">
        <f t="shared" si="4"/>
        <v>0.73374541906532253</v>
      </c>
      <c r="I135" s="9"/>
      <c r="J135" s="9"/>
      <c r="K135" s="22"/>
      <c r="L135" s="9"/>
      <c r="M135" s="22"/>
      <c r="N135" s="9"/>
      <c r="O135" s="22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</row>
    <row r="136" spans="1:99" x14ac:dyDescent="0.2">
      <c r="A136" s="9"/>
      <c r="B136" s="9" t="s">
        <v>1</v>
      </c>
      <c r="C136" s="9">
        <f>IFERROR(VLOOKUP(A135,'Reporte Total'!$A$2:$V$157,8,FALSE),0)</f>
        <v>79031.29853552948</v>
      </c>
      <c r="D136" s="22">
        <f>IFERROR(VLOOKUP(A135,'Reporte Total'!$A$2:$V$157,12,FALSE),0)</f>
        <v>1.2990702313962743</v>
      </c>
      <c r="E136" s="9">
        <f>IFERROR(VLOOKUP(A135,'Reporte Total'!$A$2:$V$157,9,FALSE),0)</f>
        <v>157.41387359212263</v>
      </c>
      <c r="F136" s="22">
        <f>IFERROR(VLOOKUP(A135,'Reporte Total'!$A$2:$V$157,10,FALSE),0)</f>
        <v>2.6187241986282022</v>
      </c>
      <c r="G136" s="9">
        <f>+E136+F136*$B$321</f>
        <v>353.8181884892378</v>
      </c>
      <c r="H136" s="22">
        <f t="shared" si="4"/>
        <v>0.89902136035472513</v>
      </c>
      <c r="I136" s="9"/>
      <c r="J136" s="9"/>
      <c r="K136" s="22"/>
      <c r="L136" s="9"/>
      <c r="M136" s="22"/>
      <c r="N136" s="9"/>
      <c r="O136" s="22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</row>
    <row r="137" spans="1:99" x14ac:dyDescent="0.2">
      <c r="A137" s="9"/>
      <c r="B137" s="9" t="s">
        <v>3</v>
      </c>
      <c r="C137" s="9">
        <f>+C135+C136</f>
        <v>131263.4709516727</v>
      </c>
      <c r="D137" s="22">
        <f>IF(C137=0,0,(C135*D135+C136*D136)/C137)</f>
        <v>1.4487679023381634</v>
      </c>
      <c r="E137" s="35">
        <f>+IF(C137=0,0,(C135*E135+C136*E136)/C137)</f>
        <v>169.563452469759</v>
      </c>
      <c r="F137" s="22">
        <f>+IF(C137=0,0,(C135*F135+C136*F136)/C137)</f>
        <v>2.8977113992325458</v>
      </c>
      <c r="G137" s="9">
        <f>+E137+F137*$B$321</f>
        <v>386.89180741219991</v>
      </c>
      <c r="H137" s="22">
        <f t="shared" si="4"/>
        <v>1.6327667794200478</v>
      </c>
      <c r="I137" s="9"/>
      <c r="J137" s="9"/>
      <c r="K137" s="22"/>
      <c r="L137" s="9"/>
      <c r="M137" s="22"/>
      <c r="N137" s="9"/>
      <c r="O137" s="22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</row>
    <row r="138" spans="1:99" x14ac:dyDescent="0.2">
      <c r="A138" s="9"/>
      <c r="B138" s="9" t="s">
        <v>2</v>
      </c>
      <c r="C138" s="9">
        <f>IFERROR(VLOOKUP(A135,'Reporte Total'!$A$2:$V$157,13,FALSE),0)</f>
        <v>51112.98225624342</v>
      </c>
      <c r="D138" s="22">
        <f>IFERROR(VLOOKUP(A135,'Reporte Total'!$A$2:$V$157,17,FALSE),0)</f>
        <v>1.1265254275566554</v>
      </c>
      <c r="E138" s="9">
        <f>IFERROR(VLOOKUP(A135,'Reporte Total'!$A$2:$V$157,14,FALSE),0)</f>
        <v>84.087488254747015</v>
      </c>
      <c r="F138" s="22">
        <f>IFERROR(VLOOKUP(A135,'Reporte Total'!$A$2:$V$157,15,FALSE),0)</f>
        <v>2.0296337858600819</v>
      </c>
      <c r="G138" s="9">
        <f>+E138+F138*$B$321</f>
        <v>236.31002219425318</v>
      </c>
      <c r="H138" s="22">
        <f t="shared" si="4"/>
        <v>0.38833282336030839</v>
      </c>
      <c r="I138" s="9"/>
      <c r="J138" s="9"/>
      <c r="K138" s="22"/>
      <c r="L138" s="9"/>
      <c r="M138" s="22"/>
      <c r="N138" s="9"/>
      <c r="O138" s="22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</row>
    <row r="139" spans="1:99" x14ac:dyDescent="0.2">
      <c r="A139" s="9" t="s">
        <v>101</v>
      </c>
      <c r="B139" s="9" t="s">
        <v>0</v>
      </c>
      <c r="C139" s="9">
        <f>IFERROR(VLOOKUP(A139,'Reporte Total'!$A$2:$V$157,3,FALSE),0)</f>
        <v>80519.290320203057</v>
      </c>
      <c r="D139" s="22">
        <f>IFERROR(VLOOKUP(A139,'Reporte Total'!$A$2:$V$157,7,FALSE),0)</f>
        <v>1.7564871873608903</v>
      </c>
      <c r="E139" s="9">
        <f>IFERROR(VLOOKUP(A139,'Reporte Total'!$A$2:$V$157,4,FALSE),0)</f>
        <v>256.31431296169904</v>
      </c>
      <c r="F139" s="22">
        <f>IFERROR(VLOOKUP(A139,'Reporte Total'!$A$2:$V$157,5,FALSE),0)</f>
        <v>3.8132691493220943</v>
      </c>
      <c r="G139" s="9">
        <f>+E139+F139*$B$321</f>
        <v>542.30949916085615</v>
      </c>
      <c r="H139" s="22">
        <f t="shared" si="4"/>
        <v>1.4039055413807735</v>
      </c>
      <c r="I139" s="9"/>
      <c r="J139" s="9"/>
      <c r="K139" s="22"/>
      <c r="L139" s="9"/>
      <c r="M139" s="22"/>
      <c r="N139" s="9"/>
      <c r="O139" s="22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</row>
    <row r="140" spans="1:99" x14ac:dyDescent="0.2">
      <c r="A140" s="9"/>
      <c r="B140" s="9" t="s">
        <v>1</v>
      </c>
      <c r="C140" s="9">
        <f>IFERROR(VLOOKUP(A139,'Reporte Total'!$A$2:$V$157,8,FALSE),0)</f>
        <v>49470.473781777524</v>
      </c>
      <c r="D140" s="22">
        <f>IFERROR(VLOOKUP(A139,'Reporte Total'!$A$2:$V$157,12,FALSE),0)</f>
        <v>1.4559874472914367</v>
      </c>
      <c r="E140" s="9">
        <f>IFERROR(VLOOKUP(A139,'Reporte Total'!$A$2:$V$157,9,FALSE),0)</f>
        <v>175.85813426114146</v>
      </c>
      <c r="F140" s="22">
        <f>IFERROR(VLOOKUP(A139,'Reporte Total'!$A$2:$V$157,10,FALSE),0)</f>
        <v>2.3740596294398513</v>
      </c>
      <c r="G140" s="9">
        <f>+E140+F140*$B$321</f>
        <v>353.91260646913031</v>
      </c>
      <c r="H140" s="22">
        <f t="shared" si="4"/>
        <v>0.56290206309166679</v>
      </c>
      <c r="I140" s="9"/>
      <c r="J140" s="9"/>
      <c r="K140" s="22"/>
      <c r="L140" s="9"/>
      <c r="M140" s="22"/>
      <c r="N140" s="9"/>
      <c r="O140" s="22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</row>
    <row r="141" spans="1:99" x14ac:dyDescent="0.2">
      <c r="A141" s="9"/>
      <c r="B141" s="9" t="s">
        <v>3</v>
      </c>
      <c r="C141" s="9">
        <f>+C139+C140</f>
        <v>129989.76410198057</v>
      </c>
      <c r="D141" s="22">
        <f>IF(C141=0,0,(C139*D139+C140*D140)/C141)</f>
        <v>1.64212537883515</v>
      </c>
      <c r="E141" s="35">
        <f>+IF(C141=0,0,(C139*E139+C140*E140)/C141)</f>
        <v>225.69493837874836</v>
      </c>
      <c r="F141" s="22">
        <f>+IF(C141=0,0,(C139*F139+C140*F140)/C141)</f>
        <v>3.2655462011985636</v>
      </c>
      <c r="G141" s="9">
        <f>+E141+F141*$B$321</f>
        <v>470.61090346864063</v>
      </c>
      <c r="H141" s="22">
        <f t="shared" si="4"/>
        <v>1.9668076044724403</v>
      </c>
      <c r="I141" s="9"/>
      <c r="J141" s="9"/>
      <c r="K141" s="22"/>
      <c r="L141" s="9"/>
      <c r="M141" s="22"/>
      <c r="N141" s="9"/>
      <c r="O141" s="22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</row>
    <row r="142" spans="1:99" x14ac:dyDescent="0.2">
      <c r="A142" s="9"/>
      <c r="B142" s="9" t="s">
        <v>2</v>
      </c>
      <c r="C142" s="9">
        <f>IFERROR(VLOOKUP(A139,'Reporte Total'!$A$2:$V$157,13,FALSE),0)</f>
        <v>49942.501693294842</v>
      </c>
      <c r="D142" s="22">
        <f>IFERROR(VLOOKUP(A139,'Reporte Total'!$A$2:$V$157,17,FALSE),0)</f>
        <v>1.1772108612748864</v>
      </c>
      <c r="E142" s="9">
        <f>IFERROR(VLOOKUP(A139,'Reporte Total'!$A$2:$V$157,14,FALSE),0)</f>
        <v>129.1582078862007</v>
      </c>
      <c r="F142" s="22">
        <f>IFERROR(VLOOKUP(A139,'Reporte Total'!$A$2:$V$157,15,FALSE),0)</f>
        <v>1.4985146441026402</v>
      </c>
      <c r="G142" s="9">
        <f>+E142+F142*$B$321</f>
        <v>241.5468061938987</v>
      </c>
      <c r="H142" s="22">
        <f t="shared" si="4"/>
        <v>0.38784869154110463</v>
      </c>
      <c r="I142" s="9"/>
      <c r="J142" s="9"/>
      <c r="K142" s="22"/>
      <c r="L142" s="9"/>
      <c r="M142" s="22"/>
      <c r="N142" s="9"/>
      <c r="O142" s="22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</row>
    <row r="143" spans="1:99" x14ac:dyDescent="0.2">
      <c r="A143" s="9" t="s">
        <v>95</v>
      </c>
      <c r="B143" s="9" t="s">
        <v>0</v>
      </c>
      <c r="C143" s="9">
        <f>IFERROR(VLOOKUP(A143,'Reporte Total'!$A$2:$V$157,3,FALSE),0)</f>
        <v>0</v>
      </c>
      <c r="D143" s="22">
        <f>IFERROR(VLOOKUP(A143,'Reporte Total'!$A$2:$V$157,7,FALSE),0)</f>
        <v>0</v>
      </c>
      <c r="E143" s="9">
        <f>IFERROR(VLOOKUP(A143,'Reporte Total'!$A$2:$V$157,4,FALSE),0)</f>
        <v>0</v>
      </c>
      <c r="F143" s="22">
        <f>IFERROR(VLOOKUP(A143,'Reporte Total'!$A$2:$V$157,5,FALSE),0)</f>
        <v>0</v>
      </c>
      <c r="G143" s="9">
        <f>+E143+F143*$B$321</f>
        <v>0</v>
      </c>
      <c r="H143" s="22">
        <f t="shared" si="4"/>
        <v>0</v>
      </c>
      <c r="I143" s="9"/>
      <c r="J143" s="9"/>
      <c r="K143" s="22"/>
      <c r="L143" s="9"/>
      <c r="M143" s="22"/>
      <c r="N143" s="9"/>
      <c r="O143" s="22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</row>
    <row r="144" spans="1:99" x14ac:dyDescent="0.2">
      <c r="A144" s="9"/>
      <c r="B144" s="9" t="s">
        <v>1</v>
      </c>
      <c r="C144" s="9">
        <f>IFERROR(VLOOKUP(A143,'Reporte Total'!$A$2:$V$157,8,FALSE),0)</f>
        <v>0</v>
      </c>
      <c r="D144" s="22">
        <f>IFERROR(VLOOKUP(A143,'Reporte Total'!$A$2:$V$157,12,FALSE),0)</f>
        <v>0</v>
      </c>
      <c r="E144" s="9">
        <f>IFERROR(VLOOKUP(A143,'Reporte Total'!$A$2:$V$157,9,FALSE),0)</f>
        <v>0</v>
      </c>
      <c r="F144" s="22">
        <f>IFERROR(VLOOKUP(A143,'Reporte Total'!$A$2:$V$157,10,FALSE),0)</f>
        <v>0</v>
      </c>
      <c r="G144" s="9">
        <f>+E144+F144*$B$321</f>
        <v>0</v>
      </c>
      <c r="H144" s="22">
        <f t="shared" si="4"/>
        <v>0</v>
      </c>
      <c r="I144" s="9"/>
      <c r="J144" s="9"/>
      <c r="K144" s="22"/>
      <c r="L144" s="9"/>
      <c r="M144" s="22"/>
      <c r="N144" s="9"/>
      <c r="O144" s="22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</row>
    <row r="145" spans="1:99" x14ac:dyDescent="0.2">
      <c r="A145" s="9"/>
      <c r="B145" s="9" t="s">
        <v>3</v>
      </c>
      <c r="C145" s="9">
        <f>+C143+C144</f>
        <v>0</v>
      </c>
      <c r="D145" s="22">
        <f>IF(C145=0,0,(C143*D143+C144*D144)/C145)</f>
        <v>0</v>
      </c>
      <c r="E145" s="35">
        <f>+IF(C145=0,0,(C143*E143+C144*E144)/C145)</f>
        <v>0</v>
      </c>
      <c r="F145" s="22">
        <f>+IF(C145=0,0,(C143*F143+C144*F144)/C145)</f>
        <v>0</v>
      </c>
      <c r="G145" s="9">
        <f>+E145+F145*$B$321</f>
        <v>0</v>
      </c>
      <c r="H145" s="22">
        <f t="shared" si="4"/>
        <v>0</v>
      </c>
      <c r="I145" s="9"/>
      <c r="J145" s="9"/>
      <c r="K145" s="22"/>
      <c r="L145" s="9"/>
      <c r="M145" s="22"/>
      <c r="N145" s="9"/>
      <c r="O145" s="22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</row>
    <row r="146" spans="1:99" x14ac:dyDescent="0.2">
      <c r="A146" s="9"/>
      <c r="B146" s="9" t="s">
        <v>2</v>
      </c>
      <c r="C146" s="9">
        <f>IFERROR(VLOOKUP(A143,'Reporte Total'!$A$2:$V$157,13,FALSE),0)</f>
        <v>172049.29729937401</v>
      </c>
      <c r="D146" s="22">
        <f>IFERROR(VLOOKUP(A143,'Reporte Total'!$A$2:$V$157,17,FALSE),0)</f>
        <v>1.2862676861455036</v>
      </c>
      <c r="E146" s="9">
        <f>IFERROR(VLOOKUP(A143,'Reporte Total'!$A$2:$V$157,14,FALSE),0)</f>
        <v>63.328251179432442</v>
      </c>
      <c r="F146" s="22">
        <f>IFERROR(VLOOKUP(A143,'Reporte Total'!$A$2:$V$157,15,FALSE),0)</f>
        <v>2.0868716890997292</v>
      </c>
      <c r="G146" s="9">
        <f>+E146+F146*$B$321</f>
        <v>219.84362786191213</v>
      </c>
      <c r="H146" s="22">
        <f t="shared" si="4"/>
        <v>1.2160670564208871</v>
      </c>
      <c r="I146" s="9"/>
      <c r="J146" s="9"/>
      <c r="K146" s="22"/>
      <c r="L146" s="9"/>
      <c r="M146" s="22"/>
      <c r="N146" s="9"/>
      <c r="O146" s="22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</row>
    <row r="147" spans="1:99" x14ac:dyDescent="0.2">
      <c r="A147" s="9" t="s">
        <v>81</v>
      </c>
      <c r="B147" s="9" t="s">
        <v>0</v>
      </c>
      <c r="C147" s="9">
        <f>IFERROR(VLOOKUP(A147,'Reporte Total'!$A$2:$V$157,3,FALSE),0)</f>
        <v>0</v>
      </c>
      <c r="D147" s="22">
        <f>IFERROR(VLOOKUP(A147,'Reporte Total'!$A$2:$V$157,7,FALSE),0)</f>
        <v>0</v>
      </c>
      <c r="E147" s="9">
        <f>IFERROR(VLOOKUP(A147,'Reporte Total'!$A$2:$V$157,4,FALSE),0)</f>
        <v>0</v>
      </c>
      <c r="F147" s="22">
        <f>IFERROR(VLOOKUP(A147,'Reporte Total'!$A$2:$V$157,5,FALSE),0)</f>
        <v>0</v>
      </c>
      <c r="G147" s="9">
        <f>+E147+F147*$B$321</f>
        <v>0</v>
      </c>
      <c r="H147" s="22">
        <f t="shared" si="4"/>
        <v>0</v>
      </c>
      <c r="I147" s="9"/>
      <c r="J147" s="9"/>
      <c r="K147" s="22"/>
      <c r="L147" s="9"/>
      <c r="M147" s="22"/>
      <c r="N147" s="9"/>
      <c r="O147" s="22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</row>
    <row r="148" spans="1:99" x14ac:dyDescent="0.2">
      <c r="A148" s="9"/>
      <c r="B148" s="9" t="s">
        <v>1</v>
      </c>
      <c r="C148" s="9">
        <f>IFERROR(VLOOKUP(A147,'Reporte Total'!$A$2:$V$157,8,FALSE),0)</f>
        <v>19124.406056040782</v>
      </c>
      <c r="D148" s="22">
        <f>IFERROR(VLOOKUP(A147,'Reporte Total'!$A$2:$V$157,12,FALSE),0)</f>
        <v>1.1540244955023398</v>
      </c>
      <c r="E148" s="9">
        <f>IFERROR(VLOOKUP(A147,'Reporte Total'!$A$2:$V$157,9,FALSE),0)</f>
        <v>71.010009930473288</v>
      </c>
      <c r="F148" s="22">
        <f>IFERROR(VLOOKUP(A147,'Reporte Total'!$A$2:$V$157,10,FALSE),0)</f>
        <v>2.9111448299117342</v>
      </c>
      <c r="G148" s="9">
        <f>+E148+F148*$B$321</f>
        <v>289.34587217385337</v>
      </c>
      <c r="H148" s="22">
        <f t="shared" si="4"/>
        <v>0.17790820808243582</v>
      </c>
      <c r="I148" s="9"/>
      <c r="J148" s="9"/>
      <c r="K148" s="22"/>
      <c r="L148" s="9"/>
      <c r="M148" s="22"/>
      <c r="N148" s="9"/>
      <c r="O148" s="22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</row>
    <row r="149" spans="1:99" x14ac:dyDescent="0.2">
      <c r="A149" s="9"/>
      <c r="B149" s="9" t="s">
        <v>3</v>
      </c>
      <c r="C149" s="9">
        <f>+C147+C148</f>
        <v>19124.406056040782</v>
      </c>
      <c r="D149" s="22">
        <f>IF(C149=0,0,(C147*D147+C148*D148)/C149)</f>
        <v>1.1540244955023398</v>
      </c>
      <c r="E149" s="35">
        <f>+IF(C149=0,0,(C147*E147+C148*E148)/C149)</f>
        <v>71.010009930473288</v>
      </c>
      <c r="F149" s="22">
        <f>+IF(C149=0,0,(C147*F147+C148*F148)/C149)</f>
        <v>2.9111448299117342</v>
      </c>
      <c r="G149" s="9">
        <f>+E149+F149*$B$321</f>
        <v>289.34587217385337</v>
      </c>
      <c r="H149" s="22">
        <f t="shared" si="4"/>
        <v>0.17790820808243582</v>
      </c>
      <c r="I149" s="9"/>
      <c r="J149" s="9"/>
      <c r="K149" s="22"/>
      <c r="L149" s="9"/>
      <c r="M149" s="22"/>
      <c r="N149" s="9"/>
      <c r="O149" s="22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</row>
    <row r="150" spans="1:99" x14ac:dyDescent="0.2">
      <c r="A150" s="9"/>
      <c r="B150" s="9" t="s">
        <v>2</v>
      </c>
      <c r="C150" s="9">
        <f>IFERROR(VLOOKUP(A147,'Reporte Total'!$A$2:$V$157,13,FALSE),0)</f>
        <v>150720.91737669916</v>
      </c>
      <c r="D150" s="22">
        <f>IFERROR(VLOOKUP(A147,'Reporte Total'!$A$2:$V$157,17,FALSE),0)</f>
        <v>1.0641471629384129</v>
      </c>
      <c r="E150" s="9">
        <f>IFERROR(VLOOKUP(A147,'Reporte Total'!$A$2:$V$157,14,FALSE),0)</f>
        <v>48.867815133520836</v>
      </c>
      <c r="F150" s="22">
        <f>IFERROR(VLOOKUP(A147,'Reporte Total'!$A$2:$V$157,15,FALSE),0)</f>
        <v>2.8870019915724794</v>
      </c>
      <c r="G150" s="9">
        <f>+E150+F150*$B$321</f>
        <v>265.39296450145679</v>
      </c>
      <c r="H150" s="22">
        <f t="shared" si="4"/>
        <v>1.2860376187561311</v>
      </c>
      <c r="I150" s="9"/>
      <c r="J150" s="9"/>
      <c r="K150" s="22"/>
      <c r="L150" s="9"/>
      <c r="M150" s="22"/>
      <c r="N150" s="9"/>
      <c r="O150" s="22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</row>
    <row r="151" spans="1:99" x14ac:dyDescent="0.2">
      <c r="A151" s="9" t="s">
        <v>107</v>
      </c>
      <c r="B151" s="9" t="s">
        <v>0</v>
      </c>
      <c r="C151" s="9">
        <f>IFERROR(VLOOKUP(A151,'Reporte Total'!$A$2:$V$157,3,FALSE),0)</f>
        <v>0</v>
      </c>
      <c r="D151" s="22">
        <f>IFERROR(VLOOKUP(A151,'Reporte Total'!$A$2:$V$157,7,FALSE),0)</f>
        <v>0</v>
      </c>
      <c r="E151" s="9">
        <f>IFERROR(VLOOKUP(A151,'Reporte Total'!$A$2:$V$157,4,FALSE),0)</f>
        <v>0</v>
      </c>
      <c r="F151" s="22">
        <f>IFERROR(VLOOKUP(A151,'Reporte Total'!$A$2:$V$157,5,FALSE),0)</f>
        <v>0</v>
      </c>
      <c r="G151" s="9">
        <f>+E151+F151*$B$321</f>
        <v>0</v>
      </c>
      <c r="H151" s="22">
        <f t="shared" si="4"/>
        <v>0</v>
      </c>
      <c r="I151" s="9"/>
      <c r="J151" s="9"/>
      <c r="K151" s="22"/>
      <c r="L151" s="9"/>
      <c r="M151" s="22"/>
      <c r="N151" s="9"/>
      <c r="O151" s="22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</row>
    <row r="152" spans="1:99" x14ac:dyDescent="0.2">
      <c r="A152" s="9"/>
      <c r="B152" s="9" t="s">
        <v>1</v>
      </c>
      <c r="C152" s="9">
        <f>IFERROR(VLOOKUP(A151,'Reporte Total'!$A$2:$V$157,8,FALSE),0)</f>
        <v>32548.321890537958</v>
      </c>
      <c r="D152" s="22">
        <f>IFERROR(VLOOKUP(A151,'Reporte Total'!$A$2:$V$157,12,FALSE),0)</f>
        <v>1.0861872103147374</v>
      </c>
      <c r="E152" s="9">
        <f>IFERROR(VLOOKUP(A151,'Reporte Total'!$A$2:$V$157,9,FALSE),0)</f>
        <v>176.32177675920528</v>
      </c>
      <c r="F152" s="22">
        <f>IFERROR(VLOOKUP(A151,'Reporte Total'!$A$2:$V$157,10,FALSE),0)</f>
        <v>3.5714773190596767</v>
      </c>
      <c r="G152" s="9">
        <f>+E152+F152*$B$321</f>
        <v>444.18257568868103</v>
      </c>
      <c r="H152" s="22">
        <f t="shared" si="4"/>
        <v>0.46481577480616104</v>
      </c>
      <c r="I152" s="9"/>
      <c r="J152" s="9"/>
      <c r="K152" s="22"/>
      <c r="L152" s="9"/>
      <c r="M152" s="22"/>
      <c r="N152" s="9"/>
      <c r="O152" s="22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</row>
    <row r="153" spans="1:99" x14ac:dyDescent="0.2">
      <c r="A153" s="9"/>
      <c r="B153" s="9" t="s">
        <v>3</v>
      </c>
      <c r="C153" s="9">
        <f>+C151+C152</f>
        <v>32548.321890537958</v>
      </c>
      <c r="D153" s="22">
        <f>IF(C153=0,0,(C151*D151+C152*D152)/C153)</f>
        <v>1.0861872103147374</v>
      </c>
      <c r="E153" s="35">
        <f>+IF(C153=0,0,(C151*E151+C152*E152)/C153)</f>
        <v>176.32177675920528</v>
      </c>
      <c r="F153" s="22">
        <f>+IF(C153=0,0,(C151*F151+C152*F152)/C153)</f>
        <v>3.5714773190596767</v>
      </c>
      <c r="G153" s="9">
        <f>+E153+F153*$B$321</f>
        <v>444.18257568868103</v>
      </c>
      <c r="H153" s="22">
        <f t="shared" si="4"/>
        <v>0.46481577480616104</v>
      </c>
      <c r="I153" s="9"/>
      <c r="J153" s="9"/>
      <c r="K153" s="22"/>
      <c r="L153" s="9"/>
      <c r="M153" s="22"/>
      <c r="N153" s="9"/>
      <c r="O153" s="22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</row>
    <row r="154" spans="1:99" x14ac:dyDescent="0.2">
      <c r="A154" s="9"/>
      <c r="B154" s="9" t="s">
        <v>2</v>
      </c>
      <c r="C154" s="9">
        <f>IFERROR(VLOOKUP(A151,'Reporte Total'!$A$2:$V$157,13,FALSE),0)</f>
        <v>131976.07326640081</v>
      </c>
      <c r="D154" s="22">
        <f>IFERROR(VLOOKUP(A151,'Reporte Total'!$A$2:$V$157,17,FALSE),0)</f>
        <v>1.0009082963292995</v>
      </c>
      <c r="E154" s="9">
        <f>IFERROR(VLOOKUP(A151,'Reporte Total'!$A$2:$V$157,14,FALSE),0)</f>
        <v>168.58336610568043</v>
      </c>
      <c r="F154" s="22">
        <f>IFERROR(VLOOKUP(A151,'Reporte Total'!$A$2:$V$157,15,FALSE),0)</f>
        <v>2.0258862838451055</v>
      </c>
      <c r="G154" s="9">
        <f>+E154+F154*$B$321</f>
        <v>320.5248373940633</v>
      </c>
      <c r="H154" s="22">
        <f t="shared" si="4"/>
        <v>1.3600273095831692</v>
      </c>
      <c r="I154" s="9"/>
      <c r="J154" s="9"/>
      <c r="K154" s="22"/>
      <c r="L154" s="9"/>
      <c r="M154" s="22"/>
      <c r="N154" s="9"/>
      <c r="O154" s="22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</row>
    <row r="155" spans="1:99" x14ac:dyDescent="0.2">
      <c r="A155" s="9" t="s">
        <v>90</v>
      </c>
      <c r="B155" s="9" t="s">
        <v>0</v>
      </c>
      <c r="C155" s="9">
        <f>IFERROR(VLOOKUP(A155,'Reporte Total'!$A$2:$V$157,3,FALSE),0)</f>
        <v>0</v>
      </c>
      <c r="D155" s="22">
        <f>IFERROR(VLOOKUP(A155,'Reporte Total'!$A$2:$V$157,7,FALSE),0)</f>
        <v>0</v>
      </c>
      <c r="E155" s="9">
        <f>IFERROR(VLOOKUP(A155,'Reporte Total'!$A$2:$V$157,4,FALSE),0)</f>
        <v>0</v>
      </c>
      <c r="F155" s="22">
        <f>IFERROR(VLOOKUP(A155,'Reporte Total'!$A$2:$V$157,5,FALSE),0)</f>
        <v>0</v>
      </c>
      <c r="G155" s="9">
        <f>+E155+F155*$B$321</f>
        <v>0</v>
      </c>
      <c r="H155" s="22">
        <f t="shared" si="4"/>
        <v>0</v>
      </c>
      <c r="I155" s="9"/>
      <c r="J155" s="9"/>
      <c r="K155" s="22"/>
      <c r="L155" s="9"/>
      <c r="M155" s="22"/>
      <c r="N155" s="9"/>
      <c r="O155" s="22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</row>
    <row r="156" spans="1:99" x14ac:dyDescent="0.2">
      <c r="A156" s="9"/>
      <c r="B156" s="9" t="s">
        <v>1</v>
      </c>
      <c r="C156" s="9">
        <f>IFERROR(VLOOKUP(A155,'Reporte Total'!$A$2:$V$157,8,FALSE),0)</f>
        <v>0</v>
      </c>
      <c r="D156" s="22">
        <f>IFERROR(VLOOKUP(A155,'Reporte Total'!$A$2:$V$157,12,FALSE),0)</f>
        <v>0</v>
      </c>
      <c r="E156" s="9">
        <f>IFERROR(VLOOKUP(A155,'Reporte Total'!$A$2:$V$157,9,FALSE),0)</f>
        <v>0</v>
      </c>
      <c r="F156" s="22">
        <f>IFERROR(VLOOKUP(A155,'Reporte Total'!$A$2:$V$157,10,FALSE),0)</f>
        <v>0</v>
      </c>
      <c r="G156" s="9">
        <f>+E156+F156*$B$321</f>
        <v>0</v>
      </c>
      <c r="H156" s="22">
        <f t="shared" si="4"/>
        <v>0</v>
      </c>
      <c r="I156" s="9"/>
      <c r="J156" s="9"/>
      <c r="K156" s="22"/>
      <c r="L156" s="9"/>
      <c r="M156" s="22"/>
      <c r="N156" s="9"/>
      <c r="O156" s="22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</row>
    <row r="157" spans="1:99" x14ac:dyDescent="0.2">
      <c r="A157" s="9"/>
      <c r="B157" s="9" t="s">
        <v>3</v>
      </c>
      <c r="C157" s="9">
        <f>+C155+C156</f>
        <v>0</v>
      </c>
      <c r="D157" s="22">
        <f>IF(C157=0,0,(C155*D155+C156*D156)/C157)</f>
        <v>0</v>
      </c>
      <c r="E157" s="35">
        <f>+IF(C157=0,0,(C155*E155+C156*E156)/C157)</f>
        <v>0</v>
      </c>
      <c r="F157" s="22">
        <f>+IF(C157=0,0,(C155*F155+C156*F156)/C157)</f>
        <v>0</v>
      </c>
      <c r="G157" s="9">
        <f>+E157+F157*$B$321</f>
        <v>0</v>
      </c>
      <c r="H157" s="22">
        <f t="shared" si="4"/>
        <v>0</v>
      </c>
      <c r="I157" s="9"/>
      <c r="J157" s="9"/>
      <c r="K157" s="22"/>
      <c r="L157" s="9"/>
      <c r="M157" s="22"/>
      <c r="N157" s="9"/>
      <c r="O157" s="22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</row>
    <row r="158" spans="1:99" x14ac:dyDescent="0.2">
      <c r="A158" s="9"/>
      <c r="B158" s="9" t="s">
        <v>2</v>
      </c>
      <c r="C158" s="9">
        <f>IFERROR(VLOOKUP(A155,'Reporte Total'!$A$2:$V$157,13,FALSE),0)</f>
        <v>162584.33058930351</v>
      </c>
      <c r="D158" s="22">
        <f>IFERROR(VLOOKUP(A155,'Reporte Total'!$A$2:$V$157,17,FALSE),0)</f>
        <v>1.2546169853525719</v>
      </c>
      <c r="E158" s="9">
        <f>IFERROR(VLOOKUP(A155,'Reporte Total'!$A$2:$V$157,14,FALSE),0)</f>
        <v>68.298983499123452</v>
      </c>
      <c r="F158" s="22">
        <f>IFERROR(VLOOKUP(A155,'Reporte Total'!$A$2:$V$157,15,FALSE),0)</f>
        <v>1.7679787273593208</v>
      </c>
      <c r="G158" s="9">
        <f>+E158+F158*$B$321</f>
        <v>200.89738805107254</v>
      </c>
      <c r="H158" s="22">
        <f t="shared" si="4"/>
        <v>1.0501315721196383</v>
      </c>
      <c r="I158" s="9"/>
      <c r="J158" s="9"/>
      <c r="K158" s="22"/>
      <c r="L158" s="9"/>
      <c r="M158" s="22"/>
      <c r="N158" s="9"/>
      <c r="O158" s="22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</row>
    <row r="159" spans="1:99" x14ac:dyDescent="0.2">
      <c r="A159" s="9" t="s">
        <v>96</v>
      </c>
      <c r="B159" s="9" t="s">
        <v>0</v>
      </c>
      <c r="C159" s="9">
        <f>IFERROR(VLOOKUP(A159,'Reporte Total'!$A$2:$V$157,3,FALSE),0)</f>
        <v>0</v>
      </c>
      <c r="D159" s="22">
        <f>IFERROR(VLOOKUP(A159,'Reporte Total'!$A$2:$V$157,7,FALSE),0)</f>
        <v>0</v>
      </c>
      <c r="E159" s="9">
        <f>IFERROR(VLOOKUP(A159,'Reporte Total'!$A$2:$V$157,4,FALSE),0)</f>
        <v>0</v>
      </c>
      <c r="F159" s="22">
        <f>IFERROR(VLOOKUP(A159,'Reporte Total'!$A$2:$V$157,5,FALSE),0)</f>
        <v>0</v>
      </c>
      <c r="G159" s="9">
        <f>+E159+F159*$B$321</f>
        <v>0</v>
      </c>
      <c r="H159" s="22">
        <f t="shared" si="4"/>
        <v>0</v>
      </c>
      <c r="I159" s="9"/>
      <c r="J159" s="9"/>
      <c r="K159" s="22"/>
      <c r="L159" s="9"/>
      <c r="M159" s="22"/>
      <c r="N159" s="9"/>
      <c r="O159" s="22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</row>
    <row r="160" spans="1:99" x14ac:dyDescent="0.2">
      <c r="A160" s="9"/>
      <c r="B160" s="9" t="s">
        <v>1</v>
      </c>
      <c r="C160" s="9">
        <f>IFERROR(VLOOKUP(A159,'Reporte Total'!$A$2:$V$157,8,FALSE),0)</f>
        <v>42029.138263982626</v>
      </c>
      <c r="D160" s="22">
        <f>IFERROR(VLOOKUP(A159,'Reporte Total'!$A$2:$V$157,12,FALSE),0)</f>
        <v>1.300063809084627</v>
      </c>
      <c r="E160" s="9">
        <f>IFERROR(VLOOKUP(A159,'Reporte Total'!$A$2:$V$157,9,FALSE),0)</f>
        <v>175.18702727686596</v>
      </c>
      <c r="F160" s="22">
        <f>IFERROR(VLOOKUP(A159,'Reporte Total'!$A$2:$V$157,10,FALSE),0)</f>
        <v>4.4072879389976825</v>
      </c>
      <c r="G160" s="9">
        <f>+E160+F160*$B$321</f>
        <v>505.73362270169218</v>
      </c>
      <c r="H160" s="22">
        <f t="shared" si="4"/>
        <v>0.68338123855110344</v>
      </c>
      <c r="I160" s="9"/>
      <c r="J160" s="9"/>
      <c r="K160" s="22"/>
      <c r="L160" s="9"/>
      <c r="M160" s="22"/>
      <c r="N160" s="9"/>
      <c r="O160" s="22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</row>
    <row r="161" spans="1:99" x14ac:dyDescent="0.2">
      <c r="A161" s="9"/>
      <c r="B161" s="9" t="s">
        <v>3</v>
      </c>
      <c r="C161" s="9">
        <f>+C159+C160</f>
        <v>42029.138263982626</v>
      </c>
      <c r="D161" s="22">
        <f>IF(C161=0,0,(C159*D159+C160*D160)/C161)</f>
        <v>1.300063809084627</v>
      </c>
      <c r="E161" s="35">
        <f>+IF(C161=0,0,(C159*E159+C160*E160)/C161)</f>
        <v>175.18702727686596</v>
      </c>
      <c r="F161" s="22">
        <f>+IF(C161=0,0,(C159*F159+C160*F160)/C161)</f>
        <v>4.4072879389976825</v>
      </c>
      <c r="G161" s="9">
        <f>+E161+F161*$B$321</f>
        <v>505.73362270169218</v>
      </c>
      <c r="H161" s="22">
        <f t="shared" si="4"/>
        <v>0.68338123855110344</v>
      </c>
      <c r="I161" s="9"/>
      <c r="J161" s="9"/>
      <c r="K161" s="22"/>
      <c r="L161" s="9"/>
      <c r="M161" s="22"/>
      <c r="N161" s="9"/>
      <c r="O161" s="22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</row>
    <row r="162" spans="1:99" x14ac:dyDescent="0.2">
      <c r="A162" s="9"/>
      <c r="B162" s="9" t="s">
        <v>2</v>
      </c>
      <c r="C162" s="9">
        <f>IFERROR(VLOOKUP(A159,'Reporte Total'!$A$2:$V$157,13,FALSE),0)</f>
        <v>118381.52402189038</v>
      </c>
      <c r="D162" s="22">
        <f>IFERROR(VLOOKUP(A159,'Reporte Total'!$A$2:$V$157,17,FALSE),0)</f>
        <v>0.88336998510565623</v>
      </c>
      <c r="E162" s="9">
        <f>IFERROR(VLOOKUP(A159,'Reporte Total'!$A$2:$V$157,14,FALSE),0)</f>
        <v>96.962062098964452</v>
      </c>
      <c r="F162" s="22">
        <f>IFERROR(VLOOKUP(A159,'Reporte Total'!$A$2:$V$157,15,FALSE),0)</f>
        <v>1.6618889941594295</v>
      </c>
      <c r="G162" s="9">
        <f>+E162+F162*$B$321</f>
        <v>221.60373666092167</v>
      </c>
      <c r="H162" s="22">
        <f t="shared" si="4"/>
        <v>0.84343524281401028</v>
      </c>
      <c r="I162" s="9"/>
      <c r="J162" s="9"/>
      <c r="K162" s="22"/>
      <c r="L162" s="9"/>
      <c r="M162" s="22"/>
      <c r="N162" s="9"/>
      <c r="O162" s="22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</row>
    <row r="163" spans="1:99" x14ac:dyDescent="0.2">
      <c r="A163" s="9" t="s">
        <v>79</v>
      </c>
      <c r="B163" s="9" t="s">
        <v>0</v>
      </c>
      <c r="C163" s="9">
        <f>IFERROR(VLOOKUP(A163,'Reporte Total'!$A$2:$V$157,3,FALSE),0)</f>
        <v>16435.219073042375</v>
      </c>
      <c r="D163" s="22">
        <f>IFERROR(VLOOKUP(A163,'Reporte Total'!$A$2:$V$157,7,FALSE),0)</f>
        <v>1.1701826114823155</v>
      </c>
      <c r="E163" s="9">
        <f>IFERROR(VLOOKUP(A163,'Reporte Total'!$A$2:$V$157,4,FALSE),0)</f>
        <v>63.974219069284615</v>
      </c>
      <c r="F163" s="22">
        <f>IFERROR(VLOOKUP(A163,'Reporte Total'!$A$2:$V$157,5,FALSE),0)</f>
        <v>4.4577355200181428</v>
      </c>
      <c r="G163" s="9">
        <f>+E163+F163*$B$321</f>
        <v>398.30438307064532</v>
      </c>
      <c r="H163" s="22">
        <f t="shared" si="4"/>
        <v>0.21046569657816794</v>
      </c>
      <c r="I163" s="9"/>
      <c r="J163" s="9"/>
      <c r="K163" s="22"/>
      <c r="L163" s="9"/>
      <c r="M163" s="22"/>
      <c r="N163" s="9"/>
      <c r="O163" s="22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</row>
    <row r="164" spans="1:99" x14ac:dyDescent="0.2">
      <c r="A164" s="9"/>
      <c r="B164" s="9" t="s">
        <v>1</v>
      </c>
      <c r="C164" s="9">
        <f>IFERROR(VLOOKUP(A163,'Reporte Total'!$A$2:$V$157,8,FALSE),0)</f>
        <v>34633.441128360406</v>
      </c>
      <c r="D164" s="22">
        <f>IFERROR(VLOOKUP(A163,'Reporte Total'!$A$2:$V$157,12,FALSE),0)</f>
        <v>1.0326524658105887</v>
      </c>
      <c r="E164" s="9">
        <f>IFERROR(VLOOKUP(A163,'Reporte Total'!$A$2:$V$157,9,FALSE),0)</f>
        <v>50.780592062268433</v>
      </c>
      <c r="F164" s="22">
        <f>IFERROR(VLOOKUP(A163,'Reporte Total'!$A$2:$V$157,10,FALSE),0)</f>
        <v>2.9187654741033411</v>
      </c>
      <c r="G164" s="9">
        <f>+E164+F164*$B$321</f>
        <v>269.68800262001901</v>
      </c>
      <c r="H164" s="22">
        <f t="shared" si="4"/>
        <v>0.30029493663946288</v>
      </c>
      <c r="I164" s="9"/>
      <c r="J164" s="9"/>
      <c r="K164" s="22"/>
      <c r="L164" s="9"/>
      <c r="M164" s="22"/>
      <c r="N164" s="9"/>
      <c r="O164" s="22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</row>
    <row r="165" spans="1:99" x14ac:dyDescent="0.2">
      <c r="A165" s="9"/>
      <c r="B165" s="9" t="s">
        <v>3</v>
      </c>
      <c r="C165" s="9">
        <f>+C163+C164</f>
        <v>51068.660201402781</v>
      </c>
      <c r="D165" s="22">
        <f>IF(C165=0,0,(C163*D163+C164*D164)/C165)</f>
        <v>1.0769132328710134</v>
      </c>
      <c r="E165" s="35">
        <f>+IF(C165=0,0,(C163*E163+C164*E164)/C165)</f>
        <v>55.026643346424954</v>
      </c>
      <c r="F165" s="22">
        <f>+IF(C165=0,0,(C163*F163+C164*F164)/C165)</f>
        <v>3.4140459406695087</v>
      </c>
      <c r="G165" s="9">
        <f>+E165+F165*$B$321</f>
        <v>311.08008889663813</v>
      </c>
      <c r="H165" s="22">
        <f t="shared" si="4"/>
        <v>0.51076063321763088</v>
      </c>
      <c r="I165" s="9"/>
      <c r="J165" s="9"/>
      <c r="K165" s="22"/>
      <c r="L165" s="9"/>
      <c r="M165" s="22"/>
      <c r="N165" s="9"/>
      <c r="O165" s="22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</row>
    <row r="166" spans="1:99" x14ac:dyDescent="0.2">
      <c r="A166" s="9"/>
      <c r="B166" s="9" t="s">
        <v>2</v>
      </c>
      <c r="C166" s="9">
        <f>IFERROR(VLOOKUP(A163,'Reporte Total'!$A$2:$V$157,13,FALSE),0)</f>
        <v>85873.71804093456</v>
      </c>
      <c r="D166" s="22">
        <f>IFERROR(VLOOKUP(A163,'Reporte Total'!$A$2:$V$157,17,FALSE),0)</f>
        <v>0.85091405119251928</v>
      </c>
      <c r="E166" s="9">
        <f>IFERROR(VLOOKUP(A163,'Reporte Total'!$A$2:$V$157,14,FALSE),0)</f>
        <v>36.276589984213608</v>
      </c>
      <c r="F166" s="22">
        <f>IFERROR(VLOOKUP(A163,'Reporte Total'!$A$2:$V$157,15,FALSE),0)</f>
        <v>4.1626358424677861</v>
      </c>
      <c r="G166" s="9">
        <f>+E166+F166*$B$321</f>
        <v>348.47427816929758</v>
      </c>
      <c r="H166" s="22">
        <f t="shared" si="4"/>
        <v>0.96210336161616727</v>
      </c>
      <c r="I166" s="9"/>
      <c r="J166" s="9"/>
      <c r="K166" s="22"/>
      <c r="L166" s="9"/>
      <c r="M166" s="22"/>
      <c r="N166" s="9"/>
      <c r="O166" s="22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</row>
    <row r="167" spans="1:99" x14ac:dyDescent="0.2">
      <c r="A167" s="9" t="s">
        <v>73</v>
      </c>
      <c r="B167" s="9" t="s">
        <v>0</v>
      </c>
      <c r="C167" s="9">
        <f>IFERROR(VLOOKUP(A167,'Reporte Total'!$A$2:$V$157,3,FALSE),0)</f>
        <v>34583.667456890602</v>
      </c>
      <c r="D167" s="22">
        <f>IFERROR(VLOOKUP(A167,'Reporte Total'!$A$2:$V$157,7,FALSE),0)</f>
        <v>2.1073741106643875</v>
      </c>
      <c r="E167" s="9">
        <f>IFERROR(VLOOKUP(A167,'Reporte Total'!$A$2:$V$157,4,FALSE),0)</f>
        <v>243.2365525228127</v>
      </c>
      <c r="F167" s="22">
        <f>IFERROR(VLOOKUP(A167,'Reporte Total'!$A$2:$V$157,5,FALSE),0)</f>
        <v>4.1304413305639311</v>
      </c>
      <c r="G167" s="9">
        <f>+E167+F167*$B$321</f>
        <v>553.01965231510758</v>
      </c>
      <c r="H167" s="22">
        <f t="shared" ref="H167:H226" si="5">+C167*G167/31.1035/1000000</f>
        <v>0.61489696506151859</v>
      </c>
      <c r="I167" s="9"/>
      <c r="J167" s="9"/>
      <c r="K167" s="22"/>
      <c r="L167" s="9"/>
      <c r="M167" s="22"/>
      <c r="N167" s="9"/>
      <c r="O167" s="22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</row>
    <row r="168" spans="1:99" x14ac:dyDescent="0.2">
      <c r="A168" s="9"/>
      <c r="B168" s="9" t="s">
        <v>1</v>
      </c>
      <c r="C168" s="9">
        <f>IFERROR(VLOOKUP(A167,'Reporte Total'!$A$2:$V$157,8,FALSE),0)</f>
        <v>64056.51103043319</v>
      </c>
      <c r="D168" s="22">
        <f>IFERROR(VLOOKUP(A167,'Reporte Total'!$A$2:$V$157,12,FALSE),0)</f>
        <v>1.5233242191735203</v>
      </c>
      <c r="E168" s="9">
        <f>IFERROR(VLOOKUP(A167,'Reporte Total'!$A$2:$V$157,9,FALSE),0)</f>
        <v>223.91953633100451</v>
      </c>
      <c r="F168" s="22">
        <f>IFERROR(VLOOKUP(A167,'Reporte Total'!$A$2:$V$157,10,FALSE),0)</f>
        <v>4.1051117665957779</v>
      </c>
      <c r="G168" s="9">
        <f>+E168+F168*$B$321</f>
        <v>531.80291882568781</v>
      </c>
      <c r="H168" s="22">
        <f t="shared" si="5"/>
        <v>1.0952284963355969</v>
      </c>
      <c r="I168" s="9"/>
      <c r="J168" s="9"/>
      <c r="K168" s="22"/>
      <c r="L168" s="9"/>
      <c r="M168" s="22"/>
      <c r="N168" s="9"/>
      <c r="O168" s="22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</row>
    <row r="169" spans="1:99" x14ac:dyDescent="0.2">
      <c r="A169" s="9"/>
      <c r="B169" s="9" t="s">
        <v>3</v>
      </c>
      <c r="C169" s="9">
        <f>+C167+C168</f>
        <v>98640.178487323792</v>
      </c>
      <c r="D169" s="22">
        <f>IF(C169=0,0,(C167*D167+C168*D168)/C169)</f>
        <v>1.7280946031621187</v>
      </c>
      <c r="E169" s="35">
        <f>+IF(C169=0,0,(C167*E167+C168*E168)/C169)</f>
        <v>230.69216462995587</v>
      </c>
      <c r="F169" s="22">
        <f>+IF(C169=0,0,(C167*F167+C168*F168)/C169)</f>
        <v>4.1139924197995352</v>
      </c>
      <c r="G169" s="9">
        <f>+E169+F169*$B$321</f>
        <v>539.24159611492109</v>
      </c>
      <c r="H169" s="22">
        <f t="shared" si="5"/>
        <v>1.7101254613971153</v>
      </c>
      <c r="I169" s="9"/>
      <c r="J169" s="9"/>
      <c r="K169" s="22"/>
      <c r="L169" s="9"/>
      <c r="M169" s="22"/>
      <c r="N169" s="9"/>
      <c r="O169" s="22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</row>
    <row r="170" spans="1:99" x14ac:dyDescent="0.2">
      <c r="A170" s="9"/>
      <c r="B170" s="9" t="s">
        <v>2</v>
      </c>
      <c r="C170" s="9">
        <f>IFERROR(VLOOKUP(A167,'Reporte Total'!$A$2:$V$157,13,FALSE),0)</f>
        <v>35437.047909730551</v>
      </c>
      <c r="D170" s="22">
        <f>IFERROR(VLOOKUP(A167,'Reporte Total'!$A$2:$V$157,17,FALSE),0)</f>
        <v>1.1465002101901243</v>
      </c>
      <c r="E170" s="9">
        <f>IFERROR(VLOOKUP(A167,'Reporte Total'!$A$2:$V$157,14,FALSE),0)</f>
        <v>110.95914725235482</v>
      </c>
      <c r="F170" s="22">
        <f>IFERROR(VLOOKUP(A167,'Reporte Total'!$A$2:$V$157,15,FALSE),0)</f>
        <v>2.469360187417085</v>
      </c>
      <c r="G170" s="9">
        <f>+E170+F170*$B$321</f>
        <v>296.16116130863622</v>
      </c>
      <c r="H170" s="22">
        <f t="shared" si="5"/>
        <v>0.33742431759434083</v>
      </c>
      <c r="I170" s="9"/>
      <c r="J170" s="9"/>
      <c r="K170" s="22"/>
      <c r="L170" s="9"/>
      <c r="M170" s="22"/>
      <c r="N170" s="9"/>
      <c r="O170" s="22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</row>
    <row r="171" spans="1:99" x14ac:dyDescent="0.2">
      <c r="A171" s="9" t="s">
        <v>64</v>
      </c>
      <c r="B171" s="9" t="s">
        <v>0</v>
      </c>
      <c r="C171" s="9">
        <f>IFERROR(VLOOKUP(A171,'Reporte Total'!$A$2:$V$157,3,FALSE),0)</f>
        <v>33796.733780552982</v>
      </c>
      <c r="D171" s="22">
        <f>IFERROR(VLOOKUP(A171,'Reporte Total'!$A$2:$V$157,7,FALSE),0)</f>
        <v>1.0333741643378636</v>
      </c>
      <c r="E171" s="9">
        <f>IFERROR(VLOOKUP(A171,'Reporte Total'!$A$2:$V$157,4,FALSE),0)</f>
        <v>141.85301747064833</v>
      </c>
      <c r="F171" s="22">
        <f>IFERROR(VLOOKUP(A171,'Reporte Total'!$A$2:$V$157,5,FALSE),0)</f>
        <v>3.0825098981372574</v>
      </c>
      <c r="G171" s="9">
        <f>+E171+F171*$B$321</f>
        <v>373.04125983094264</v>
      </c>
      <c r="H171" s="22">
        <f t="shared" si="5"/>
        <v>0.40534268322434647</v>
      </c>
      <c r="I171" s="9"/>
      <c r="J171" s="9"/>
      <c r="K171" s="22"/>
      <c r="L171" s="9"/>
      <c r="M171" s="22"/>
      <c r="N171" s="9"/>
      <c r="O171" s="22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</row>
    <row r="172" spans="1:99" x14ac:dyDescent="0.2">
      <c r="A172" s="9"/>
      <c r="B172" s="9" t="s">
        <v>1</v>
      </c>
      <c r="C172" s="9">
        <f>IFERROR(VLOOKUP(A171,'Reporte Total'!$A$2:$V$157,8,FALSE),0)</f>
        <v>36195.304467138034</v>
      </c>
      <c r="D172" s="22">
        <f>IFERROR(VLOOKUP(A171,'Reporte Total'!$A$2:$V$157,12,FALSE),0)</f>
        <v>1.012036070257494</v>
      </c>
      <c r="E172" s="9">
        <f>IFERROR(VLOOKUP(A171,'Reporte Total'!$A$2:$V$157,9,FALSE),0)</f>
        <v>114.88689160543883</v>
      </c>
      <c r="F172" s="22">
        <f>IFERROR(VLOOKUP(A171,'Reporte Total'!$A$2:$V$157,10,FALSE),0)</f>
        <v>2.5300141686743065</v>
      </c>
      <c r="G172" s="9">
        <f>+E172+F172*$B$321</f>
        <v>304.63795425601182</v>
      </c>
      <c r="H172" s="22">
        <f t="shared" si="5"/>
        <v>0.35450876931992914</v>
      </c>
      <c r="I172" s="9"/>
      <c r="J172" s="9"/>
      <c r="K172" s="22"/>
      <c r="L172" s="9"/>
      <c r="M172" s="22"/>
      <c r="N172" s="9"/>
      <c r="O172" s="22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</row>
    <row r="173" spans="1:99" x14ac:dyDescent="0.2">
      <c r="A173" s="9"/>
      <c r="B173" s="9" t="s">
        <v>3</v>
      </c>
      <c r="C173" s="9">
        <f>+C171+C172</f>
        <v>69992.038247691016</v>
      </c>
      <c r="D173" s="22">
        <f>IF(C173=0,0,(C171*D171+C172*D172)/C173)</f>
        <v>1.0223394976625737</v>
      </c>
      <c r="E173" s="35">
        <f>+IF(C173=0,0,(C171*E171+C172*E172)/C173)</f>
        <v>127.90790084843563</v>
      </c>
      <c r="F173" s="22">
        <f>+IF(C173=0,0,(C171*F171+C172*F172)/C173)</f>
        <v>2.7967952419368465</v>
      </c>
      <c r="G173" s="9">
        <f>+E173+F173*$B$321</f>
        <v>337.6675439936991</v>
      </c>
      <c r="H173" s="22">
        <f t="shared" si="5"/>
        <v>0.75985145254427555</v>
      </c>
      <c r="I173" s="9"/>
      <c r="J173" s="9"/>
      <c r="K173" s="22"/>
      <c r="L173" s="9"/>
      <c r="M173" s="22"/>
      <c r="N173" s="9"/>
      <c r="O173" s="22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</row>
    <row r="174" spans="1:99" x14ac:dyDescent="0.2">
      <c r="A174" s="9"/>
      <c r="B174" s="9" t="s">
        <v>2</v>
      </c>
      <c r="C174" s="9">
        <f>IFERROR(VLOOKUP(A171,'Reporte Total'!$A$2:$V$157,13,FALSE),0)</f>
        <v>38137.57843790116</v>
      </c>
      <c r="D174" s="22">
        <f>IFERROR(VLOOKUP(A171,'Reporte Total'!$A$2:$V$157,17,FALSE),0)</f>
        <v>0.87409392664561514</v>
      </c>
      <c r="E174" s="9">
        <f>IFERROR(VLOOKUP(A171,'Reporte Total'!$A$2:$V$157,14,FALSE),0)</f>
        <v>100.83018751906712</v>
      </c>
      <c r="F174" s="22">
        <f>IFERROR(VLOOKUP(A171,'Reporte Total'!$A$2:$V$157,15,FALSE),0)</f>
        <v>2.890924235952633</v>
      </c>
      <c r="G174" s="9">
        <f>+E174+F174*$B$321</f>
        <v>317.64950521551464</v>
      </c>
      <c r="H174" s="22">
        <f t="shared" si="5"/>
        <v>0.38948616460903707</v>
      </c>
      <c r="I174" s="9"/>
      <c r="J174" s="9"/>
      <c r="K174" s="22"/>
      <c r="L174" s="9"/>
      <c r="M174" s="22"/>
      <c r="N174" s="9"/>
      <c r="O174" s="22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</row>
    <row r="175" spans="1:99" x14ac:dyDescent="0.2">
      <c r="A175" s="9" t="s">
        <v>65</v>
      </c>
      <c r="B175" s="9" t="s">
        <v>0</v>
      </c>
      <c r="C175" s="9">
        <f>IFERROR(VLOOKUP(A175,'Reporte Total'!$A$2:$V$157,3,FALSE),0)</f>
        <v>0</v>
      </c>
      <c r="D175" s="22">
        <f>IFERROR(VLOOKUP(A175,'Reporte Total'!$A$2:$V$157,7,FALSE),0)</f>
        <v>0</v>
      </c>
      <c r="E175" s="9">
        <f>IFERROR(VLOOKUP(A175,'Reporte Total'!$A$2:$V$157,4,FALSE),0)</f>
        <v>0</v>
      </c>
      <c r="F175" s="22">
        <f>IFERROR(VLOOKUP(A175,'Reporte Total'!$A$2:$V$157,5,FALSE),0)</f>
        <v>0</v>
      </c>
      <c r="G175" s="9">
        <f>+E175+F175*$B$321</f>
        <v>0</v>
      </c>
      <c r="H175" s="22">
        <f t="shared" si="5"/>
        <v>0</v>
      </c>
      <c r="I175" s="9"/>
      <c r="J175" s="9"/>
      <c r="K175" s="22"/>
      <c r="L175" s="9"/>
      <c r="M175" s="22"/>
      <c r="N175" s="9"/>
      <c r="O175" s="22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</row>
    <row r="176" spans="1:99" x14ac:dyDescent="0.2">
      <c r="A176" s="9"/>
      <c r="B176" s="9" t="s">
        <v>1</v>
      </c>
      <c r="C176" s="9">
        <f>IFERROR(VLOOKUP(A175,'Reporte Total'!$A$2:$V$157,8,FALSE),0)</f>
        <v>10112.694142996799</v>
      </c>
      <c r="D176" s="22">
        <f>IFERROR(VLOOKUP(A175,'Reporte Total'!$A$2:$V$157,12,FALSE),0)</f>
        <v>1.2489820703976564</v>
      </c>
      <c r="E176" s="9">
        <f>IFERROR(VLOOKUP(A175,'Reporte Total'!$A$2:$V$157,9,FALSE),0)</f>
        <v>100.90248661581212</v>
      </c>
      <c r="F176" s="22">
        <f>IFERROR(VLOOKUP(A175,'Reporte Total'!$A$2:$V$157,10,FALSE),0)</f>
        <v>2.5869170102785879</v>
      </c>
      <c r="G176" s="9">
        <f>+E176+F176*$B$321</f>
        <v>294.92126238670619</v>
      </c>
      <c r="H176" s="22">
        <f t="shared" si="5"/>
        <v>9.5887875087474594E-2</v>
      </c>
      <c r="I176" s="9"/>
      <c r="J176" s="9"/>
      <c r="K176" s="22"/>
      <c r="L176" s="9"/>
      <c r="M176" s="22"/>
      <c r="N176" s="9"/>
      <c r="O176" s="22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</row>
    <row r="177" spans="1:99" x14ac:dyDescent="0.2">
      <c r="A177" s="9"/>
      <c r="B177" s="9" t="s">
        <v>3</v>
      </c>
      <c r="C177" s="9">
        <f>+C175+C176</f>
        <v>10112.694142996799</v>
      </c>
      <c r="D177" s="22">
        <f>IF(C177=0,0,(C175*D175+C176*D176)/C177)</f>
        <v>1.2489820703976564</v>
      </c>
      <c r="E177" s="35">
        <f>+IF(C177=0,0,(C175*E175+C176*E176)/C177)</f>
        <v>100.90248661581212</v>
      </c>
      <c r="F177" s="22">
        <f>+IF(C177=0,0,(C175*F175+C176*F176)/C177)</f>
        <v>2.5869170102785879</v>
      </c>
      <c r="G177" s="9">
        <f>+E177+F177*$B$321</f>
        <v>294.92126238670619</v>
      </c>
      <c r="H177" s="22">
        <f t="shared" si="5"/>
        <v>9.5887875087474594E-2</v>
      </c>
      <c r="I177" s="9"/>
      <c r="J177" s="9"/>
      <c r="K177" s="22"/>
      <c r="L177" s="9"/>
      <c r="M177" s="22"/>
      <c r="N177" s="9"/>
      <c r="O177" s="22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</row>
    <row r="178" spans="1:99" x14ac:dyDescent="0.2">
      <c r="A178" s="9"/>
      <c r="B178" s="9" t="s">
        <v>2</v>
      </c>
      <c r="C178" s="9">
        <f>IFERROR(VLOOKUP(A175,'Reporte Total'!$A$2:$V$157,13,FALSE),0)</f>
        <v>94764.946259122051</v>
      </c>
      <c r="D178" s="22">
        <f>IFERROR(VLOOKUP(A175,'Reporte Total'!$A$2:$V$157,17,FALSE),0)</f>
        <v>0.98576083545525683</v>
      </c>
      <c r="E178" s="9">
        <f>IFERROR(VLOOKUP(A175,'Reporte Total'!$A$2:$V$157,14,FALSE),0)</f>
        <v>101.10239152713228</v>
      </c>
      <c r="F178" s="22">
        <f>IFERROR(VLOOKUP(A175,'Reporte Total'!$A$2:$V$157,15,FALSE),0)</f>
        <v>1.8977198528642891</v>
      </c>
      <c r="G178" s="9">
        <f>+E178+F178*$B$321</f>
        <v>243.43138049195397</v>
      </c>
      <c r="H178" s="22">
        <f t="shared" si="5"/>
        <v>0.74167735753545128</v>
      </c>
      <c r="I178" s="9"/>
      <c r="J178" s="9"/>
      <c r="K178" s="22"/>
      <c r="L178" s="9"/>
      <c r="M178" s="22"/>
      <c r="N178" s="9"/>
      <c r="O178" s="22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</row>
    <row r="179" spans="1:99" x14ac:dyDescent="0.2">
      <c r="A179" s="9" t="s">
        <v>87</v>
      </c>
      <c r="B179" s="9" t="s">
        <v>0</v>
      </c>
      <c r="C179" s="9">
        <f>IFERROR(VLOOKUP(A179,'Reporte Total'!$A$2:$V$157,3,FALSE),0)</f>
        <v>27417.697565579561</v>
      </c>
      <c r="D179" s="22">
        <f>IFERROR(VLOOKUP(A179,'Reporte Total'!$A$2:$V$157,7,FALSE),0)</f>
        <v>2.2388978026995603</v>
      </c>
      <c r="E179" s="9">
        <f>IFERROR(VLOOKUP(A179,'Reporte Total'!$A$2:$V$157,4,FALSE),0)</f>
        <v>384.44504880986273</v>
      </c>
      <c r="F179" s="22">
        <f>IFERROR(VLOOKUP(A179,'Reporte Total'!$A$2:$V$157,5,FALSE),0)</f>
        <v>5.613502659333375</v>
      </c>
      <c r="G179" s="9">
        <f>+E179+F179*$B$321</f>
        <v>805.45774825986587</v>
      </c>
      <c r="H179" s="22">
        <f t="shared" si="5"/>
        <v>0.71001002921348788</v>
      </c>
      <c r="I179" s="9"/>
      <c r="J179" s="9"/>
      <c r="K179" s="22"/>
      <c r="L179" s="9"/>
      <c r="M179" s="22"/>
      <c r="N179" s="9"/>
      <c r="O179" s="22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</row>
    <row r="180" spans="1:99" x14ac:dyDescent="0.2">
      <c r="A180" s="9"/>
      <c r="B180" s="9" t="s">
        <v>1</v>
      </c>
      <c r="C180" s="9">
        <f>IFERROR(VLOOKUP(A179,'Reporte Total'!$A$2:$V$157,8,FALSE),0)</f>
        <v>51709.278201682835</v>
      </c>
      <c r="D180" s="22">
        <f>IFERROR(VLOOKUP(A179,'Reporte Total'!$A$2:$V$157,12,FALSE),0)</f>
        <v>1.4504200371255302</v>
      </c>
      <c r="E180" s="9">
        <f>IFERROR(VLOOKUP(A179,'Reporte Total'!$A$2:$V$157,9,FALSE),0)</f>
        <v>158.84201993812917</v>
      </c>
      <c r="F180" s="22">
        <f>IFERROR(VLOOKUP(A179,'Reporte Total'!$A$2:$V$157,10,FALSE),0)</f>
        <v>2.0949455134964845</v>
      </c>
      <c r="G180" s="9">
        <f>+E180+F180*$B$321</f>
        <v>315.96293345036554</v>
      </c>
      <c r="H180" s="22">
        <f t="shared" si="5"/>
        <v>0.52528542534456735</v>
      </c>
      <c r="I180" s="9"/>
      <c r="J180" s="9"/>
      <c r="K180" s="22"/>
      <c r="L180" s="9"/>
      <c r="M180" s="22"/>
      <c r="N180" s="9"/>
      <c r="O180" s="22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</row>
    <row r="181" spans="1:99" x14ac:dyDescent="0.2">
      <c r="A181" s="9"/>
      <c r="B181" s="9" t="s">
        <v>3</v>
      </c>
      <c r="C181" s="9">
        <f>+C179+C180</f>
        <v>79126.975767262396</v>
      </c>
      <c r="D181" s="22">
        <f>IF(C181=0,0,(C179*D179+C180*D180)/C181)</f>
        <v>1.7236295804458619</v>
      </c>
      <c r="E181" s="35">
        <f>+IF(C181=0,0,(C179*E179+C180*E180)/C181)</f>
        <v>237.01404099043722</v>
      </c>
      <c r="F181" s="22">
        <f>+IF(C181=0,0,(C179*F179+C180*F180)/C181)</f>
        <v>3.3141344785280284</v>
      </c>
      <c r="G181" s="9">
        <f>+E181+F181*$B$321</f>
        <v>485.57412688003933</v>
      </c>
      <c r="H181" s="22">
        <f t="shared" si="5"/>
        <v>1.2352954545580552</v>
      </c>
      <c r="I181" s="9"/>
      <c r="J181" s="9"/>
      <c r="K181" s="22"/>
      <c r="L181" s="9"/>
      <c r="M181" s="22"/>
      <c r="N181" s="9"/>
      <c r="O181" s="22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</row>
    <row r="182" spans="1:99" x14ac:dyDescent="0.2">
      <c r="A182" s="9"/>
      <c r="B182" s="9" t="s">
        <v>2</v>
      </c>
      <c r="C182" s="9">
        <f>IFERROR(VLOOKUP(A179,'Reporte Total'!$A$2:$V$157,13,FALSE),0)</f>
        <v>13961.23338566038</v>
      </c>
      <c r="D182" s="22">
        <f>IFERROR(VLOOKUP(A179,'Reporte Total'!$A$2:$V$157,17,FALSE),0)</f>
        <v>1.077183965655564</v>
      </c>
      <c r="E182" s="9">
        <f>IFERROR(VLOOKUP(A179,'Reporte Total'!$A$2:$V$157,14,FALSE),0)</f>
        <v>84.378371359276642</v>
      </c>
      <c r="F182" s="22">
        <f>IFERROR(VLOOKUP(A179,'Reporte Total'!$A$2:$V$157,15,FALSE),0)</f>
        <v>1.290717710483851</v>
      </c>
      <c r="G182" s="9">
        <f>+E182+F182*$B$321</f>
        <v>181.18219964556545</v>
      </c>
      <c r="H182" s="22">
        <f t="shared" si="5"/>
        <v>8.1326120037264374E-2</v>
      </c>
      <c r="I182" s="9"/>
      <c r="J182" s="9"/>
      <c r="K182" s="22"/>
      <c r="L182" s="9"/>
      <c r="M182" s="22"/>
      <c r="N182" s="9"/>
      <c r="O182" s="22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</row>
    <row r="183" spans="1:99" x14ac:dyDescent="0.2">
      <c r="A183" s="9" t="s">
        <v>111</v>
      </c>
      <c r="B183" s="9" t="s">
        <v>0</v>
      </c>
      <c r="C183" s="9">
        <f>IFERROR(VLOOKUP(A183,'Reporte Total'!$A$2:$V$157,3,FALSE),0)</f>
        <v>44929.389593670654</v>
      </c>
      <c r="D183" s="22">
        <f>IFERROR(VLOOKUP(A183,'Reporte Total'!$A$2:$V$157,7,FALSE),0)</f>
        <v>2.1500498722794363</v>
      </c>
      <c r="E183" s="9">
        <f>IFERROR(VLOOKUP(A183,'Reporte Total'!$A$2:$V$157,4,FALSE),0)</f>
        <v>267.13212228423862</v>
      </c>
      <c r="F183" s="22">
        <f>IFERROR(VLOOKUP(A183,'Reporte Total'!$A$2:$V$157,5,FALSE),0)</f>
        <v>6.7221432806517303</v>
      </c>
      <c r="G183" s="9">
        <f>+E183+F183*$B$321</f>
        <v>771.29286833311835</v>
      </c>
      <c r="H183" s="22">
        <f t="shared" si="5"/>
        <v>1.1141420667178419</v>
      </c>
      <c r="I183" s="9"/>
      <c r="J183" s="9"/>
      <c r="K183" s="22"/>
      <c r="L183" s="9"/>
      <c r="M183" s="22"/>
      <c r="N183" s="9"/>
      <c r="O183" s="22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</row>
    <row r="184" spans="1:99" x14ac:dyDescent="0.2">
      <c r="A184" s="9"/>
      <c r="B184" s="9" t="s">
        <v>1</v>
      </c>
      <c r="C184" s="9">
        <f>IFERROR(VLOOKUP(A183,'Reporte Total'!$A$2:$V$157,8,FALSE),0)</f>
        <v>13927.499781498555</v>
      </c>
      <c r="D184" s="22">
        <f>IFERROR(VLOOKUP(A183,'Reporte Total'!$A$2:$V$157,12,FALSE),0)</f>
        <v>1.4334366452715444</v>
      </c>
      <c r="E184" s="9">
        <f>IFERROR(VLOOKUP(A183,'Reporte Total'!$A$2:$V$157,9,FALSE),0)</f>
        <v>183.37711161255459</v>
      </c>
      <c r="F184" s="22">
        <f>IFERROR(VLOOKUP(A183,'Reporte Total'!$A$2:$V$157,10,FALSE),0)</f>
        <v>4.4426551419383822</v>
      </c>
      <c r="G184" s="9">
        <f>+E184+F184*$B$321</f>
        <v>516.57624725793323</v>
      </c>
      <c r="H184" s="22">
        <f t="shared" si="5"/>
        <v>0.23131208934082045</v>
      </c>
      <c r="I184" s="9"/>
      <c r="J184" s="9"/>
      <c r="K184" s="22"/>
      <c r="L184" s="9"/>
      <c r="M184" s="22"/>
      <c r="N184" s="9"/>
      <c r="O184" s="22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</row>
    <row r="185" spans="1:99" x14ac:dyDescent="0.2">
      <c r="A185" s="9"/>
      <c r="B185" s="9" t="s">
        <v>3</v>
      </c>
      <c r="C185" s="9">
        <f>+C183+C184</f>
        <v>58856.889375169209</v>
      </c>
      <c r="D185" s="22">
        <f>IF(C185=0,0,(C183*D183+C184*D184)/C185)</f>
        <v>1.9804753217293345</v>
      </c>
      <c r="E185" s="35">
        <f>+IF(C185=0,0,(C183*E183+C184*E184)/C185)</f>
        <v>247.31289797230252</v>
      </c>
      <c r="F185" s="22">
        <f>+IF(C185=0,0,(C183*F183+C184*F184)/C185)</f>
        <v>6.182740487012885</v>
      </c>
      <c r="G185" s="9">
        <f>+E185+F185*$B$321</f>
        <v>711.0184344982689</v>
      </c>
      <c r="H185" s="22">
        <f t="shared" si="5"/>
        <v>1.3454541560586626</v>
      </c>
      <c r="I185" s="9"/>
      <c r="J185" s="9"/>
      <c r="K185" s="22"/>
      <c r="L185" s="9"/>
      <c r="M185" s="22"/>
      <c r="N185" s="9"/>
      <c r="O185" s="22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</row>
    <row r="186" spans="1:99" x14ac:dyDescent="0.2">
      <c r="A186" s="9"/>
      <c r="B186" s="9" t="s">
        <v>2</v>
      </c>
      <c r="C186" s="9">
        <f>IFERROR(VLOOKUP(A183,'Reporte Total'!$A$2:$V$157,13,FALSE),0)</f>
        <v>36283.38080798489</v>
      </c>
      <c r="D186" s="22">
        <f>IFERROR(VLOOKUP(A183,'Reporte Total'!$A$2:$V$157,17,FALSE),0)</f>
        <v>1.5015900910181883</v>
      </c>
      <c r="E186" s="9">
        <f>IFERROR(VLOOKUP(A183,'Reporte Total'!$A$2:$V$157,14,FALSE),0)</f>
        <v>108.21810038751563</v>
      </c>
      <c r="F186" s="22">
        <f>IFERROR(VLOOKUP(A183,'Reporte Total'!$A$2:$V$157,15,FALSE),0)</f>
        <v>1.8565924472764868</v>
      </c>
      <c r="G186" s="9">
        <f>+E186+F186*$B$321</f>
        <v>247.46253393325213</v>
      </c>
      <c r="H186" s="22">
        <f t="shared" si="5"/>
        <v>0.28867417989644478</v>
      </c>
      <c r="I186" s="9"/>
      <c r="J186" s="9"/>
      <c r="K186" s="22"/>
      <c r="L186" s="9"/>
      <c r="M186" s="22"/>
      <c r="N186" s="9"/>
      <c r="O186" s="22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</row>
    <row r="187" spans="1:99" x14ac:dyDescent="0.2">
      <c r="A187" s="9" t="s">
        <v>88</v>
      </c>
      <c r="B187" s="9" t="s">
        <v>0</v>
      </c>
      <c r="C187" s="9">
        <f>IFERROR(VLOOKUP(A187,'Reporte Total'!$A$2:$V$157,3,FALSE),0)</f>
        <v>0</v>
      </c>
      <c r="D187" s="22">
        <f>IFERROR(VLOOKUP(A187,'Reporte Total'!$A$2:$V$157,7,FALSE),0)</f>
        <v>0</v>
      </c>
      <c r="E187" s="9">
        <f>IFERROR(VLOOKUP(A187,'Reporte Total'!$A$2:$V$157,4,FALSE),0)</f>
        <v>0</v>
      </c>
      <c r="F187" s="22">
        <f>IFERROR(VLOOKUP(A187,'Reporte Total'!$A$2:$V$157,5,FALSE),0)</f>
        <v>0</v>
      </c>
      <c r="G187" s="9">
        <f>+E187+F187*$B$321</f>
        <v>0</v>
      </c>
      <c r="H187" s="22">
        <f t="shared" si="5"/>
        <v>0</v>
      </c>
      <c r="I187" s="9"/>
      <c r="J187" s="9"/>
      <c r="K187" s="22"/>
      <c r="L187" s="9"/>
      <c r="M187" s="22"/>
      <c r="N187" s="9"/>
      <c r="O187" s="22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</row>
    <row r="188" spans="1:99" x14ac:dyDescent="0.2">
      <c r="A188" s="9"/>
      <c r="B188" s="9" t="s">
        <v>1</v>
      </c>
      <c r="C188" s="9">
        <f>IFERROR(VLOOKUP(A187,'Reporte Total'!$A$2:$V$157,8,FALSE),0)</f>
        <v>37706.275478955824</v>
      </c>
      <c r="D188" s="22">
        <f>IFERROR(VLOOKUP(A187,'Reporte Total'!$A$2:$V$157,12,FALSE),0)</f>
        <v>3.2745582785336511</v>
      </c>
      <c r="E188" s="9">
        <f>IFERROR(VLOOKUP(A187,'Reporte Total'!$A$2:$V$157,9,FALSE),0)</f>
        <v>65.239964418033296</v>
      </c>
      <c r="F188" s="22">
        <f>IFERROR(VLOOKUP(A187,'Reporte Total'!$A$2:$V$157,10,FALSE),0)</f>
        <v>2.58879199091594</v>
      </c>
      <c r="G188" s="9">
        <f>+E188+F188*$B$321</f>
        <v>259.39936373672879</v>
      </c>
      <c r="H188" s="22">
        <f t="shared" si="5"/>
        <v>0.3144656989767376</v>
      </c>
      <c r="I188" s="9"/>
      <c r="J188" s="9"/>
      <c r="K188" s="22"/>
      <c r="L188" s="9"/>
      <c r="M188" s="22"/>
      <c r="N188" s="9"/>
      <c r="O188" s="22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</row>
    <row r="189" spans="1:99" x14ac:dyDescent="0.2">
      <c r="A189" s="9"/>
      <c r="B189" s="9" t="s">
        <v>3</v>
      </c>
      <c r="C189" s="9">
        <f>+C187+C188</f>
        <v>37706.275478955824</v>
      </c>
      <c r="D189" s="22">
        <f>IF(C189=0,0,(C187*D187+C188*D188)/C189)</f>
        <v>3.2745582785336511</v>
      </c>
      <c r="E189" s="35">
        <f>+IF(C189=0,0,(C187*E187+C188*E188)/C189)</f>
        <v>65.239964418033296</v>
      </c>
      <c r="F189" s="22">
        <f>+IF(C189=0,0,(C187*F187+C188*F188)/C189)</f>
        <v>2.58879199091594</v>
      </c>
      <c r="G189" s="9">
        <f>+E189+F189*$B$321</f>
        <v>259.39936373672879</v>
      </c>
      <c r="H189" s="22">
        <f t="shared" si="5"/>
        <v>0.3144656989767376</v>
      </c>
      <c r="I189" s="9"/>
      <c r="J189" s="9"/>
      <c r="K189" s="22"/>
      <c r="L189" s="9"/>
      <c r="M189" s="22"/>
      <c r="N189" s="9"/>
      <c r="O189" s="22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</row>
    <row r="190" spans="1:99" x14ac:dyDescent="0.2">
      <c r="A190" s="9"/>
      <c r="B190" s="9" t="s">
        <v>2</v>
      </c>
      <c r="C190" s="9">
        <f>IFERROR(VLOOKUP(A187,'Reporte Total'!$A$2:$V$157,13,FALSE),0)</f>
        <v>54165.888932167138</v>
      </c>
      <c r="D190" s="22">
        <f>IFERROR(VLOOKUP(A187,'Reporte Total'!$A$2:$V$157,17,FALSE),0)</f>
        <v>2.7366130768956971</v>
      </c>
      <c r="E190" s="9">
        <f>IFERROR(VLOOKUP(A187,'Reporte Total'!$A$2:$V$157,14,FALSE),0)</f>
        <v>66.393938538786131</v>
      </c>
      <c r="F190" s="22">
        <f>IFERROR(VLOOKUP(A187,'Reporte Total'!$A$2:$V$157,15,FALSE),0)</f>
        <v>2.0073129792939075</v>
      </c>
      <c r="G190" s="9">
        <f>+E190+F190*$B$321</f>
        <v>216.94241198582918</v>
      </c>
      <c r="H190" s="22">
        <f t="shared" si="5"/>
        <v>0.37779923778034197</v>
      </c>
      <c r="I190" s="9"/>
      <c r="J190" s="9"/>
      <c r="K190" s="22"/>
      <c r="L190" s="9"/>
      <c r="M190" s="22"/>
      <c r="N190" s="9"/>
      <c r="O190" s="22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</row>
    <row r="191" spans="1:99" x14ac:dyDescent="0.2">
      <c r="A191" s="9" t="s">
        <v>99</v>
      </c>
      <c r="B191" s="9" t="s">
        <v>0</v>
      </c>
      <c r="C191" s="9">
        <f>IFERROR(VLOOKUP(A191,'Reporte Total'!$A$2:$V$157,3,FALSE),0)</f>
        <v>37083.335253836063</v>
      </c>
      <c r="D191" s="22">
        <f>IFERROR(VLOOKUP(A191,'Reporte Total'!$A$2:$V$157,7,FALSE),0)</f>
        <v>1.2378049886058526</v>
      </c>
      <c r="E191" s="9">
        <f>IFERROR(VLOOKUP(A191,'Reporte Total'!$A$2:$V$157,4,FALSE),0)</f>
        <v>167.5785176409783</v>
      </c>
      <c r="F191" s="22">
        <f>IFERROR(VLOOKUP(A191,'Reporte Total'!$A$2:$V$157,5,FALSE),0)</f>
        <v>2.9645986716048527</v>
      </c>
      <c r="G191" s="9">
        <f>+E191+F191*$B$321</f>
        <v>389.92341801134228</v>
      </c>
      <c r="H191" s="22">
        <f t="shared" si="5"/>
        <v>0.46488854416500602</v>
      </c>
      <c r="I191" s="9"/>
      <c r="J191" s="9"/>
      <c r="K191" s="22"/>
      <c r="L191" s="9"/>
      <c r="M191" s="22"/>
      <c r="N191" s="9"/>
      <c r="O191" s="22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</row>
    <row r="192" spans="1:99" x14ac:dyDescent="0.2">
      <c r="A192" s="9"/>
      <c r="B192" s="9" t="s">
        <v>1</v>
      </c>
      <c r="C192" s="9">
        <f>IFERROR(VLOOKUP(A191,'Reporte Total'!$A$2:$V$157,8,FALSE),0)</f>
        <v>47988.656385221526</v>
      </c>
      <c r="D192" s="22">
        <f>IFERROR(VLOOKUP(A191,'Reporte Total'!$A$2:$V$157,12,FALSE),0)</f>
        <v>1.257071227341827</v>
      </c>
      <c r="E192" s="9">
        <f>IFERROR(VLOOKUP(A191,'Reporte Total'!$A$2:$V$157,9,FALSE),0)</f>
        <v>128.08632941493292</v>
      </c>
      <c r="F192" s="22">
        <f>IFERROR(VLOOKUP(A191,'Reporte Total'!$A$2:$V$157,10,FALSE),0)</f>
        <v>1.8725113475019406</v>
      </c>
      <c r="G192" s="9">
        <f>+E192+F192*$B$321</f>
        <v>268.5246804775785</v>
      </c>
      <c r="H192" s="22">
        <f t="shared" si="5"/>
        <v>0.41429866807240079</v>
      </c>
      <c r="I192" s="9"/>
      <c r="J192" s="9"/>
      <c r="K192" s="22"/>
      <c r="L192" s="9"/>
      <c r="M192" s="22"/>
      <c r="N192" s="9"/>
      <c r="O192" s="22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</row>
    <row r="193" spans="1:99" x14ac:dyDescent="0.2">
      <c r="A193" s="9"/>
      <c r="B193" s="9" t="s">
        <v>3</v>
      </c>
      <c r="C193" s="9">
        <f>+C191+C192</f>
        <v>85071.991639057582</v>
      </c>
      <c r="D193" s="22">
        <f>IF(C193=0,0,(C191*D191+C192*D192)/C193)</f>
        <v>1.2486729710372388</v>
      </c>
      <c r="E193" s="35">
        <f>+IF(C193=0,0,(C191*E191+C192*E192)/C193)</f>
        <v>145.30118506457623</v>
      </c>
      <c r="F193" s="22">
        <f>+IF(C193=0,0,(C191*F191+C192*F192)/C193)</f>
        <v>2.3485580414361613</v>
      </c>
      <c r="G193" s="9">
        <f>+E193+F193*$B$321</f>
        <v>321.44303817228831</v>
      </c>
      <c r="H193" s="22">
        <f t="shared" si="5"/>
        <v>0.87918721223740659</v>
      </c>
      <c r="I193" s="9"/>
      <c r="J193" s="9"/>
      <c r="K193" s="22"/>
      <c r="L193" s="9"/>
      <c r="M193" s="22"/>
      <c r="N193" s="9"/>
      <c r="O193" s="22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</row>
    <row r="194" spans="1:99" x14ac:dyDescent="0.2">
      <c r="A194" s="9"/>
      <c r="B194" s="9" t="s">
        <v>2</v>
      </c>
      <c r="C194" s="9">
        <f>IFERROR(VLOOKUP(A191,'Reporte Total'!$A$2:$V$157,13,FALSE),0)</f>
        <v>3784.8988881690957</v>
      </c>
      <c r="D194" s="22">
        <f>IFERROR(VLOOKUP(A191,'Reporte Total'!$A$2:$V$157,17,FALSE),0)</f>
        <v>0.87678633371047421</v>
      </c>
      <c r="E194" s="9">
        <f>IFERROR(VLOOKUP(A191,'Reporte Total'!$A$2:$V$157,14,FALSE),0)</f>
        <v>123.056761262137</v>
      </c>
      <c r="F194" s="22">
        <f>IFERROR(VLOOKUP(A191,'Reporte Total'!$A$2:$V$157,15,FALSE),0)</f>
        <v>1.4359932399278814</v>
      </c>
      <c r="G194" s="9">
        <f>+E194+F194*$B$321</f>
        <v>230.75625425672811</v>
      </c>
      <c r="H194" s="22">
        <f t="shared" si="5"/>
        <v>2.8080090349136125E-2</v>
      </c>
      <c r="I194" s="9"/>
      <c r="J194" s="9"/>
      <c r="K194" s="22"/>
      <c r="L194" s="9"/>
      <c r="M194" s="22"/>
      <c r="N194" s="9"/>
      <c r="O194" s="22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</row>
    <row r="195" spans="1:99" x14ac:dyDescent="0.2">
      <c r="A195" s="9" t="s">
        <v>58</v>
      </c>
      <c r="B195" s="9" t="s">
        <v>0</v>
      </c>
      <c r="C195" s="9">
        <f>IFERROR(VLOOKUP(A195,'Reporte Total'!$A$2:$V$157,3,FALSE),0)</f>
        <v>0</v>
      </c>
      <c r="D195" s="22">
        <f>IFERROR(VLOOKUP(A195,'Reporte Total'!$A$2:$V$157,7,FALSE),0)</f>
        <v>0</v>
      </c>
      <c r="E195" s="9">
        <f>IFERROR(VLOOKUP(A195,'Reporte Total'!$A$2:$V$157,4,FALSE),0)</f>
        <v>0</v>
      </c>
      <c r="F195" s="22">
        <f>IFERROR(VLOOKUP(A195,'Reporte Total'!$A$2:$V$157,5,FALSE),0)</f>
        <v>0</v>
      </c>
      <c r="G195" s="9">
        <f>+E195+F195*$B$321</f>
        <v>0</v>
      </c>
      <c r="H195" s="22">
        <f t="shared" si="5"/>
        <v>0</v>
      </c>
      <c r="I195" s="9"/>
      <c r="J195" s="9"/>
      <c r="K195" s="22"/>
      <c r="L195" s="9"/>
      <c r="M195" s="22"/>
      <c r="N195" s="9"/>
      <c r="O195" s="22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</row>
    <row r="196" spans="1:99" x14ac:dyDescent="0.2">
      <c r="A196" s="9"/>
      <c r="B196" s="9" t="s">
        <v>1</v>
      </c>
      <c r="C196" s="9">
        <f>IFERROR(VLOOKUP(A195,'Reporte Total'!$A$2:$V$157,8,FALSE),0)</f>
        <v>0</v>
      </c>
      <c r="D196" s="22">
        <f>IFERROR(VLOOKUP(A195,'Reporte Total'!$A$2:$V$157,12,FALSE),0)</f>
        <v>0</v>
      </c>
      <c r="E196" s="9">
        <f>IFERROR(VLOOKUP(A195,'Reporte Total'!$A$2:$V$157,9,FALSE),0)</f>
        <v>0</v>
      </c>
      <c r="F196" s="22">
        <f>IFERROR(VLOOKUP(A195,'Reporte Total'!$A$2:$V$157,10,FALSE),0)</f>
        <v>0</v>
      </c>
      <c r="G196" s="9">
        <f>+E196+F196*$B$321</f>
        <v>0</v>
      </c>
      <c r="H196" s="22">
        <f t="shared" si="5"/>
        <v>0</v>
      </c>
      <c r="I196" s="9"/>
      <c r="J196" s="9"/>
      <c r="K196" s="22"/>
      <c r="L196" s="9"/>
      <c r="M196" s="22"/>
      <c r="N196" s="9"/>
      <c r="O196" s="22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</row>
    <row r="197" spans="1:99" x14ac:dyDescent="0.2">
      <c r="A197" s="9"/>
      <c r="B197" s="9" t="s">
        <v>3</v>
      </c>
      <c r="C197" s="9">
        <f>+C195+C196</f>
        <v>0</v>
      </c>
      <c r="D197" s="22">
        <f>IF(C197=0,0,(C195*D195+C196*D196)/C197)</f>
        <v>0</v>
      </c>
      <c r="E197" s="35">
        <f>+IF(C197=0,0,(C195*E195+C196*E196)/C197)</f>
        <v>0</v>
      </c>
      <c r="F197" s="22">
        <f>+IF(C197=0,0,(C195*F195+C196*F196)/C197)</f>
        <v>0</v>
      </c>
      <c r="G197" s="9">
        <f>+E197+F197*$B$321</f>
        <v>0</v>
      </c>
      <c r="H197" s="22">
        <f t="shared" si="5"/>
        <v>0</v>
      </c>
      <c r="I197" s="9"/>
      <c r="J197" s="9"/>
      <c r="K197" s="22"/>
      <c r="L197" s="9"/>
      <c r="M197" s="22"/>
      <c r="N197" s="9"/>
      <c r="O197" s="22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</row>
    <row r="198" spans="1:99" x14ac:dyDescent="0.2">
      <c r="A198" s="9"/>
      <c r="B198" s="9" t="s">
        <v>2</v>
      </c>
      <c r="C198" s="9">
        <f>IFERROR(VLOOKUP(A195,'Reporte Total'!$A$2:$V$157,13,FALSE),0)</f>
        <v>87021.331918871525</v>
      </c>
      <c r="D198" s="22">
        <f>IFERROR(VLOOKUP(A195,'Reporte Total'!$A$2:$V$157,17,FALSE),0)</f>
        <v>1.4589827597025342</v>
      </c>
      <c r="E198" s="9">
        <f>IFERROR(VLOOKUP(A195,'Reporte Total'!$A$2:$V$157,14,FALSE),0)</f>
        <v>89.550334663630579</v>
      </c>
      <c r="F198" s="22">
        <f>IFERROR(VLOOKUP(A195,'Reporte Total'!$A$2:$V$157,15,FALSE),0)</f>
        <v>2.5844243830960272</v>
      </c>
      <c r="G198" s="9">
        <f>+E198+F198*$B$321</f>
        <v>283.38216339583261</v>
      </c>
      <c r="H198" s="22">
        <f t="shared" si="5"/>
        <v>0.79284624883876842</v>
      </c>
      <c r="I198" s="9"/>
      <c r="J198" s="9"/>
      <c r="K198" s="22"/>
      <c r="L198" s="9"/>
      <c r="M198" s="22"/>
      <c r="N198" s="9"/>
      <c r="O198" s="22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</row>
    <row r="199" spans="1:99" x14ac:dyDescent="0.2">
      <c r="A199" s="9" t="s">
        <v>83</v>
      </c>
      <c r="B199" s="9" t="s">
        <v>0</v>
      </c>
      <c r="C199" s="9">
        <f>IFERROR(VLOOKUP(A199,'Reporte Total'!$A$2:$V$157,3,FALSE),0)</f>
        <v>0</v>
      </c>
      <c r="D199" s="22">
        <f>IFERROR(VLOOKUP(A199,'Reporte Total'!$A$2:$V$157,7,FALSE),0)</f>
        <v>0</v>
      </c>
      <c r="E199" s="9">
        <f>IFERROR(VLOOKUP(A199,'Reporte Total'!$A$2:$V$157,4,FALSE),0)</f>
        <v>0</v>
      </c>
      <c r="F199" s="22">
        <f>IFERROR(VLOOKUP(A199,'Reporte Total'!$A$2:$V$157,5,FALSE),0)</f>
        <v>0</v>
      </c>
      <c r="G199" s="9">
        <f>+E199+F199*$B$321</f>
        <v>0</v>
      </c>
      <c r="H199" s="22">
        <f t="shared" si="5"/>
        <v>0</v>
      </c>
      <c r="I199" s="9"/>
      <c r="J199" s="9"/>
      <c r="K199" s="22"/>
      <c r="L199" s="9"/>
      <c r="M199" s="22"/>
      <c r="N199" s="9"/>
      <c r="O199" s="22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</row>
    <row r="200" spans="1:99" x14ac:dyDescent="0.2">
      <c r="A200" s="9"/>
      <c r="B200" s="9" t="s">
        <v>1</v>
      </c>
      <c r="C200" s="9">
        <f>IFERROR(VLOOKUP(A199,'Reporte Total'!$A$2:$V$157,8,FALSE),0)</f>
        <v>0</v>
      </c>
      <c r="D200" s="22">
        <f>IFERROR(VLOOKUP(A199,'Reporte Total'!$A$2:$V$157,12,FALSE),0)</f>
        <v>0</v>
      </c>
      <c r="E200" s="9">
        <f>IFERROR(VLOOKUP(A199,'Reporte Total'!$A$2:$V$157,9,FALSE),0)</f>
        <v>0</v>
      </c>
      <c r="F200" s="22">
        <f>IFERROR(VLOOKUP(A199,'Reporte Total'!$A$2:$V$157,10,FALSE),0)</f>
        <v>0</v>
      </c>
      <c r="G200" s="9">
        <f>+E200+F200*$B$321</f>
        <v>0</v>
      </c>
      <c r="H200" s="22">
        <f t="shared" si="5"/>
        <v>0</v>
      </c>
      <c r="I200" s="9"/>
      <c r="J200" s="9"/>
      <c r="K200" s="22"/>
      <c r="L200" s="9"/>
      <c r="M200" s="22"/>
      <c r="N200" s="9"/>
      <c r="O200" s="2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</row>
    <row r="201" spans="1:99" x14ac:dyDescent="0.2">
      <c r="A201" s="9"/>
      <c r="B201" s="9" t="s">
        <v>3</v>
      </c>
      <c r="C201" s="9">
        <f>+C199+C200</f>
        <v>0</v>
      </c>
      <c r="D201" s="22">
        <f>IF(C201=0,0,(C199*D199+C200*D200)/C201)</f>
        <v>0</v>
      </c>
      <c r="E201" s="35">
        <f>+IF(C201=0,0,(C199*E199+C200*E200)/C201)</f>
        <v>0</v>
      </c>
      <c r="F201" s="22">
        <f>+IF(C201=0,0,(C199*F199+C200*F200)/C201)</f>
        <v>0</v>
      </c>
      <c r="G201" s="9">
        <f>+E201+F201*$B$321</f>
        <v>0</v>
      </c>
      <c r="H201" s="22">
        <f t="shared" si="5"/>
        <v>0</v>
      </c>
      <c r="I201" s="9"/>
      <c r="J201" s="9"/>
      <c r="K201" s="22"/>
      <c r="L201" s="9"/>
      <c r="M201" s="22"/>
      <c r="N201" s="9"/>
      <c r="O201" s="22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</row>
    <row r="202" spans="1:99" x14ac:dyDescent="0.2">
      <c r="A202" s="9"/>
      <c r="B202" s="9" t="s">
        <v>2</v>
      </c>
      <c r="C202" s="9">
        <f>IFERROR(VLOOKUP(A199,'Reporte Total'!$A$2:$V$157,13,FALSE),0)</f>
        <v>84482.630609785236</v>
      </c>
      <c r="D202" s="22">
        <f>IFERROR(VLOOKUP(A199,'Reporte Total'!$A$2:$V$157,17,FALSE),0)</f>
        <v>1.1224736160624293</v>
      </c>
      <c r="E202" s="9">
        <f>IFERROR(VLOOKUP(A199,'Reporte Total'!$A$2:$V$157,14,FALSE),0)</f>
        <v>109.04008196924859</v>
      </c>
      <c r="F202" s="22">
        <f>IFERROR(VLOOKUP(A199,'Reporte Total'!$A$2:$V$157,15,FALSE),0)</f>
        <v>1.8244492951450126</v>
      </c>
      <c r="G202" s="9">
        <f>+E202+F202*$B$321</f>
        <v>245.87377910512453</v>
      </c>
      <c r="H202" s="22">
        <f t="shared" si="5"/>
        <v>0.66783685619850386</v>
      </c>
      <c r="I202" s="9"/>
      <c r="J202" s="9"/>
      <c r="K202" s="22"/>
      <c r="L202" s="9"/>
      <c r="M202" s="22"/>
      <c r="N202" s="9"/>
      <c r="O202" s="22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</row>
    <row r="203" spans="1:99" x14ac:dyDescent="0.2">
      <c r="A203" s="9" t="s">
        <v>85</v>
      </c>
      <c r="B203" s="9" t="s">
        <v>0</v>
      </c>
      <c r="C203" s="9">
        <f>IFERROR(VLOOKUP(A203,'Reporte Total'!$A$2:$V$157,3,FALSE),0)</f>
        <v>0</v>
      </c>
      <c r="D203" s="22">
        <f>IFERROR(VLOOKUP(A203,'Reporte Total'!$A$2:$V$157,7,FALSE),0)</f>
        <v>0</v>
      </c>
      <c r="E203" s="9">
        <f>IFERROR(VLOOKUP(A203,'Reporte Total'!$A$2:$V$157,4,FALSE),0)</f>
        <v>0</v>
      </c>
      <c r="F203" s="22">
        <f>IFERROR(VLOOKUP(A203,'Reporte Total'!$A$2:$V$157,5,FALSE),0)</f>
        <v>0</v>
      </c>
      <c r="G203" s="9">
        <f>+E203+F203*$B$321</f>
        <v>0</v>
      </c>
      <c r="H203" s="22">
        <f t="shared" si="5"/>
        <v>0</v>
      </c>
      <c r="I203" s="9"/>
      <c r="J203" s="9"/>
      <c r="K203" s="22"/>
      <c r="L203" s="9"/>
      <c r="M203" s="22"/>
      <c r="N203" s="9"/>
      <c r="O203" s="22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</row>
    <row r="204" spans="1:99" x14ac:dyDescent="0.2">
      <c r="A204" s="9"/>
      <c r="B204" s="9" t="s">
        <v>1</v>
      </c>
      <c r="C204" s="9">
        <f>IFERROR(VLOOKUP(A203,'Reporte Total'!$A$2:$V$157,8,FALSE),0)</f>
        <v>0</v>
      </c>
      <c r="D204" s="22">
        <f>IFERROR(VLOOKUP(A203,'Reporte Total'!$A$2:$V$157,12,FALSE),0)</f>
        <v>0</v>
      </c>
      <c r="E204" s="9">
        <f>IFERROR(VLOOKUP(A203,'Reporte Total'!$A$2:$V$157,9,FALSE),0)</f>
        <v>0</v>
      </c>
      <c r="F204" s="22">
        <f>IFERROR(VLOOKUP(A203,'Reporte Total'!$A$2:$V$157,10,FALSE),0)</f>
        <v>0</v>
      </c>
      <c r="G204" s="9">
        <f>+E204+F204*$B$321</f>
        <v>0</v>
      </c>
      <c r="H204" s="22">
        <f t="shared" si="5"/>
        <v>0</v>
      </c>
      <c r="I204" s="9"/>
      <c r="J204" s="9"/>
      <c r="K204" s="22"/>
      <c r="L204" s="9"/>
      <c r="M204" s="22"/>
      <c r="N204" s="9"/>
      <c r="O204" s="22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</row>
    <row r="205" spans="1:99" x14ac:dyDescent="0.2">
      <c r="A205" s="9"/>
      <c r="B205" s="9" t="s">
        <v>3</v>
      </c>
      <c r="C205" s="9">
        <f>+C203+C204</f>
        <v>0</v>
      </c>
      <c r="D205" s="22">
        <f>IF(C205=0,0,(C203*D203+C204*D204)/C205)</f>
        <v>0</v>
      </c>
      <c r="E205" s="35">
        <f>+IF(C205=0,0,(C203*E203+C204*E204)/C205)</f>
        <v>0</v>
      </c>
      <c r="F205" s="22">
        <f>+IF(C205=0,0,(C203*F203+C204*F204)/C205)</f>
        <v>0</v>
      </c>
      <c r="G205" s="9">
        <f>+E205+F205*$B$321</f>
        <v>0</v>
      </c>
      <c r="H205" s="22">
        <f t="shared" si="5"/>
        <v>0</v>
      </c>
      <c r="I205" s="9"/>
      <c r="J205" s="9"/>
      <c r="K205" s="22"/>
      <c r="L205" s="9"/>
      <c r="M205" s="22"/>
      <c r="N205" s="9"/>
      <c r="O205" s="22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</row>
    <row r="206" spans="1:99" x14ac:dyDescent="0.2">
      <c r="A206" s="9"/>
      <c r="B206" s="9" t="s">
        <v>2</v>
      </c>
      <c r="C206" s="9">
        <f>IFERROR(VLOOKUP(A203,'Reporte Total'!$A$2:$V$157,13,FALSE),0)</f>
        <v>82788.833529529395</v>
      </c>
      <c r="D206" s="22">
        <f>IFERROR(VLOOKUP(A203,'Reporte Total'!$A$2:$V$157,17,FALSE),0)</f>
        <v>1.0401137115959165</v>
      </c>
      <c r="E206" s="9">
        <f>IFERROR(VLOOKUP(A203,'Reporte Total'!$A$2:$V$157,14,FALSE),0)</f>
        <v>63.197659753988248</v>
      </c>
      <c r="F206" s="22">
        <f>IFERROR(VLOOKUP(A203,'Reporte Total'!$A$2:$V$157,15,FALSE),0)</f>
        <v>2.9507246502214852</v>
      </c>
      <c r="G206" s="9">
        <f>+E206+F206*$B$321</f>
        <v>284.50200852059965</v>
      </c>
      <c r="H206" s="22">
        <f t="shared" si="5"/>
        <v>0.75726491945371677</v>
      </c>
      <c r="I206" s="9"/>
      <c r="J206" s="9"/>
      <c r="K206" s="22"/>
      <c r="L206" s="9"/>
      <c r="M206" s="22"/>
      <c r="N206" s="9"/>
      <c r="O206" s="22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</row>
    <row r="207" spans="1:99" x14ac:dyDescent="0.2">
      <c r="A207" s="9" t="s">
        <v>110</v>
      </c>
      <c r="B207" s="9" t="s">
        <v>0</v>
      </c>
      <c r="C207" s="9">
        <f>IFERROR(VLOOKUP(A207,'Reporte Total'!$A$2:$V$157,3,FALSE),0)</f>
        <v>36304.007007922402</v>
      </c>
      <c r="D207" s="22">
        <f>IFERROR(VLOOKUP(A207,'Reporte Total'!$A$2:$V$157,7,FALSE),0)</f>
        <v>2.3965967642312309</v>
      </c>
      <c r="E207" s="9">
        <f>IFERROR(VLOOKUP(A207,'Reporte Total'!$A$2:$V$157,4,FALSE),0)</f>
        <v>98.895338565024403</v>
      </c>
      <c r="F207" s="22">
        <f>IFERROR(VLOOKUP(A207,'Reporte Total'!$A$2:$V$157,5,FALSE),0)</f>
        <v>3.5615365943674289</v>
      </c>
      <c r="G207" s="9">
        <f>+E207+F207*$B$321</f>
        <v>366.01058314258159</v>
      </c>
      <c r="H207" s="22">
        <f t="shared" si="5"/>
        <v>0.42720757391875663</v>
      </c>
      <c r="I207" s="9"/>
      <c r="J207" s="9"/>
      <c r="K207" s="22"/>
      <c r="L207" s="9"/>
      <c r="M207" s="22"/>
      <c r="N207" s="9"/>
      <c r="O207" s="22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</row>
    <row r="208" spans="1:99" x14ac:dyDescent="0.2">
      <c r="A208" s="9"/>
      <c r="B208" s="9" t="s">
        <v>1</v>
      </c>
      <c r="C208" s="9">
        <f>IFERROR(VLOOKUP(A207,'Reporte Total'!$A$2:$V$157,8,FALSE),0)</f>
        <v>40193.35754728262</v>
      </c>
      <c r="D208" s="22">
        <f>IFERROR(VLOOKUP(A207,'Reporte Total'!$A$2:$V$157,12,FALSE),0)</f>
        <v>1.4100992714292742</v>
      </c>
      <c r="E208" s="9">
        <f>IFERROR(VLOOKUP(A207,'Reporte Total'!$A$2:$V$157,9,FALSE),0)</f>
        <v>93.873418739132092</v>
      </c>
      <c r="F208" s="22">
        <f>IFERROR(VLOOKUP(A207,'Reporte Total'!$A$2:$V$157,10,FALSE),0)</f>
        <v>3.1266488572313245</v>
      </c>
      <c r="G208" s="9">
        <f>+E208+F208*$B$321</f>
        <v>328.37208303148145</v>
      </c>
      <c r="H208" s="22">
        <f t="shared" si="5"/>
        <v>0.42433734280162394</v>
      </c>
      <c r="I208" s="9"/>
      <c r="J208" s="9"/>
      <c r="K208" s="22"/>
      <c r="L208" s="9"/>
      <c r="M208" s="22"/>
      <c r="N208" s="9"/>
      <c r="O208" s="22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</row>
    <row r="209" spans="1:99" x14ac:dyDescent="0.2">
      <c r="A209" s="9"/>
      <c r="B209" s="9" t="s">
        <v>3</v>
      </c>
      <c r="C209" s="9">
        <f>+C207+C208</f>
        <v>76497.364555205015</v>
      </c>
      <c r="D209" s="22">
        <f>IF(C209=0,0,(C207*D207+C208*D208)/C209)</f>
        <v>1.8782698038419923</v>
      </c>
      <c r="E209" s="35">
        <f>+IF(C209=0,0,(C207*E207+C208*E208)/C209)</f>
        <v>96.256714080252621</v>
      </c>
      <c r="F209" s="22">
        <f>+IF(C209=0,0,(C207*F207+C208*F208)/C209)</f>
        <v>3.3330372413076805</v>
      </c>
      <c r="G209" s="9">
        <f>+E209+F209*$B$321</f>
        <v>346.23450717832867</v>
      </c>
      <c r="H209" s="22">
        <f t="shared" si="5"/>
        <v>0.85154491672038046</v>
      </c>
      <c r="I209" s="9"/>
      <c r="J209" s="9"/>
      <c r="K209" s="22"/>
      <c r="L209" s="9"/>
      <c r="M209" s="22"/>
      <c r="N209" s="9"/>
      <c r="O209" s="22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</row>
    <row r="210" spans="1:99" x14ac:dyDescent="0.2">
      <c r="A210" s="9"/>
      <c r="B210" s="9" t="s">
        <v>2</v>
      </c>
      <c r="C210" s="9">
        <f>IFERROR(VLOOKUP(A207,'Reporte Total'!$A$2:$V$157,13,FALSE),0)</f>
        <v>4847.4079055635684</v>
      </c>
      <c r="D210" s="22">
        <f>IFERROR(VLOOKUP(A207,'Reporte Total'!$A$2:$V$157,17,FALSE),0)</f>
        <v>1.016762439844243</v>
      </c>
      <c r="E210" s="9">
        <f>IFERROR(VLOOKUP(A207,'Reporte Total'!$A$2:$V$157,14,FALSE),0)</f>
        <v>71.603235923966537</v>
      </c>
      <c r="F210" s="22">
        <f>IFERROR(VLOOKUP(A207,'Reporte Total'!$A$2:$V$157,15,FALSE),0)</f>
        <v>3.246166770139201</v>
      </c>
      <c r="G210" s="9">
        <f>+E210+F210*$B$321</f>
        <v>315.06574368440658</v>
      </c>
      <c r="H210" s="22">
        <f t="shared" si="5"/>
        <v>4.910226105448124E-2</v>
      </c>
      <c r="I210" s="9"/>
      <c r="J210" s="9"/>
      <c r="K210" s="22"/>
      <c r="L210" s="9"/>
      <c r="M210" s="22"/>
      <c r="N210" s="9"/>
      <c r="O210" s="22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</row>
    <row r="211" spans="1:99" x14ac:dyDescent="0.2">
      <c r="A211" s="9" t="s">
        <v>74</v>
      </c>
      <c r="B211" s="9" t="s">
        <v>0</v>
      </c>
      <c r="C211" s="9">
        <f>IFERROR(VLOOKUP(A211,'Reporte Total'!$A$2:$V$157,3,FALSE),0)</f>
        <v>0</v>
      </c>
      <c r="D211" s="22">
        <f>IFERROR(VLOOKUP(A211,'Reporte Total'!$A$2:$V$157,7,FALSE),0)</f>
        <v>0</v>
      </c>
      <c r="E211" s="9">
        <f>IFERROR(VLOOKUP(A211,'Reporte Total'!$A$2:$V$157,4,FALSE),0)</f>
        <v>0</v>
      </c>
      <c r="F211" s="22">
        <f>IFERROR(VLOOKUP(A211,'Reporte Total'!$A$2:$V$157,5,FALSE),0)</f>
        <v>0</v>
      </c>
      <c r="G211" s="9">
        <f>+E211+F211*$B$321</f>
        <v>0</v>
      </c>
      <c r="H211" s="22">
        <f t="shared" si="5"/>
        <v>0</v>
      </c>
      <c r="I211" s="9"/>
      <c r="J211" s="9"/>
      <c r="K211" s="22"/>
      <c r="L211" s="9"/>
      <c r="M211" s="22"/>
      <c r="N211" s="9"/>
      <c r="O211" s="22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</row>
    <row r="212" spans="1:99" x14ac:dyDescent="0.2">
      <c r="A212" s="9"/>
      <c r="B212" s="9" t="s">
        <v>1</v>
      </c>
      <c r="C212" s="9">
        <f>IFERROR(VLOOKUP(A211,'Reporte Total'!$A$2:$V$157,8,FALSE),0)</f>
        <v>0</v>
      </c>
      <c r="D212" s="22">
        <f>IFERROR(VLOOKUP(A211,'Reporte Total'!$A$2:$V$157,12,FALSE),0)</f>
        <v>0</v>
      </c>
      <c r="E212" s="9">
        <f>IFERROR(VLOOKUP(A211,'Reporte Total'!$A$2:$V$157,9,FALSE),0)</f>
        <v>0</v>
      </c>
      <c r="F212" s="22">
        <f>IFERROR(VLOOKUP(A211,'Reporte Total'!$A$2:$V$157,10,FALSE),0)</f>
        <v>0</v>
      </c>
      <c r="G212" s="9">
        <f>+E212+F212*$B$321</f>
        <v>0</v>
      </c>
      <c r="H212" s="22">
        <f t="shared" si="5"/>
        <v>0</v>
      </c>
      <c r="I212" s="9"/>
      <c r="J212" s="9"/>
      <c r="K212" s="22"/>
      <c r="L212" s="9"/>
      <c r="M212" s="22"/>
      <c r="N212" s="9"/>
      <c r="O212" s="22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</row>
    <row r="213" spans="1:99" x14ac:dyDescent="0.2">
      <c r="A213" s="9"/>
      <c r="B213" s="9" t="s">
        <v>3</v>
      </c>
      <c r="C213" s="9">
        <f>+C211+C212</f>
        <v>0</v>
      </c>
      <c r="D213" s="22">
        <f>IF(C213=0,0,(C211*D211+C212*D212)/C213)</f>
        <v>0</v>
      </c>
      <c r="E213" s="35">
        <f>+IF(C213=0,0,(C211*E211+C212*E212)/C213)</f>
        <v>0</v>
      </c>
      <c r="F213" s="22">
        <f>+IF(C213=0,0,(C211*F211+C212*F212)/C213)</f>
        <v>0</v>
      </c>
      <c r="G213" s="9">
        <f>+E213+F213*$B$321</f>
        <v>0</v>
      </c>
      <c r="H213" s="22">
        <f t="shared" si="5"/>
        <v>0</v>
      </c>
      <c r="I213" s="9"/>
      <c r="J213" s="9"/>
      <c r="K213" s="22"/>
      <c r="L213" s="9"/>
      <c r="M213" s="22"/>
      <c r="N213" s="9"/>
      <c r="O213" s="22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</row>
    <row r="214" spans="1:99" x14ac:dyDescent="0.2">
      <c r="A214" s="9"/>
      <c r="B214" s="9" t="s">
        <v>2</v>
      </c>
      <c r="C214" s="9">
        <f>IFERROR(VLOOKUP(A211,'Reporte Total'!$A$2:$V$157,13,FALSE),0)</f>
        <v>71531.564270880481</v>
      </c>
      <c r="D214" s="22">
        <f>IFERROR(VLOOKUP(A211,'Reporte Total'!$A$2:$V$157,17,FALSE),0)</f>
        <v>0.98380528677243861</v>
      </c>
      <c r="E214" s="9">
        <f>IFERROR(VLOOKUP(A211,'Reporte Total'!$A$2:$V$157,14,FALSE),0)</f>
        <v>178.2010192998242</v>
      </c>
      <c r="F214" s="22">
        <f>IFERROR(VLOOKUP(A211,'Reporte Total'!$A$2:$V$157,15,FALSE),0)</f>
        <v>3.0441167502177771</v>
      </c>
      <c r="G214" s="9">
        <f>+E214+F214*$B$321</f>
        <v>406.50977556615749</v>
      </c>
      <c r="H214" s="22">
        <f t="shared" si="5"/>
        <v>0.9348877180269678</v>
      </c>
      <c r="I214" s="9"/>
      <c r="J214" s="9"/>
      <c r="K214" s="22"/>
      <c r="L214" s="9"/>
      <c r="M214" s="22"/>
      <c r="N214" s="9"/>
      <c r="O214" s="22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</row>
    <row r="215" spans="1:99" x14ac:dyDescent="0.2">
      <c r="A215" s="9" t="s">
        <v>75</v>
      </c>
      <c r="B215" s="9" t="s">
        <v>0</v>
      </c>
      <c r="C215" s="9">
        <f>IFERROR(VLOOKUP(A215,'Reporte Total'!$A$2:$V$157,3,FALSE),0)</f>
        <v>10706.620397998926</v>
      </c>
      <c r="D215" s="22">
        <f>IFERROR(VLOOKUP(A215,'Reporte Total'!$A$2:$V$157,7,FALSE),0)</f>
        <v>1.6613833819545221</v>
      </c>
      <c r="E215" s="9">
        <f>IFERROR(VLOOKUP(A215,'Reporte Total'!$A$2:$V$157,4,FALSE),0)</f>
        <v>204.30429347720414</v>
      </c>
      <c r="F215" s="22">
        <f>IFERROR(VLOOKUP(A215,'Reporte Total'!$A$2:$V$157,5,FALSE),0)</f>
        <v>4.1187781696859025</v>
      </c>
      <c r="G215" s="9">
        <f>+E215+F215*$B$321</f>
        <v>513.21265620364682</v>
      </c>
      <c r="H215" s="22">
        <f t="shared" si="5"/>
        <v>0.17666092540778933</v>
      </c>
      <c r="I215" s="9"/>
      <c r="J215" s="9"/>
      <c r="K215" s="22"/>
      <c r="L215" s="9"/>
      <c r="M215" s="22"/>
      <c r="N215" s="9"/>
      <c r="O215" s="22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</row>
    <row r="216" spans="1:99" x14ac:dyDescent="0.2">
      <c r="A216" s="9"/>
      <c r="B216" s="9" t="s">
        <v>1</v>
      </c>
      <c r="C216" s="9">
        <f>IFERROR(VLOOKUP(A215,'Reporte Total'!$A$2:$V$157,8,FALSE),0)</f>
        <v>19552.36991487772</v>
      </c>
      <c r="D216" s="22">
        <f>IFERROR(VLOOKUP(A215,'Reporte Total'!$A$2:$V$157,12,FALSE),0)</f>
        <v>1.057757904266831</v>
      </c>
      <c r="E216" s="9">
        <f>IFERROR(VLOOKUP(A215,'Reporte Total'!$A$2:$V$157,9,FALSE),0)</f>
        <v>118.76365041630454</v>
      </c>
      <c r="F216" s="22">
        <f>IFERROR(VLOOKUP(A215,'Reporte Total'!$A$2:$V$157,10,FALSE),0)</f>
        <v>2.7233540511660528</v>
      </c>
      <c r="G216" s="9">
        <f>+E216+F216*$B$321</f>
        <v>323.0152042537585</v>
      </c>
      <c r="H216" s="22">
        <f t="shared" si="5"/>
        <v>0.20305472894366453</v>
      </c>
      <c r="I216" s="9"/>
      <c r="J216" s="9"/>
      <c r="K216" s="22"/>
      <c r="L216" s="9"/>
      <c r="M216" s="22"/>
      <c r="N216" s="9"/>
      <c r="O216" s="22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</row>
    <row r="217" spans="1:99" x14ac:dyDescent="0.2">
      <c r="A217" s="9"/>
      <c r="B217" s="9" t="s">
        <v>3</v>
      </c>
      <c r="C217" s="9">
        <f>+C215+C216</f>
        <v>30258.990312876645</v>
      </c>
      <c r="D217" s="22">
        <f>IF(C217=0,0,(C215*D215+C216*D216)/C217)</f>
        <v>1.2713403399442256</v>
      </c>
      <c r="E217" s="35">
        <f>+IF(C217=0,0,(C215*E215+C216*E216)/C217)</f>
        <v>149.03072755218753</v>
      </c>
      <c r="F217" s="22">
        <f>+IF(C217=0,0,(C215*F215+C216*F216)/C217)</f>
        <v>3.2171007418759041</v>
      </c>
      <c r="G217" s="9">
        <f>+E217+F217*$B$321</f>
        <v>390.31328319288036</v>
      </c>
      <c r="H217" s="22">
        <f t="shared" si="5"/>
        <v>0.37971565435145388</v>
      </c>
      <c r="I217" s="9"/>
      <c r="J217" s="9"/>
      <c r="K217" s="22"/>
      <c r="L217" s="9"/>
      <c r="M217" s="22"/>
      <c r="N217" s="9"/>
      <c r="O217" s="22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</row>
    <row r="218" spans="1:99" x14ac:dyDescent="0.2">
      <c r="A218" s="9"/>
      <c r="B218" s="9" t="s">
        <v>2</v>
      </c>
      <c r="C218" s="9">
        <f>IFERROR(VLOOKUP(A215,'Reporte Total'!$A$2:$V$157,13,FALSE),0)</f>
        <v>36228.761618970973</v>
      </c>
      <c r="D218" s="22">
        <f>IFERROR(VLOOKUP(A215,'Reporte Total'!$A$2:$V$157,17,FALSE),0)</f>
        <v>1.0639092291746988</v>
      </c>
      <c r="E218" s="9">
        <f>IFERROR(VLOOKUP(A215,'Reporte Total'!$A$2:$V$157,14,FALSE),0)</f>
        <v>201.30761319327274</v>
      </c>
      <c r="F218" s="22">
        <f>IFERROR(VLOOKUP(A215,'Reporte Total'!$A$2:$V$157,15,FALSE),0)</f>
        <v>3.6020211184883633</v>
      </c>
      <c r="G218" s="9">
        <f>+E218+F218*$B$321</f>
        <v>471.45919707989998</v>
      </c>
      <c r="H218" s="22">
        <f t="shared" si="5"/>
        <v>0.54914665115112926</v>
      </c>
      <c r="I218" s="9"/>
      <c r="J218" s="9"/>
      <c r="K218" s="22"/>
      <c r="L218" s="9"/>
      <c r="M218" s="22"/>
      <c r="N218" s="9"/>
      <c r="O218" s="22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</row>
    <row r="219" spans="1:99" x14ac:dyDescent="0.2">
      <c r="A219" s="9" t="s">
        <v>108</v>
      </c>
      <c r="B219" s="9" t="s">
        <v>0</v>
      </c>
      <c r="C219" s="9">
        <f>IFERROR(VLOOKUP(A219,'Reporte Total'!$A$2:$V$157,3,FALSE),0)</f>
        <v>0</v>
      </c>
      <c r="D219" s="22">
        <f>IFERROR(VLOOKUP(A219,'Reporte Total'!$A$2:$V$157,7,FALSE),0)</f>
        <v>0</v>
      </c>
      <c r="E219" s="9">
        <f>IFERROR(VLOOKUP(A219,'Reporte Total'!$A$2:$V$157,4,FALSE),0)</f>
        <v>0</v>
      </c>
      <c r="F219" s="22">
        <f>IFERROR(VLOOKUP(A219,'Reporte Total'!$A$2:$V$157,5,FALSE),0)</f>
        <v>0</v>
      </c>
      <c r="G219" s="9">
        <f>+E219+F219*$B$321</f>
        <v>0</v>
      </c>
      <c r="H219" s="22">
        <f t="shared" si="5"/>
        <v>0</v>
      </c>
      <c r="I219" s="9"/>
      <c r="J219" s="9"/>
      <c r="K219" s="22"/>
      <c r="L219" s="9"/>
      <c r="M219" s="22"/>
      <c r="N219" s="9"/>
      <c r="O219" s="22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</row>
    <row r="220" spans="1:99" x14ac:dyDescent="0.2">
      <c r="A220" s="9"/>
      <c r="B220" s="9" t="s">
        <v>1</v>
      </c>
      <c r="C220" s="9">
        <f>IFERROR(VLOOKUP(A219,'Reporte Total'!$A$2:$V$157,8,FALSE),0)</f>
        <v>12803.385092959943</v>
      </c>
      <c r="D220" s="22">
        <f>IFERROR(VLOOKUP(A219,'Reporte Total'!$A$2:$V$157,12,FALSE),0)</f>
        <v>1.1084895954703911</v>
      </c>
      <c r="E220" s="9">
        <f>IFERROR(VLOOKUP(A219,'Reporte Total'!$A$2:$V$157,9,FALSE),0)</f>
        <v>115.15987965152289</v>
      </c>
      <c r="F220" s="22">
        <f>IFERROR(VLOOKUP(A219,'Reporte Total'!$A$2:$V$157,10,FALSE),0)</f>
        <v>1.533877520972331</v>
      </c>
      <c r="G220" s="9">
        <f>+E220+F220*$B$321</f>
        <v>230.20069372444772</v>
      </c>
      <c r="H220" s="22">
        <f t="shared" si="5"/>
        <v>9.4759372109911463E-2</v>
      </c>
      <c r="I220" s="9"/>
      <c r="J220" s="9"/>
      <c r="K220" s="22"/>
      <c r="L220" s="9"/>
      <c r="M220" s="22"/>
      <c r="N220" s="9"/>
      <c r="O220" s="22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</row>
    <row r="221" spans="1:99" x14ac:dyDescent="0.2">
      <c r="A221" s="9"/>
      <c r="B221" s="9" t="s">
        <v>3</v>
      </c>
      <c r="C221" s="9">
        <f>+C219+C220</f>
        <v>12803.385092959943</v>
      </c>
      <c r="D221" s="22">
        <f>IF(C221=0,0,(C219*D219+C220*D220)/C221)</f>
        <v>1.1084895954703911</v>
      </c>
      <c r="E221" s="35">
        <f>+IF(C221=0,0,(C219*E219+C220*E220)/C221)</f>
        <v>115.15987965152289</v>
      </c>
      <c r="F221" s="22">
        <f>+IF(C221=0,0,(C219*F219+C220*F220)/C221)</f>
        <v>1.533877520972331</v>
      </c>
      <c r="G221" s="9">
        <f>+E221+F221*$B$321</f>
        <v>230.20069372444772</v>
      </c>
      <c r="H221" s="22">
        <f t="shared" si="5"/>
        <v>9.4759372109911463E-2</v>
      </c>
      <c r="I221" s="9"/>
      <c r="J221" s="9"/>
      <c r="K221" s="22"/>
      <c r="L221" s="9"/>
      <c r="M221" s="22"/>
      <c r="N221" s="9"/>
      <c r="O221" s="22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</row>
    <row r="222" spans="1:99" x14ac:dyDescent="0.2">
      <c r="A222" s="9"/>
      <c r="B222" s="9" t="s">
        <v>2</v>
      </c>
      <c r="C222" s="9">
        <f>IFERROR(VLOOKUP(A219,'Reporte Total'!$A$2:$V$157,13,FALSE),0)</f>
        <v>43537.469108649901</v>
      </c>
      <c r="D222" s="22">
        <f>IFERROR(VLOOKUP(A219,'Reporte Total'!$A$2:$V$157,17,FALSE),0)</f>
        <v>1.1799216127712338</v>
      </c>
      <c r="E222" s="9">
        <f>IFERROR(VLOOKUP(A219,'Reporte Total'!$A$2:$V$157,14,FALSE),0)</f>
        <v>174.27896172902192</v>
      </c>
      <c r="F222" s="22">
        <f>IFERROR(VLOOKUP(A219,'Reporte Total'!$A$2:$V$157,15,FALSE),0)</f>
        <v>0.97116217793734161</v>
      </c>
      <c r="G222" s="9">
        <f>+E222+F222*$B$321</f>
        <v>247.11612507432255</v>
      </c>
      <c r="H222" s="22">
        <f t="shared" si="5"/>
        <v>0.34590353695476661</v>
      </c>
      <c r="I222" s="9"/>
      <c r="J222" s="9"/>
      <c r="K222" s="22"/>
      <c r="L222" s="9"/>
      <c r="M222" s="22"/>
      <c r="N222" s="9"/>
      <c r="O222" s="22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</row>
    <row r="223" spans="1:99" x14ac:dyDescent="0.2">
      <c r="A223" s="9" t="s">
        <v>67</v>
      </c>
      <c r="B223" s="9" t="s">
        <v>0</v>
      </c>
      <c r="C223" s="9">
        <f>IFERROR(VLOOKUP(A223,'Reporte Total'!$A$2:$V$157,3,FALSE),0)</f>
        <v>13677.298099719937</v>
      </c>
      <c r="D223" s="22">
        <f>IFERROR(VLOOKUP(A223,'Reporte Total'!$A$2:$V$157,7,FALSE),0)</f>
        <v>1.2642270241857809</v>
      </c>
      <c r="E223" s="9">
        <f>IFERROR(VLOOKUP(A223,'Reporte Total'!$A$2:$V$157,4,FALSE),0)</f>
        <v>267.90199299427036</v>
      </c>
      <c r="F223" s="22">
        <f>IFERROR(VLOOKUP(A223,'Reporte Total'!$A$2:$V$157,5,FALSE),0)</f>
        <v>3.4075635411316552</v>
      </c>
      <c r="G223" s="9">
        <f>+E223+F223*$B$321</f>
        <v>523.46925857914448</v>
      </c>
      <c r="H223" s="22">
        <f t="shared" si="5"/>
        <v>0.2301877632943668</v>
      </c>
      <c r="I223" s="9"/>
      <c r="J223" s="9"/>
      <c r="K223" s="22"/>
      <c r="L223" s="9"/>
      <c r="M223" s="22"/>
      <c r="N223" s="9"/>
      <c r="O223" s="22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</row>
    <row r="224" spans="1:99" x14ac:dyDescent="0.2">
      <c r="A224" s="9"/>
      <c r="B224" s="9" t="s">
        <v>1</v>
      </c>
      <c r="C224" s="9">
        <f>IFERROR(VLOOKUP(A223,'Reporte Total'!$A$2:$V$157,8,FALSE),0)</f>
        <v>36956.760312727012</v>
      </c>
      <c r="D224" s="22">
        <f>IFERROR(VLOOKUP(A223,'Reporte Total'!$A$2:$V$157,12,FALSE),0)</f>
        <v>1.1796931784943039</v>
      </c>
      <c r="E224" s="9">
        <f>IFERROR(VLOOKUP(A223,'Reporte Total'!$A$2:$V$157,9,FALSE),0)</f>
        <v>168.6868628816305</v>
      </c>
      <c r="F224" s="22">
        <f>IFERROR(VLOOKUP(A223,'Reporte Total'!$A$2:$V$157,10,FALSE),0)</f>
        <v>3.0844410848678443</v>
      </c>
      <c r="G224" s="9">
        <f>+E224+F224*$B$321</f>
        <v>400.01994424671886</v>
      </c>
      <c r="H224" s="22">
        <f t="shared" si="5"/>
        <v>0.4752983169044131</v>
      </c>
      <c r="I224" s="9"/>
      <c r="J224" s="9"/>
      <c r="K224" s="22"/>
      <c r="L224" s="9"/>
      <c r="M224" s="22"/>
      <c r="N224" s="9"/>
      <c r="O224" s="22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</row>
    <row r="225" spans="1:99" x14ac:dyDescent="0.2">
      <c r="A225" s="9"/>
      <c r="B225" s="9" t="s">
        <v>3</v>
      </c>
      <c r="C225" s="9">
        <f>+C223+C224</f>
        <v>50634.058412446946</v>
      </c>
      <c r="D225" s="22">
        <f>IF(C225=0,0,(C223*D223+C224*D224)/C225)</f>
        <v>1.202527504702567</v>
      </c>
      <c r="E225" s="35">
        <f>+IF(C225=0,0,(C223*E223+C224*E224)/C225)</f>
        <v>195.48690524638587</v>
      </c>
      <c r="F225" s="22">
        <f>+IF(C225=0,0,(C223*F223+C224*F224)/C225)</f>
        <v>3.1717230902136269</v>
      </c>
      <c r="G225" s="9">
        <f>+E225+F225*$B$321</f>
        <v>433.36613701240788</v>
      </c>
      <c r="H225" s="22">
        <f t="shared" si="5"/>
        <v>0.70548608019877967</v>
      </c>
      <c r="I225" s="9"/>
      <c r="J225" s="9"/>
      <c r="K225" s="22"/>
      <c r="L225" s="9"/>
      <c r="M225" s="22"/>
      <c r="N225" s="9"/>
      <c r="O225" s="22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</row>
    <row r="226" spans="1:99" x14ac:dyDescent="0.2">
      <c r="A226" s="9"/>
      <c r="B226" s="9" t="s">
        <v>2</v>
      </c>
      <c r="C226" s="9">
        <f>IFERROR(VLOOKUP(A223,'Reporte Total'!$A$2:$V$157,13,FALSE),0)</f>
        <v>4132.248308638048</v>
      </c>
      <c r="D226" s="22">
        <f>IFERROR(VLOOKUP(A223,'Reporte Total'!$A$2:$V$157,17,FALSE),0)</f>
        <v>1.0467327979283367</v>
      </c>
      <c r="E226" s="9">
        <f>IFERROR(VLOOKUP(A223,'Reporte Total'!$A$2:$V$157,14,FALSE),0)</f>
        <v>151.00941342357055</v>
      </c>
      <c r="F226" s="22">
        <f>IFERROR(VLOOKUP(A223,'Reporte Total'!$A$2:$V$157,15,FALSE),0)</f>
        <v>3.6693229876216216</v>
      </c>
      <c r="G226" s="9">
        <f>+E226+F226*$B$321</f>
        <v>426.20863749519219</v>
      </c>
      <c r="H226" s="22">
        <f t="shared" si="5"/>
        <v>5.6623850094569259E-2</v>
      </c>
      <c r="I226" s="9"/>
      <c r="J226" s="9"/>
      <c r="K226" s="22"/>
      <c r="L226" s="9"/>
      <c r="M226" s="22"/>
      <c r="N226" s="9"/>
      <c r="O226" s="22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</row>
    <row r="227" spans="1:99" x14ac:dyDescent="0.2">
      <c r="A227" s="9" t="s">
        <v>91</v>
      </c>
      <c r="B227" s="9" t="s">
        <v>0</v>
      </c>
      <c r="C227" s="9">
        <f>IFERROR(VLOOKUP(A227,'Reporte Total'!$A$2:$V$157,3,FALSE),0)</f>
        <v>0</v>
      </c>
      <c r="D227" s="22">
        <f>IFERROR(VLOOKUP(A227,'Reporte Total'!$A$2:$V$157,7,FALSE),0)</f>
        <v>0</v>
      </c>
      <c r="E227" s="9">
        <f>IFERROR(VLOOKUP(A227,'Reporte Total'!$A$2:$V$157,4,FALSE),0)</f>
        <v>0</v>
      </c>
      <c r="F227" s="22">
        <f>IFERROR(VLOOKUP(A227,'Reporte Total'!$A$2:$V$157,5,FALSE),0)</f>
        <v>0</v>
      </c>
      <c r="G227" s="9">
        <f>+E227+F227*$B$321</f>
        <v>0</v>
      </c>
      <c r="H227" s="22">
        <f t="shared" ref="H227:H282" si="6">+C227*G227/31.1035/1000000</f>
        <v>0</v>
      </c>
      <c r="I227" s="9"/>
      <c r="J227" s="9"/>
      <c r="K227" s="22"/>
      <c r="L227" s="9"/>
      <c r="M227" s="22"/>
      <c r="N227" s="9"/>
      <c r="O227" s="22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</row>
    <row r="228" spans="1:99" x14ac:dyDescent="0.2">
      <c r="A228" s="9"/>
      <c r="B228" s="9" t="s">
        <v>1</v>
      </c>
      <c r="C228" s="9">
        <f>IFERROR(VLOOKUP(A227,'Reporte Total'!$A$2:$V$157,8,FALSE),0)</f>
        <v>0</v>
      </c>
      <c r="D228" s="22">
        <f>IFERROR(VLOOKUP(A227,'Reporte Total'!$A$2:$V$157,12,FALSE),0)</f>
        <v>0</v>
      </c>
      <c r="E228" s="9">
        <f>IFERROR(VLOOKUP(A227,'Reporte Total'!$A$2:$V$157,9,FALSE),0)</f>
        <v>0</v>
      </c>
      <c r="F228" s="22">
        <f>IFERROR(VLOOKUP(A227,'Reporte Total'!$A$2:$V$157,10,FALSE),0)</f>
        <v>0</v>
      </c>
      <c r="G228" s="9">
        <f>+E228+F228*$B$321</f>
        <v>0</v>
      </c>
      <c r="H228" s="22">
        <f t="shared" si="6"/>
        <v>0</v>
      </c>
      <c r="I228" s="9"/>
      <c r="J228" s="9"/>
      <c r="K228" s="22"/>
      <c r="L228" s="9"/>
      <c r="M228" s="22"/>
      <c r="N228" s="9"/>
      <c r="O228" s="22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</row>
    <row r="229" spans="1:99" x14ac:dyDescent="0.2">
      <c r="A229" s="9"/>
      <c r="B229" s="9" t="s">
        <v>3</v>
      </c>
      <c r="C229" s="9">
        <f>+C227+C228</f>
        <v>0</v>
      </c>
      <c r="D229" s="22">
        <f>IF(C229=0,0,(C227*D227+C228*D228)/C229)</f>
        <v>0</v>
      </c>
      <c r="E229" s="35">
        <f>+IF(C229=0,0,(C227*E227+C228*E228)/C229)</f>
        <v>0</v>
      </c>
      <c r="F229" s="22">
        <f>+IF(C229=0,0,(C227*F227+C228*F228)/C229)</f>
        <v>0</v>
      </c>
      <c r="G229" s="9">
        <f>+E229+F229*$B$321</f>
        <v>0</v>
      </c>
      <c r="H229" s="22">
        <f t="shared" si="6"/>
        <v>0</v>
      </c>
      <c r="I229" s="9"/>
      <c r="J229" s="9"/>
      <c r="K229" s="22"/>
      <c r="L229" s="9"/>
      <c r="M229" s="22"/>
      <c r="N229" s="9"/>
      <c r="O229" s="22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</row>
    <row r="230" spans="1:99" x14ac:dyDescent="0.2">
      <c r="A230" s="9"/>
      <c r="B230" s="9" t="s">
        <v>2</v>
      </c>
      <c r="C230" s="9">
        <f>IFERROR(VLOOKUP(A227,'Reporte Total'!$A$2:$V$157,13,FALSE),0)</f>
        <v>55521.628845336003</v>
      </c>
      <c r="D230" s="22">
        <f>IFERROR(VLOOKUP(A227,'Reporte Total'!$A$2:$V$157,17,FALSE),0)</f>
        <v>0.80428933211627129</v>
      </c>
      <c r="E230" s="9">
        <f>IFERROR(VLOOKUP(A227,'Reporte Total'!$A$2:$V$157,14,FALSE),0)</f>
        <v>61.270408016105051</v>
      </c>
      <c r="F230" s="22">
        <f>IFERROR(VLOOKUP(A227,'Reporte Total'!$A$2:$V$157,15,FALSE),0)</f>
        <v>1.2959548761866373</v>
      </c>
      <c r="G230" s="9">
        <f>+E230+F230*$B$321</f>
        <v>158.46702373010285</v>
      </c>
      <c r="H230" s="22">
        <f t="shared" si="6"/>
        <v>0.28287322249161101</v>
      </c>
      <c r="I230" s="9"/>
      <c r="J230" s="9"/>
      <c r="K230" s="22"/>
      <c r="L230" s="9"/>
      <c r="M230" s="22"/>
      <c r="N230" s="9"/>
      <c r="O230" s="22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</row>
    <row r="231" spans="1:99" x14ac:dyDescent="0.2">
      <c r="A231" s="9" t="s">
        <v>71</v>
      </c>
      <c r="B231" s="9" t="s">
        <v>0</v>
      </c>
      <c r="C231" s="9">
        <f>IFERROR(VLOOKUP(A231,'Reporte Total'!$A$2:$V$157,3,FALSE),0)</f>
        <v>0</v>
      </c>
      <c r="D231" s="22">
        <f>IFERROR(VLOOKUP(A231,'Reporte Total'!$A$2:$V$157,7,FALSE),0)</f>
        <v>0</v>
      </c>
      <c r="E231" s="9">
        <f>IFERROR(VLOOKUP(A231,'Reporte Total'!$A$2:$V$157,4,FALSE),0)</f>
        <v>0</v>
      </c>
      <c r="F231" s="22">
        <f>IFERROR(VLOOKUP(A231,'Reporte Total'!$A$2:$V$157,5,FALSE),0)</f>
        <v>0</v>
      </c>
      <c r="G231" s="9">
        <f>+E231+F231*$B$321</f>
        <v>0</v>
      </c>
      <c r="H231" s="22">
        <f t="shared" si="6"/>
        <v>0</v>
      </c>
      <c r="I231" s="9"/>
      <c r="J231" s="9"/>
      <c r="K231" s="22"/>
      <c r="L231" s="9"/>
      <c r="M231" s="22"/>
      <c r="N231" s="9"/>
      <c r="O231" s="22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</row>
    <row r="232" spans="1:99" x14ac:dyDescent="0.2">
      <c r="A232" s="9"/>
      <c r="B232" s="9" t="s">
        <v>1</v>
      </c>
      <c r="C232" s="9">
        <f>IFERROR(VLOOKUP(A231,'Reporte Total'!$A$2:$V$157,8,FALSE),0)</f>
        <v>0</v>
      </c>
      <c r="D232" s="22">
        <f>IFERROR(VLOOKUP(A231,'Reporte Total'!$A$2:$V$157,12,FALSE),0)</f>
        <v>0</v>
      </c>
      <c r="E232" s="9">
        <f>IFERROR(VLOOKUP(A231,'Reporte Total'!$A$2:$V$157,9,FALSE),0)</f>
        <v>0</v>
      </c>
      <c r="F232" s="22">
        <f>IFERROR(VLOOKUP(A231,'Reporte Total'!$A$2:$V$157,10,FALSE),0)</f>
        <v>0</v>
      </c>
      <c r="G232" s="9">
        <f>+E232+F232*$B$321</f>
        <v>0</v>
      </c>
      <c r="H232" s="22">
        <f t="shared" si="6"/>
        <v>0</v>
      </c>
      <c r="I232" s="9"/>
      <c r="J232" s="9"/>
      <c r="K232" s="22"/>
      <c r="L232" s="9"/>
      <c r="M232" s="22"/>
      <c r="N232" s="9"/>
      <c r="O232" s="22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</row>
    <row r="233" spans="1:99" x14ac:dyDescent="0.2">
      <c r="A233" s="9"/>
      <c r="B233" s="9" t="s">
        <v>3</v>
      </c>
      <c r="C233" s="9">
        <f>+C231+C232</f>
        <v>0</v>
      </c>
      <c r="D233" s="22">
        <f>IF(C233=0,0,(C231*D231+C232*D232)/C233)</f>
        <v>0</v>
      </c>
      <c r="E233" s="35">
        <f>+IF(C233=0,0,(C231*E231+C232*E232)/C233)</f>
        <v>0</v>
      </c>
      <c r="F233" s="22">
        <f>+IF(C233=0,0,(C231*F231+C232*F232)/C233)</f>
        <v>0</v>
      </c>
      <c r="G233" s="9">
        <f>+E233+F233*$B$321</f>
        <v>0</v>
      </c>
      <c r="H233" s="22">
        <f t="shared" si="6"/>
        <v>0</v>
      </c>
      <c r="I233" s="9"/>
      <c r="J233" s="9"/>
      <c r="K233" s="22"/>
      <c r="L233" s="9"/>
      <c r="M233" s="22"/>
      <c r="N233" s="9"/>
      <c r="O233" s="22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</row>
    <row r="234" spans="1:99" x14ac:dyDescent="0.2">
      <c r="A234" s="9"/>
      <c r="B234" s="9" t="s">
        <v>2</v>
      </c>
      <c r="C234" s="9">
        <f>IFERROR(VLOOKUP(A231,'Reporte Total'!$A$2:$V$157,13,FALSE),0)</f>
        <v>48540.847567863821</v>
      </c>
      <c r="D234" s="22">
        <f>IFERROR(VLOOKUP(A231,'Reporte Total'!$A$2:$V$157,17,FALSE),0)</f>
        <v>0.97056036533008772</v>
      </c>
      <c r="E234" s="9">
        <f>IFERROR(VLOOKUP(A231,'Reporte Total'!$A$2:$V$157,14,FALSE),0)</f>
        <v>62.825086482580161</v>
      </c>
      <c r="F234" s="22">
        <f>IFERROR(VLOOKUP(A231,'Reporte Total'!$A$2:$V$157,15,FALSE),0)</f>
        <v>3.9966126211066832</v>
      </c>
      <c r="G234" s="9">
        <f>+E234+F234*$B$321</f>
        <v>362.57103306558139</v>
      </c>
      <c r="H234" s="22">
        <f t="shared" si="6"/>
        <v>0.56583681092350702</v>
      </c>
      <c r="I234" s="9"/>
      <c r="J234" s="9"/>
      <c r="K234" s="22"/>
      <c r="L234" s="9"/>
      <c r="M234" s="22"/>
      <c r="N234" s="9"/>
      <c r="O234" s="22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</row>
    <row r="235" spans="1:99" x14ac:dyDescent="0.2">
      <c r="A235" s="9" t="s">
        <v>63</v>
      </c>
      <c r="B235" s="9" t="s">
        <v>0</v>
      </c>
      <c r="C235" s="9">
        <f>IFERROR(VLOOKUP(A235,'Reporte Total'!$A$2:$V$157,3,FALSE),0)</f>
        <v>0</v>
      </c>
      <c r="D235" s="22">
        <f>IFERROR(VLOOKUP(A235,'Reporte Total'!$A$2:$V$157,7,FALSE),0)</f>
        <v>0</v>
      </c>
      <c r="E235" s="9">
        <f>IFERROR(VLOOKUP(A235,'Reporte Total'!$A$2:$V$157,4,FALSE),0)</f>
        <v>0</v>
      </c>
      <c r="F235" s="22">
        <f>IFERROR(VLOOKUP(A235,'Reporte Total'!$A$2:$V$157,5,FALSE),0)</f>
        <v>0</v>
      </c>
      <c r="G235" s="9">
        <f>+E235+F235*$B$321</f>
        <v>0</v>
      </c>
      <c r="H235" s="22">
        <f t="shared" si="6"/>
        <v>0</v>
      </c>
      <c r="I235" s="9"/>
      <c r="J235" s="9"/>
      <c r="K235" s="22"/>
      <c r="L235" s="9"/>
      <c r="M235" s="22"/>
      <c r="N235" s="9"/>
      <c r="O235" s="22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</row>
    <row r="236" spans="1:99" x14ac:dyDescent="0.2">
      <c r="A236" s="9"/>
      <c r="B236" s="9" t="s">
        <v>1</v>
      </c>
      <c r="C236" s="9">
        <f>IFERROR(VLOOKUP(A235,'Reporte Total'!$A$2:$V$157,8,FALSE),0)</f>
        <v>0</v>
      </c>
      <c r="D236" s="22">
        <f>IFERROR(VLOOKUP(A235,'Reporte Total'!$A$2:$V$157,12,FALSE),0)</f>
        <v>0</v>
      </c>
      <c r="E236" s="9">
        <f>IFERROR(VLOOKUP(A235,'Reporte Total'!$A$2:$V$157,9,FALSE),0)</f>
        <v>0</v>
      </c>
      <c r="F236" s="22">
        <f>IFERROR(VLOOKUP(A235,'Reporte Total'!$A$2:$V$157,10,FALSE),0)</f>
        <v>0</v>
      </c>
      <c r="G236" s="9">
        <f>+E236+F236*$B$321</f>
        <v>0</v>
      </c>
      <c r="H236" s="22">
        <f t="shared" si="6"/>
        <v>0</v>
      </c>
      <c r="I236" s="9"/>
      <c r="J236" s="9"/>
      <c r="K236" s="22"/>
      <c r="L236" s="9"/>
      <c r="M236" s="22"/>
      <c r="N236" s="9"/>
      <c r="O236" s="22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</row>
    <row r="237" spans="1:99" x14ac:dyDescent="0.2">
      <c r="A237" s="9"/>
      <c r="B237" s="9" t="s">
        <v>3</v>
      </c>
      <c r="C237" s="9">
        <f>+C235+C236</f>
        <v>0</v>
      </c>
      <c r="D237" s="22">
        <f>IF(C237=0,0,(C235*D235+C236*D236)/C237)</f>
        <v>0</v>
      </c>
      <c r="E237" s="35">
        <f>+IF(C237=0,0,(C235*E235+C236*E236)/C237)</f>
        <v>0</v>
      </c>
      <c r="F237" s="22">
        <f>+IF(C237=0,0,(C235*F235+C236*F236)/C237)</f>
        <v>0</v>
      </c>
      <c r="G237" s="9">
        <f>+E237+F237*$B$321</f>
        <v>0</v>
      </c>
      <c r="H237" s="22">
        <f t="shared" si="6"/>
        <v>0</v>
      </c>
      <c r="I237" s="9"/>
      <c r="J237" s="9"/>
      <c r="K237" s="22"/>
      <c r="L237" s="9"/>
      <c r="M237" s="22"/>
      <c r="N237" s="9"/>
      <c r="O237" s="22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</row>
    <row r="238" spans="1:99" x14ac:dyDescent="0.2">
      <c r="A238" s="9"/>
      <c r="B238" s="9" t="s">
        <v>2</v>
      </c>
      <c r="C238" s="9">
        <f>IFERROR(VLOOKUP(A235,'Reporte Total'!$A$2:$V$157,13,FALSE),0)</f>
        <v>48278.63631835363</v>
      </c>
      <c r="D238" s="22">
        <f>IFERROR(VLOOKUP(A235,'Reporte Total'!$A$2:$V$157,17,FALSE),0)</f>
        <v>1.7359604822859298</v>
      </c>
      <c r="E238" s="9">
        <f>IFERROR(VLOOKUP(A235,'Reporte Total'!$A$2:$V$157,14,FALSE),0)</f>
        <v>130.07725306959031</v>
      </c>
      <c r="F238" s="22">
        <f>IFERROR(VLOOKUP(A235,'Reporte Total'!$A$2:$V$157,15,FALSE),0)</f>
        <v>2.2672776013762794</v>
      </c>
      <c r="G238" s="9">
        <f>+E238+F238*$B$321</f>
        <v>300.12307317281125</v>
      </c>
      <c r="H238" s="22">
        <f t="shared" si="6"/>
        <v>0.46584894627475326</v>
      </c>
      <c r="I238" s="9"/>
      <c r="J238" s="9"/>
      <c r="K238" s="22"/>
      <c r="L238" s="9"/>
      <c r="M238" s="22"/>
      <c r="N238" s="9"/>
      <c r="O238" s="22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</row>
    <row r="239" spans="1:99" x14ac:dyDescent="0.2">
      <c r="A239" s="9" t="s">
        <v>80</v>
      </c>
      <c r="B239" s="9" t="s">
        <v>0</v>
      </c>
      <c r="C239" s="9">
        <f>IFERROR(VLOOKUP(A239,'Reporte Total'!$A$2:$V$157,3,FALSE),0)</f>
        <v>0</v>
      </c>
      <c r="D239" s="22">
        <f>IFERROR(VLOOKUP(A239,'Reporte Total'!$A$2:$V$157,7,FALSE),0)</f>
        <v>0</v>
      </c>
      <c r="E239" s="9">
        <f>IFERROR(VLOOKUP(A239,'Reporte Total'!$A$2:$V$157,4,FALSE),0)</f>
        <v>0</v>
      </c>
      <c r="F239" s="22">
        <f>IFERROR(VLOOKUP(A239,'Reporte Total'!$A$2:$V$157,5,FALSE),0)</f>
        <v>0</v>
      </c>
      <c r="G239" s="9">
        <f>+E239+F239*$B$321</f>
        <v>0</v>
      </c>
      <c r="H239" s="22">
        <f t="shared" si="6"/>
        <v>0</v>
      </c>
      <c r="I239" s="9"/>
      <c r="J239" s="9"/>
      <c r="K239" s="22"/>
      <c r="L239" s="9"/>
      <c r="M239" s="22"/>
      <c r="N239" s="9"/>
      <c r="O239" s="22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</row>
    <row r="240" spans="1:99" x14ac:dyDescent="0.2">
      <c r="A240" s="9"/>
      <c r="B240" s="9" t="s">
        <v>1</v>
      </c>
      <c r="C240" s="9">
        <f>IFERROR(VLOOKUP(A239,'Reporte Total'!$A$2:$V$157,8,FALSE),0)</f>
        <v>0</v>
      </c>
      <c r="D240" s="22">
        <f>IFERROR(VLOOKUP(A239,'Reporte Total'!$A$2:$V$157,12,FALSE),0)</f>
        <v>0</v>
      </c>
      <c r="E240" s="9">
        <f>IFERROR(VLOOKUP(A239,'Reporte Total'!$A$2:$V$157,9,FALSE),0)</f>
        <v>0</v>
      </c>
      <c r="F240" s="22">
        <f>IFERROR(VLOOKUP(A239,'Reporte Total'!$A$2:$V$157,10,FALSE),0)</f>
        <v>0</v>
      </c>
      <c r="G240" s="9">
        <f>+E240+F240*$B$321</f>
        <v>0</v>
      </c>
      <c r="H240" s="22">
        <f t="shared" si="6"/>
        <v>0</v>
      </c>
      <c r="I240" s="9"/>
      <c r="J240" s="9"/>
      <c r="K240" s="22"/>
      <c r="L240" s="9"/>
      <c r="M240" s="22"/>
      <c r="N240" s="9"/>
      <c r="O240" s="22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</row>
    <row r="241" spans="1:99" x14ac:dyDescent="0.2">
      <c r="A241" s="9"/>
      <c r="B241" s="9" t="s">
        <v>3</v>
      </c>
      <c r="C241" s="9">
        <f>+C239+C240</f>
        <v>0</v>
      </c>
      <c r="D241" s="22">
        <f>IF(C241=0,0,(C239*D239+C240*D240)/C241)</f>
        <v>0</v>
      </c>
      <c r="E241" s="35">
        <f>+IF(C241=0,0,(C239*E239+C240*E240)/C241)</f>
        <v>0</v>
      </c>
      <c r="F241" s="22">
        <f>+IF(C241=0,0,(C239*F239+C240*F240)/C241)</f>
        <v>0</v>
      </c>
      <c r="G241" s="9">
        <f>+E241+F241*$B$321</f>
        <v>0</v>
      </c>
      <c r="H241" s="22">
        <f t="shared" si="6"/>
        <v>0</v>
      </c>
      <c r="I241" s="9"/>
      <c r="J241" s="9"/>
      <c r="K241" s="22"/>
      <c r="L241" s="9"/>
      <c r="M241" s="22"/>
      <c r="N241" s="9"/>
      <c r="O241" s="22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</row>
    <row r="242" spans="1:99" x14ac:dyDescent="0.2">
      <c r="A242" s="9"/>
      <c r="B242" s="9" t="s">
        <v>2</v>
      </c>
      <c r="C242" s="9">
        <f>IFERROR(VLOOKUP(A239,'Reporte Total'!$A$2:$V$157,13,FALSE),0)</f>
        <v>48225.801526619456</v>
      </c>
      <c r="D242" s="22">
        <f>IFERROR(VLOOKUP(A239,'Reporte Total'!$A$2:$V$157,17,FALSE),0)</f>
        <v>1.2217397033781279</v>
      </c>
      <c r="E242" s="9">
        <f>IFERROR(VLOOKUP(A239,'Reporte Total'!$A$2:$V$157,14,FALSE),0)</f>
        <v>155.61296808852308</v>
      </c>
      <c r="F242" s="22">
        <f>IFERROR(VLOOKUP(A239,'Reporte Total'!$A$2:$V$157,15,FALSE),0)</f>
        <v>2.0923042951211821</v>
      </c>
      <c r="G242" s="9">
        <f>+E242+F242*$B$321</f>
        <v>312.53579022261169</v>
      </c>
      <c r="H242" s="22">
        <f t="shared" si="6"/>
        <v>0.48458498205156481</v>
      </c>
      <c r="I242" s="9"/>
      <c r="J242" s="9"/>
      <c r="K242" s="22"/>
      <c r="L242" s="9"/>
      <c r="M242" s="22"/>
      <c r="N242" s="9"/>
      <c r="O242" s="22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</row>
    <row r="243" spans="1:99" x14ac:dyDescent="0.2">
      <c r="A243" s="9" t="s">
        <v>57</v>
      </c>
      <c r="B243" s="9" t="s">
        <v>0</v>
      </c>
      <c r="C243" s="9">
        <f>IFERROR(VLOOKUP(A243,'Reporte Total'!$A$2:$V$157,3,FALSE),0)</f>
        <v>0</v>
      </c>
      <c r="D243" s="22">
        <f>IFERROR(VLOOKUP(A243,'Reporte Total'!$A$2:$V$157,7,FALSE),0)</f>
        <v>0</v>
      </c>
      <c r="E243" s="9">
        <f>IFERROR(VLOOKUP(A243,'Reporte Total'!$A$2:$V$157,4,FALSE),0)</f>
        <v>0</v>
      </c>
      <c r="F243" s="22">
        <f>IFERROR(VLOOKUP(A243,'Reporte Total'!$A$2:$V$157,5,FALSE),0)</f>
        <v>0</v>
      </c>
      <c r="G243" s="9">
        <f>+E243+F243*$B$321</f>
        <v>0</v>
      </c>
      <c r="H243" s="22">
        <f t="shared" si="6"/>
        <v>0</v>
      </c>
      <c r="I243" s="9"/>
      <c r="J243" s="9"/>
      <c r="K243" s="22"/>
      <c r="L243" s="9"/>
      <c r="M243" s="22"/>
      <c r="N243" s="9"/>
      <c r="O243" s="22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</row>
    <row r="244" spans="1:99" x14ac:dyDescent="0.2">
      <c r="A244" s="9"/>
      <c r="B244" s="9" t="s">
        <v>1</v>
      </c>
      <c r="C244" s="9">
        <f>IFERROR(VLOOKUP(A243,'Reporte Total'!$A$2:$V$157,8,FALSE),0)</f>
        <v>1727.5074721168726</v>
      </c>
      <c r="D244" s="22">
        <f>IFERROR(VLOOKUP(A243,'Reporte Total'!$A$2:$V$157,12,FALSE),0)</f>
        <v>1.02506408177955</v>
      </c>
      <c r="E244" s="9">
        <f>IFERROR(VLOOKUP(A243,'Reporte Total'!$A$2:$V$157,9,FALSE),0)</f>
        <v>111.62920589432564</v>
      </c>
      <c r="F244" s="22">
        <f>IFERROR(VLOOKUP(A243,'Reporte Total'!$A$2:$V$157,10,FALSE),0)</f>
        <v>1.5252583389310106</v>
      </c>
      <c r="G244" s="9">
        <f>+E244+F244*$B$321</f>
        <v>226.02358131415144</v>
      </c>
      <c r="H244" s="22">
        <f t="shared" si="6"/>
        <v>1.2553488372524383E-2</v>
      </c>
      <c r="I244" s="9"/>
      <c r="J244" s="9"/>
      <c r="K244" s="22"/>
      <c r="L244" s="9"/>
      <c r="M244" s="22"/>
      <c r="N244" s="9"/>
      <c r="O244" s="22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</row>
    <row r="245" spans="1:99" x14ac:dyDescent="0.2">
      <c r="A245" s="9"/>
      <c r="B245" s="9" t="s">
        <v>3</v>
      </c>
      <c r="C245" s="9">
        <f>+C243+C244</f>
        <v>1727.5074721168726</v>
      </c>
      <c r="D245" s="22">
        <f>IF(C245=0,0,(C243*D243+C244*D244)/C245)</f>
        <v>1.02506408177955</v>
      </c>
      <c r="E245" s="35">
        <f>+IF(C245=0,0,(C243*E243+C244*E244)/C245)</f>
        <v>111.62920589432564</v>
      </c>
      <c r="F245" s="22">
        <f>+IF(C245=0,0,(C243*F243+C244*F244)/C245)</f>
        <v>1.5252583389310106</v>
      </c>
      <c r="G245" s="9">
        <f>+E245+F245*$B$321</f>
        <v>226.02358131415144</v>
      </c>
      <c r="H245" s="22">
        <f t="shared" si="6"/>
        <v>1.2553488372524383E-2</v>
      </c>
      <c r="I245" s="9"/>
      <c r="J245" s="9"/>
      <c r="K245" s="22"/>
      <c r="L245" s="9"/>
      <c r="M245" s="22"/>
      <c r="N245" s="9"/>
      <c r="O245" s="22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</row>
    <row r="246" spans="1:99" x14ac:dyDescent="0.2">
      <c r="A246" s="9"/>
      <c r="B246" s="9" t="s">
        <v>2</v>
      </c>
      <c r="C246" s="9">
        <f>IFERROR(VLOOKUP(A243,'Reporte Total'!$A$2:$V$157,13,FALSE),0)</f>
        <v>42084.120740322345</v>
      </c>
      <c r="D246" s="22">
        <f>IFERROR(VLOOKUP(A243,'Reporte Total'!$A$2:$V$157,17,FALSE),0)</f>
        <v>1.2045907854877995</v>
      </c>
      <c r="E246" s="9">
        <f>IFERROR(VLOOKUP(A243,'Reporte Total'!$A$2:$V$157,14,FALSE),0)</f>
        <v>99.467162589127852</v>
      </c>
      <c r="F246" s="22">
        <f>IFERROR(VLOOKUP(A243,'Reporte Total'!$A$2:$V$157,15,FALSE),0)</f>
        <v>2.131171588957435</v>
      </c>
      <c r="G246" s="9">
        <f>+E246+F246*$B$321</f>
        <v>259.30503176093549</v>
      </c>
      <c r="H246" s="22">
        <f t="shared" si="6"/>
        <v>0.35084875545196942</v>
      </c>
      <c r="I246" s="9"/>
      <c r="J246" s="9"/>
      <c r="K246" s="22"/>
      <c r="L246" s="9"/>
      <c r="M246" s="22"/>
      <c r="N246" s="9"/>
      <c r="O246" s="22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</row>
    <row r="247" spans="1:99" x14ac:dyDescent="0.2">
      <c r="A247" s="9" t="s">
        <v>62</v>
      </c>
      <c r="B247" s="9" t="s">
        <v>0</v>
      </c>
      <c r="C247" s="9">
        <f>IFERROR(VLOOKUP(A247,'Reporte Total'!$A$2:$V$157,3,FALSE),0)</f>
        <v>0</v>
      </c>
      <c r="D247" s="22">
        <f>IFERROR(VLOOKUP(A247,'Reporte Total'!$A$2:$V$157,7,FALSE),0)</f>
        <v>0</v>
      </c>
      <c r="E247" s="9">
        <f>IFERROR(VLOOKUP(A247,'Reporte Total'!$A$2:$V$157,4,FALSE),0)</f>
        <v>0</v>
      </c>
      <c r="F247" s="22">
        <f>IFERROR(VLOOKUP(A247,'Reporte Total'!$A$2:$V$157,5,FALSE),0)</f>
        <v>0</v>
      </c>
      <c r="G247" s="9">
        <f>+E247+F247*$B$321</f>
        <v>0</v>
      </c>
      <c r="H247" s="22">
        <f t="shared" si="6"/>
        <v>0</v>
      </c>
      <c r="I247" s="9"/>
      <c r="J247" s="9"/>
      <c r="K247" s="22"/>
      <c r="L247" s="9"/>
      <c r="M247" s="22"/>
      <c r="N247" s="9"/>
      <c r="O247" s="22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</row>
    <row r="248" spans="1:99" x14ac:dyDescent="0.2">
      <c r="A248" s="9"/>
      <c r="B248" s="9" t="s">
        <v>1</v>
      </c>
      <c r="C248" s="9">
        <f>IFERROR(VLOOKUP(A247,'Reporte Total'!$A$2:$V$157,8,FALSE),0)</f>
        <v>0</v>
      </c>
      <c r="D248" s="22">
        <f>IFERROR(VLOOKUP(A247,'Reporte Total'!$A$2:$V$157,12,FALSE),0)</f>
        <v>0</v>
      </c>
      <c r="E248" s="9">
        <f>IFERROR(VLOOKUP(A247,'Reporte Total'!$A$2:$V$157,9,FALSE),0)</f>
        <v>0</v>
      </c>
      <c r="F248" s="22">
        <f>IFERROR(VLOOKUP(A247,'Reporte Total'!$A$2:$V$157,10,FALSE),0)</f>
        <v>0</v>
      </c>
      <c r="G248" s="9">
        <f>+E248+F248*$B$321</f>
        <v>0</v>
      </c>
      <c r="H248" s="22">
        <f t="shared" si="6"/>
        <v>0</v>
      </c>
      <c r="I248" s="9"/>
      <c r="J248" s="9"/>
      <c r="K248" s="22"/>
      <c r="L248" s="9"/>
      <c r="M248" s="22"/>
      <c r="N248" s="9"/>
      <c r="O248" s="22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</row>
    <row r="249" spans="1:99" x14ac:dyDescent="0.2">
      <c r="A249" s="9"/>
      <c r="B249" s="9" t="s">
        <v>3</v>
      </c>
      <c r="C249" s="9">
        <f>+C247+C248</f>
        <v>0</v>
      </c>
      <c r="D249" s="22">
        <f>IF(C249=0,0,(C247*D247+C248*D248)/C249)</f>
        <v>0</v>
      </c>
      <c r="E249" s="35">
        <f>+IF(C249=0,0,(C247*E247+C248*E248)/C249)</f>
        <v>0</v>
      </c>
      <c r="F249" s="22">
        <f>+IF(C249=0,0,(C247*F247+C248*F248)/C249)</f>
        <v>0</v>
      </c>
      <c r="G249" s="9">
        <f>+E249+F249*$B$321</f>
        <v>0</v>
      </c>
      <c r="H249" s="22">
        <f t="shared" si="6"/>
        <v>0</v>
      </c>
      <c r="I249" s="9"/>
      <c r="J249" s="9"/>
      <c r="K249" s="22"/>
      <c r="L249" s="9"/>
      <c r="M249" s="22"/>
      <c r="N249" s="9"/>
      <c r="O249" s="22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</row>
    <row r="250" spans="1:99" x14ac:dyDescent="0.2">
      <c r="A250" s="9"/>
      <c r="B250" s="9" t="s">
        <v>2</v>
      </c>
      <c r="C250" s="9">
        <f>IFERROR(VLOOKUP(A247,'Reporte Total'!$A$2:$V$157,13,FALSE),0)</f>
        <v>42002.149847089502</v>
      </c>
      <c r="D250" s="22">
        <f>IFERROR(VLOOKUP(A247,'Reporte Total'!$A$2:$V$157,17,FALSE),0)</f>
        <v>0.99759964868498563</v>
      </c>
      <c r="E250" s="9">
        <f>IFERROR(VLOOKUP(A247,'Reporte Total'!$A$2:$V$157,14,FALSE),0)</f>
        <v>102.13927965818471</v>
      </c>
      <c r="F250" s="22">
        <f>IFERROR(VLOOKUP(A247,'Reporte Total'!$A$2:$V$157,15,FALSE),0)</f>
        <v>1.9437974586146161</v>
      </c>
      <c r="G250" s="9">
        <f>+E250+F250*$B$321</f>
        <v>247.9240890542809</v>
      </c>
      <c r="H250" s="22">
        <f t="shared" si="6"/>
        <v>0.33479655791666757</v>
      </c>
      <c r="I250" s="9"/>
      <c r="J250" s="9"/>
      <c r="K250" s="22"/>
      <c r="L250" s="9"/>
      <c r="M250" s="22"/>
      <c r="N250" s="9"/>
      <c r="O250" s="22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</row>
    <row r="251" spans="1:99" x14ac:dyDescent="0.2">
      <c r="A251" s="9" t="s">
        <v>72</v>
      </c>
      <c r="B251" s="9" t="s">
        <v>0</v>
      </c>
      <c r="C251" s="9">
        <f>IFERROR(VLOOKUP(A251,'Reporte Total'!$A$2:$V$157,3,FALSE),0)</f>
        <v>0</v>
      </c>
      <c r="D251" s="22">
        <f>IFERROR(VLOOKUP(A251,'Reporte Total'!$A$2:$V$157,7,FALSE),0)</f>
        <v>0</v>
      </c>
      <c r="E251" s="9">
        <f>IFERROR(VLOOKUP(A251,'Reporte Total'!$A$2:$V$157,4,FALSE),0)</f>
        <v>0</v>
      </c>
      <c r="F251" s="22">
        <f>IFERROR(VLOOKUP(A251,'Reporte Total'!$A$2:$V$157,5,FALSE),0)</f>
        <v>0</v>
      </c>
      <c r="G251" s="9">
        <f>+E251+F251*$B$321</f>
        <v>0</v>
      </c>
      <c r="H251" s="22">
        <f t="shared" si="6"/>
        <v>0</v>
      </c>
      <c r="I251" s="9"/>
      <c r="J251" s="9"/>
      <c r="K251" s="22"/>
      <c r="L251" s="9"/>
      <c r="M251" s="22"/>
      <c r="N251" s="9"/>
      <c r="O251" s="22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</row>
    <row r="252" spans="1:99" x14ac:dyDescent="0.2">
      <c r="A252" s="9"/>
      <c r="B252" s="9" t="s">
        <v>1</v>
      </c>
      <c r="C252" s="9">
        <f>IFERROR(VLOOKUP(A251,'Reporte Total'!$A$2:$V$157,8,FALSE),0)</f>
        <v>0</v>
      </c>
      <c r="D252" s="22">
        <f>IFERROR(VLOOKUP(A251,'Reporte Total'!$A$2:$V$157,12,FALSE),0)</f>
        <v>0</v>
      </c>
      <c r="E252" s="9">
        <f>IFERROR(VLOOKUP(A251,'Reporte Total'!$A$2:$V$157,9,FALSE),0)</f>
        <v>0</v>
      </c>
      <c r="F252" s="22">
        <f>IFERROR(VLOOKUP(A251,'Reporte Total'!$A$2:$V$157,10,FALSE),0)</f>
        <v>0</v>
      </c>
      <c r="G252" s="9">
        <f>+E252+F252*$B$321</f>
        <v>0</v>
      </c>
      <c r="H252" s="22">
        <f t="shared" si="6"/>
        <v>0</v>
      </c>
      <c r="I252" s="9"/>
      <c r="J252" s="9"/>
      <c r="K252" s="22"/>
      <c r="L252" s="9"/>
      <c r="M252" s="22"/>
      <c r="N252" s="9"/>
      <c r="O252" s="22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</row>
    <row r="253" spans="1:99" x14ac:dyDescent="0.2">
      <c r="A253" s="9"/>
      <c r="B253" s="9" t="s">
        <v>3</v>
      </c>
      <c r="C253" s="9">
        <f>+C251+C252</f>
        <v>0</v>
      </c>
      <c r="D253" s="22">
        <f>IF(C253=0,0,(C251*D251+C252*D252)/C253)</f>
        <v>0</v>
      </c>
      <c r="E253" s="35">
        <f>+IF(C253=0,0,(C251*E251+C252*E252)/C253)</f>
        <v>0</v>
      </c>
      <c r="F253" s="22">
        <f>+IF(C253=0,0,(C251*F251+C252*F252)/C253)</f>
        <v>0</v>
      </c>
      <c r="G253" s="9">
        <f>+E253+F253*$B$321</f>
        <v>0</v>
      </c>
      <c r="H253" s="22">
        <f t="shared" si="6"/>
        <v>0</v>
      </c>
      <c r="I253" s="9"/>
      <c r="J253" s="9"/>
      <c r="K253" s="22"/>
      <c r="L253" s="9"/>
      <c r="M253" s="22"/>
      <c r="N253" s="9"/>
      <c r="O253" s="22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</row>
    <row r="254" spans="1:99" x14ac:dyDescent="0.2">
      <c r="A254" s="9"/>
      <c r="B254" s="9" t="s">
        <v>2</v>
      </c>
      <c r="C254" s="9">
        <f>IFERROR(VLOOKUP(A251,'Reporte Total'!$A$2:$V$157,13,FALSE),0)</f>
        <v>41213.507144064024</v>
      </c>
      <c r="D254" s="22">
        <f>IFERROR(VLOOKUP(A251,'Reporte Total'!$A$2:$V$157,17,FALSE),0)</f>
        <v>1.2252471739579824</v>
      </c>
      <c r="E254" s="9">
        <f>IFERROR(VLOOKUP(A251,'Reporte Total'!$A$2:$V$157,14,FALSE),0)</f>
        <v>97.958982002704246</v>
      </c>
      <c r="F254" s="22">
        <f>IFERROR(VLOOKUP(A251,'Reporte Total'!$A$2:$V$157,15,FALSE),0)</f>
        <v>1.0011082660118145</v>
      </c>
      <c r="G254" s="9">
        <f>+E254+F254*$B$321</f>
        <v>173.04210195359033</v>
      </c>
      <c r="H254" s="22">
        <f t="shared" si="6"/>
        <v>0.2292884050054865</v>
      </c>
      <c r="I254" s="9"/>
      <c r="J254" s="9"/>
      <c r="K254" s="22"/>
      <c r="L254" s="9"/>
      <c r="M254" s="22"/>
      <c r="N254" s="9"/>
      <c r="O254" s="22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</row>
    <row r="255" spans="1:99" x14ac:dyDescent="0.2">
      <c r="A255" s="9" t="s">
        <v>60</v>
      </c>
      <c r="B255" s="9" t="s">
        <v>0</v>
      </c>
      <c r="C255" s="9">
        <f>IFERROR(VLOOKUP(A255,'Reporte Total'!$A$2:$V$157,3,FALSE),0)</f>
        <v>0</v>
      </c>
      <c r="D255" s="22">
        <f>IFERROR(VLOOKUP(A255,'Reporte Total'!$A$2:$V$157,7,FALSE),0)</f>
        <v>0</v>
      </c>
      <c r="E255" s="9">
        <f>IFERROR(VLOOKUP(A255,'Reporte Total'!$A$2:$V$157,4,FALSE),0)</f>
        <v>0</v>
      </c>
      <c r="F255" s="22">
        <f>IFERROR(VLOOKUP(A255,'Reporte Total'!$A$2:$V$157,5,FALSE),0)</f>
        <v>0</v>
      </c>
      <c r="G255" s="9">
        <f>+E255+F255*$B$321</f>
        <v>0</v>
      </c>
      <c r="H255" s="22">
        <f t="shared" si="6"/>
        <v>0</v>
      </c>
      <c r="I255" s="9"/>
      <c r="J255" s="9"/>
      <c r="K255" s="22"/>
      <c r="L255" s="9"/>
      <c r="M255" s="22"/>
      <c r="N255" s="9"/>
      <c r="O255" s="22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</row>
    <row r="256" spans="1:99" x14ac:dyDescent="0.2">
      <c r="A256" s="9"/>
      <c r="B256" s="9" t="s">
        <v>1</v>
      </c>
      <c r="C256" s="9">
        <f>IFERROR(VLOOKUP(A255,'Reporte Total'!$A$2:$V$157,8,FALSE),0)</f>
        <v>3993.4961010990623</v>
      </c>
      <c r="D256" s="22">
        <f>IFERROR(VLOOKUP(A255,'Reporte Total'!$A$2:$V$157,12,FALSE),0)</f>
        <v>0.81114775846247955</v>
      </c>
      <c r="E256" s="9">
        <f>IFERROR(VLOOKUP(A255,'Reporte Total'!$A$2:$V$157,9,FALSE),0)</f>
        <v>49.57501132629001</v>
      </c>
      <c r="F256" s="22">
        <f>IFERROR(VLOOKUP(A255,'Reporte Total'!$A$2:$V$157,10,FALSE),0)</f>
        <v>2.6774479517620295</v>
      </c>
      <c r="G256" s="9">
        <f>+E256+F256*$B$321</f>
        <v>250.38360770844224</v>
      </c>
      <c r="H256" s="22">
        <f t="shared" si="6"/>
        <v>3.2147699170922285E-2</v>
      </c>
      <c r="I256" s="9"/>
      <c r="J256" s="9"/>
      <c r="K256" s="22"/>
      <c r="L256" s="9"/>
      <c r="M256" s="22"/>
      <c r="N256" s="9"/>
      <c r="O256" s="22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</row>
    <row r="257" spans="1:99" x14ac:dyDescent="0.2">
      <c r="A257" s="9"/>
      <c r="B257" s="9" t="s">
        <v>3</v>
      </c>
      <c r="C257" s="9">
        <f>+C255+C256</f>
        <v>3993.4961010990623</v>
      </c>
      <c r="D257" s="22">
        <f>IF(C257=0,0,(C255*D255+C256*D256)/C257)</f>
        <v>0.81114775846247955</v>
      </c>
      <c r="E257" s="35">
        <f>+IF(C257=0,0,(C255*E255+C256*E256)/C257)</f>
        <v>49.57501132629001</v>
      </c>
      <c r="F257" s="22">
        <f>+IF(C257=0,0,(C255*F255+C256*F256)/C257)</f>
        <v>2.6774479517620295</v>
      </c>
      <c r="G257" s="9">
        <f>+E257+F257*$B$321</f>
        <v>250.38360770844224</v>
      </c>
      <c r="H257" s="22">
        <f t="shared" si="6"/>
        <v>3.2147699170922285E-2</v>
      </c>
      <c r="I257" s="9"/>
      <c r="J257" s="9"/>
      <c r="K257" s="22"/>
      <c r="L257" s="9"/>
      <c r="M257" s="22"/>
      <c r="N257" s="9"/>
      <c r="O257" s="22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</row>
    <row r="258" spans="1:99" x14ac:dyDescent="0.2">
      <c r="A258" s="9"/>
      <c r="B258" s="9" t="s">
        <v>2</v>
      </c>
      <c r="C258" s="9">
        <f>IFERROR(VLOOKUP(A255,'Reporte Total'!$A$2:$V$157,13,FALSE),0)</f>
        <v>36071.9436784258</v>
      </c>
      <c r="D258" s="22">
        <f>IFERROR(VLOOKUP(A255,'Reporte Total'!$A$2:$V$157,17,FALSE),0)</f>
        <v>0.93874341690061014</v>
      </c>
      <c r="E258" s="9">
        <f>IFERROR(VLOOKUP(A255,'Reporte Total'!$A$2:$V$157,14,FALSE),0)</f>
        <v>80.742228427203585</v>
      </c>
      <c r="F258" s="22">
        <f>IFERROR(VLOOKUP(A255,'Reporte Total'!$A$2:$V$157,15,FALSE),0)</f>
        <v>2.7743483000746925</v>
      </c>
      <c r="G258" s="9">
        <f>+E258+F258*$B$321</f>
        <v>288.81835093280552</v>
      </c>
      <c r="H258" s="22">
        <f t="shared" si="6"/>
        <v>0.33495392120320794</v>
      </c>
      <c r="I258" s="9"/>
      <c r="J258" s="9"/>
      <c r="K258" s="22"/>
      <c r="L258" s="9"/>
      <c r="M258" s="22"/>
      <c r="N258" s="9"/>
      <c r="O258" s="22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</row>
    <row r="259" spans="1:99" x14ac:dyDescent="0.2">
      <c r="A259" s="9" t="s">
        <v>105</v>
      </c>
      <c r="B259" s="9" t="s">
        <v>0</v>
      </c>
      <c r="C259" s="9">
        <f>IFERROR(VLOOKUP(A259,'Reporte Total'!$A$2:$V$157,3,FALSE),0)</f>
        <v>5476.4421220791291</v>
      </c>
      <c r="D259" s="22">
        <f>IFERROR(VLOOKUP(A259,'Reporte Total'!$A$2:$V$157,7,FALSE),0)</f>
        <v>1.8258569324334732</v>
      </c>
      <c r="E259" s="9">
        <f>IFERROR(VLOOKUP(A259,'Reporte Total'!$A$2:$V$157,4,FALSE),0)</f>
        <v>93.438698262032517</v>
      </c>
      <c r="F259" s="22">
        <f>IFERROR(VLOOKUP(A259,'Reporte Total'!$A$2:$V$157,5,FALSE),0)</f>
        <v>2.1780423130327411</v>
      </c>
      <c r="G259" s="9">
        <f>+E259+F259*$B$321</f>
        <v>256.7918717394881</v>
      </c>
      <c r="H259" s="22">
        <f t="shared" si="6"/>
        <v>4.5213748388498842E-2</v>
      </c>
      <c r="I259" s="9"/>
      <c r="J259" s="9"/>
      <c r="K259" s="22"/>
      <c r="L259" s="9"/>
      <c r="M259" s="22"/>
      <c r="N259" s="9"/>
      <c r="O259" s="22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</row>
    <row r="260" spans="1:99" x14ac:dyDescent="0.2">
      <c r="A260" s="9"/>
      <c r="B260" s="9" t="s">
        <v>1</v>
      </c>
      <c r="C260" s="9">
        <f>IFERROR(VLOOKUP(A259,'Reporte Total'!$A$2:$V$157,8,FALSE),0)</f>
        <v>1087.9594783061884</v>
      </c>
      <c r="D260" s="22">
        <f>IFERROR(VLOOKUP(A259,'Reporte Total'!$A$2:$V$157,12,FALSE),0)</f>
        <v>1.2470933564024416</v>
      </c>
      <c r="E260" s="9">
        <f>IFERROR(VLOOKUP(A259,'Reporte Total'!$A$2:$V$157,9,FALSE),0)</f>
        <v>60.178571483818729</v>
      </c>
      <c r="F260" s="22">
        <f>IFERROR(VLOOKUP(A259,'Reporte Total'!$A$2:$V$157,10,FALSE),0)</f>
        <v>1.5819756596801993</v>
      </c>
      <c r="G260" s="9">
        <f>+E260+F260*$B$321</f>
        <v>178.82674595983366</v>
      </c>
      <c r="H260" s="22">
        <f t="shared" si="6"/>
        <v>6.2551241256338964E-3</v>
      </c>
      <c r="I260" s="9"/>
      <c r="J260" s="9"/>
      <c r="K260" s="22"/>
      <c r="L260" s="9"/>
      <c r="M260" s="22"/>
      <c r="N260" s="9"/>
      <c r="O260" s="22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</row>
    <row r="261" spans="1:99" x14ac:dyDescent="0.2">
      <c r="A261" s="9"/>
      <c r="B261" s="9" t="s">
        <v>3</v>
      </c>
      <c r="C261" s="9">
        <f>+C259+C260</f>
        <v>6564.4016003853176</v>
      </c>
      <c r="D261" s="22">
        <f>IF(C261=0,0,(C259*D259+C260*D260)/C261)</f>
        <v>1.7299348124028546</v>
      </c>
      <c r="E261" s="35">
        <f>+IF(C261=0,0,(C259*E259+C260*E260)/C261)</f>
        <v>87.926288695881169</v>
      </c>
      <c r="F261" s="22">
        <f>+IF(C261=0,0,(C259*F259+C260*F260)/C261)</f>
        <v>2.0792524453958978</v>
      </c>
      <c r="G261" s="9">
        <f>+E261+F261*$B$321</f>
        <v>243.8702221005735</v>
      </c>
      <c r="H261" s="22">
        <f t="shared" si="6"/>
        <v>5.1468872514132728E-2</v>
      </c>
      <c r="I261" s="9"/>
      <c r="J261" s="9"/>
      <c r="K261" s="22"/>
      <c r="L261" s="9"/>
      <c r="M261" s="22"/>
      <c r="N261" s="9"/>
      <c r="O261" s="22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</row>
    <row r="262" spans="1:99" x14ac:dyDescent="0.2">
      <c r="A262" s="9"/>
      <c r="B262" s="9" t="s">
        <v>2</v>
      </c>
      <c r="C262" s="9">
        <f>IFERROR(VLOOKUP(A259,'Reporte Total'!$A$2:$V$157,13,FALSE),0)</f>
        <v>21259.590294157977</v>
      </c>
      <c r="D262" s="22">
        <f>IFERROR(VLOOKUP(A259,'Reporte Total'!$A$2:$V$157,17,FALSE),0)</f>
        <v>1.7713903696690196</v>
      </c>
      <c r="E262" s="9">
        <f>IFERROR(VLOOKUP(A259,'Reporte Total'!$A$2:$V$157,14,FALSE),0)</f>
        <v>101.49799089980412</v>
      </c>
      <c r="F262" s="22">
        <f>IFERROR(VLOOKUP(A259,'Reporte Total'!$A$2:$V$157,15,FALSE),0)</f>
        <v>2.2003568682504677</v>
      </c>
      <c r="G262" s="9">
        <f>+E262+F262*$B$321</f>
        <v>266.52475601858919</v>
      </c>
      <c r="H262" s="22">
        <f t="shared" si="6"/>
        <v>0.18217265311638953</v>
      </c>
      <c r="I262" s="9"/>
      <c r="J262" s="9"/>
      <c r="K262" s="22"/>
      <c r="L262" s="9"/>
      <c r="M262" s="22"/>
      <c r="N262" s="9"/>
      <c r="O262" s="22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</row>
    <row r="263" spans="1:99" x14ac:dyDescent="0.2">
      <c r="A263" s="9" t="s">
        <v>103</v>
      </c>
      <c r="B263" s="9" t="s">
        <v>0</v>
      </c>
      <c r="C263" s="9">
        <f>IFERROR(VLOOKUP(A263,'Reporte Total'!$A$2:$V$157,3,FALSE),0)</f>
        <v>0</v>
      </c>
      <c r="D263" s="22">
        <f>IFERROR(VLOOKUP(A263,'Reporte Total'!$A$2:$V$157,7,FALSE),0)</f>
        <v>0</v>
      </c>
      <c r="E263" s="9">
        <f>IFERROR(VLOOKUP(A263,'Reporte Total'!$A$2:$V$157,4,FALSE),0)</f>
        <v>0</v>
      </c>
      <c r="F263" s="22">
        <f>IFERROR(VLOOKUP(A263,'Reporte Total'!$A$2:$V$157,5,FALSE),0)</f>
        <v>0</v>
      </c>
      <c r="G263" s="9">
        <f>+E263+F263*$B$321</f>
        <v>0</v>
      </c>
      <c r="H263" s="22">
        <f t="shared" si="6"/>
        <v>0</v>
      </c>
      <c r="I263" s="9"/>
      <c r="J263" s="9"/>
      <c r="K263" s="22"/>
      <c r="L263" s="9"/>
      <c r="M263" s="22"/>
      <c r="N263" s="9"/>
      <c r="O263" s="22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</row>
    <row r="264" spans="1:99" x14ac:dyDescent="0.2">
      <c r="A264" s="9"/>
      <c r="B264" s="9" t="s">
        <v>1</v>
      </c>
      <c r="C264" s="9">
        <f>IFERROR(VLOOKUP(A263,'Reporte Total'!$A$2:$V$157,8,FALSE),0)</f>
        <v>0</v>
      </c>
      <c r="D264" s="22">
        <f>IFERROR(VLOOKUP(A263,'Reporte Total'!$A$2:$V$157,12,FALSE),0)</f>
        <v>0</v>
      </c>
      <c r="E264" s="9">
        <f>IFERROR(VLOOKUP(A263,'Reporte Total'!$A$2:$V$157,9,FALSE),0)</f>
        <v>0</v>
      </c>
      <c r="F264" s="22">
        <f>IFERROR(VLOOKUP(A263,'Reporte Total'!$A$2:$V$157,10,FALSE),0)</f>
        <v>0</v>
      </c>
      <c r="G264" s="9">
        <f>+E264+F264*$B$321</f>
        <v>0</v>
      </c>
      <c r="H264" s="22">
        <f t="shared" si="6"/>
        <v>0</v>
      </c>
      <c r="I264" s="9"/>
      <c r="J264" s="9"/>
      <c r="K264" s="22"/>
      <c r="L264" s="9"/>
      <c r="M264" s="22"/>
      <c r="N264" s="9"/>
      <c r="O264" s="22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</row>
    <row r="265" spans="1:99" x14ac:dyDescent="0.2">
      <c r="A265" s="9"/>
      <c r="B265" s="9" t="s">
        <v>3</v>
      </c>
      <c r="C265" s="9">
        <f>+C263+C264</f>
        <v>0</v>
      </c>
      <c r="D265" s="22">
        <f>IF(C265=0,0,(C263*D263+C264*D264)/C265)</f>
        <v>0</v>
      </c>
      <c r="E265" s="35">
        <f>+IF(C265=0,0,(C263*E263+C264*E264)/C265)</f>
        <v>0</v>
      </c>
      <c r="F265" s="22">
        <f>+IF(C265=0,0,(C263*F263+C264*F264)/C265)</f>
        <v>0</v>
      </c>
      <c r="G265" s="9">
        <f>+E265+F265*$B$321</f>
        <v>0</v>
      </c>
      <c r="H265" s="22">
        <f t="shared" si="6"/>
        <v>0</v>
      </c>
      <c r="I265" s="9"/>
      <c r="J265" s="9"/>
      <c r="K265" s="22"/>
      <c r="L265" s="9"/>
      <c r="M265" s="22"/>
      <c r="N265" s="9"/>
      <c r="O265" s="22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</row>
    <row r="266" spans="1:99" x14ac:dyDescent="0.2">
      <c r="A266" s="9"/>
      <c r="B266" s="9" t="s">
        <v>2</v>
      </c>
      <c r="C266" s="9">
        <f>IFERROR(VLOOKUP(A263,'Reporte Total'!$A$2:$V$157,13,FALSE),0)</f>
        <v>25297.29285443763</v>
      </c>
      <c r="D266" s="22">
        <f>IFERROR(VLOOKUP(A263,'Reporte Total'!$A$2:$V$157,17,FALSE),0)</f>
        <v>0.95993498452079151</v>
      </c>
      <c r="E266" s="9">
        <f>IFERROR(VLOOKUP(A263,'Reporte Total'!$A$2:$V$157,14,FALSE),0)</f>
        <v>101.23635702258188</v>
      </c>
      <c r="F266" s="22">
        <f>IFERROR(VLOOKUP(A263,'Reporte Total'!$A$2:$V$157,15,FALSE),0)</f>
        <v>2.4730258905211731</v>
      </c>
      <c r="G266" s="9">
        <f>+E266+F266*$B$321</f>
        <v>286.71329881166986</v>
      </c>
      <c r="H266" s="22">
        <f t="shared" si="6"/>
        <v>0.23319145065027078</v>
      </c>
      <c r="I266" s="9"/>
      <c r="J266" s="9"/>
      <c r="K266" s="22"/>
      <c r="L266" s="9"/>
      <c r="M266" s="22"/>
      <c r="N266" s="9"/>
      <c r="O266" s="22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</row>
    <row r="267" spans="1:99" x14ac:dyDescent="0.2">
      <c r="A267" s="9" t="s">
        <v>70</v>
      </c>
      <c r="B267" s="9" t="s">
        <v>0</v>
      </c>
      <c r="C267" s="9">
        <f>IFERROR(VLOOKUP(A267,'Reporte Total'!$A$2:$V$157,3,FALSE),0)</f>
        <v>17064.070197004225</v>
      </c>
      <c r="D267" s="22">
        <f>IFERROR(VLOOKUP(A267,'Reporte Total'!$A$2:$V$157,7,FALSE),0)</f>
        <v>1.844594741257781</v>
      </c>
      <c r="E267" s="9">
        <f>IFERROR(VLOOKUP(A267,'Reporte Total'!$A$2:$V$157,4,FALSE),0)</f>
        <v>276.68145736542084</v>
      </c>
      <c r="F267" s="22">
        <f>IFERROR(VLOOKUP(A267,'Reporte Total'!$A$2:$V$157,5,FALSE),0)</f>
        <v>7.6392220937660058</v>
      </c>
      <c r="G267" s="9">
        <f>+E267+F267*$B$321</f>
        <v>849.62311439787118</v>
      </c>
      <c r="H267" s="22">
        <f t="shared" si="6"/>
        <v>0.46612209124640713</v>
      </c>
      <c r="I267" s="9"/>
      <c r="J267" s="9"/>
      <c r="K267" s="22"/>
      <c r="L267" s="9"/>
      <c r="M267" s="22"/>
      <c r="N267" s="9"/>
      <c r="O267" s="22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</row>
    <row r="268" spans="1:99" x14ac:dyDescent="0.2">
      <c r="A268" s="9"/>
      <c r="B268" s="9" t="s">
        <v>1</v>
      </c>
      <c r="C268" s="9">
        <f>IFERROR(VLOOKUP(A267,'Reporte Total'!$A$2:$V$157,8,FALSE),0)</f>
        <v>6329.8747379168408</v>
      </c>
      <c r="D268" s="22">
        <f>IFERROR(VLOOKUP(A267,'Reporte Total'!$A$2:$V$157,12,FALSE),0)</f>
        <v>1.3202392739613524</v>
      </c>
      <c r="E268" s="9">
        <f>IFERROR(VLOOKUP(A267,'Reporte Total'!$A$2:$V$157,9,FALSE),0)</f>
        <v>187.55633747614431</v>
      </c>
      <c r="F268" s="22">
        <f>IFERROR(VLOOKUP(A267,'Reporte Total'!$A$2:$V$157,10,FALSE),0)</f>
        <v>4.2669443035681782</v>
      </c>
      <c r="G268" s="9">
        <f>+E268+F268*$B$321</f>
        <v>507.5771602437577</v>
      </c>
      <c r="H268" s="22">
        <f t="shared" si="6"/>
        <v>0.10329705159131705</v>
      </c>
      <c r="I268" s="9"/>
      <c r="J268" s="9"/>
      <c r="K268" s="22"/>
      <c r="L268" s="9"/>
      <c r="M268" s="22"/>
      <c r="N268" s="9"/>
      <c r="O268" s="22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</row>
    <row r="269" spans="1:99" x14ac:dyDescent="0.2">
      <c r="A269" s="9"/>
      <c r="B269" s="9" t="s">
        <v>3</v>
      </c>
      <c r="C269" s="9">
        <f>+C267+C268</f>
        <v>23393.944934921066</v>
      </c>
      <c r="D269" s="22">
        <f>IF(C269=0,0,(C267*D267+C268*D268)/C269)</f>
        <v>1.702715958719754</v>
      </c>
      <c r="E269" s="35">
        <f>+IF(C269=0,0,(C267*E267+C268*E268)/C269)</f>
        <v>252.56620675376311</v>
      </c>
      <c r="F269" s="22">
        <f>+IF(C269=0,0,(C267*F267+C268*F268)/C269)</f>
        <v>6.7267596573195938</v>
      </c>
      <c r="G269" s="9">
        <f>+E269+F269*$B$321</f>
        <v>757.07318105273259</v>
      </c>
      <c r="H269" s="22">
        <f t="shared" si="6"/>
        <v>0.5694191428377241</v>
      </c>
      <c r="I269" s="9"/>
      <c r="J269" s="9"/>
      <c r="K269" s="22"/>
      <c r="L269" s="9"/>
      <c r="M269" s="22"/>
      <c r="N269" s="9"/>
      <c r="O269" s="22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</row>
    <row r="270" spans="1:99" x14ac:dyDescent="0.2">
      <c r="A270" s="9"/>
      <c r="B270" s="9" t="s">
        <v>2</v>
      </c>
      <c r="C270" s="9">
        <f>IFERROR(VLOOKUP(A267,'Reporte Total'!$A$2:$V$157,13,FALSE),0)</f>
        <v>978.61760906958955</v>
      </c>
      <c r="D270" s="22">
        <f>IFERROR(VLOOKUP(A267,'Reporte Total'!$A$2:$V$157,17,FALSE),0)</f>
        <v>0.8809159413398725</v>
      </c>
      <c r="E270" s="9">
        <f>IFERROR(VLOOKUP(A267,'Reporte Total'!$A$2:$V$157,14,FALSE),0)</f>
        <v>144.40223006972752</v>
      </c>
      <c r="F270" s="22">
        <f>IFERROR(VLOOKUP(A267,'Reporte Total'!$A$2:$V$157,15,FALSE),0)</f>
        <v>3.2316790479991679</v>
      </c>
      <c r="G270" s="9">
        <f>+E270+F270*$B$321</f>
        <v>386.77815866966512</v>
      </c>
      <c r="H270" s="22">
        <f t="shared" si="6"/>
        <v>1.2169303032701979E-2</v>
      </c>
      <c r="I270" s="9"/>
      <c r="J270" s="9"/>
      <c r="K270" s="22"/>
      <c r="L270" s="9"/>
      <c r="M270" s="22"/>
      <c r="N270" s="9"/>
      <c r="O270" s="22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</row>
    <row r="271" spans="1:99" x14ac:dyDescent="0.2">
      <c r="A271" s="9" t="s">
        <v>102</v>
      </c>
      <c r="B271" s="9" t="s">
        <v>0</v>
      </c>
      <c r="C271" s="9">
        <f>IFERROR(VLOOKUP(A271,'Reporte Total'!$A$2:$V$157,3,FALSE),0)</f>
        <v>0</v>
      </c>
      <c r="D271" s="22">
        <f>IFERROR(VLOOKUP(A271,'Reporte Total'!$A$2:$V$157,7,FALSE),0)</f>
        <v>0</v>
      </c>
      <c r="E271" s="9">
        <f>IFERROR(VLOOKUP(A271,'Reporte Total'!$A$2:$V$157,4,FALSE),0)</f>
        <v>0</v>
      </c>
      <c r="F271" s="22">
        <f>IFERROR(VLOOKUP(A271,'Reporte Total'!$A$2:$V$157,5,FALSE),0)</f>
        <v>0</v>
      </c>
      <c r="G271" s="9">
        <f>+E271+F271*$B$321</f>
        <v>0</v>
      </c>
      <c r="H271" s="22">
        <f t="shared" si="6"/>
        <v>0</v>
      </c>
      <c r="I271" s="9"/>
      <c r="J271" s="9"/>
      <c r="K271" s="22"/>
      <c r="L271" s="9"/>
      <c r="M271" s="22"/>
      <c r="N271" s="9"/>
      <c r="O271" s="22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</row>
    <row r="272" spans="1:99" x14ac:dyDescent="0.2">
      <c r="A272" s="9"/>
      <c r="B272" s="9" t="s">
        <v>1</v>
      </c>
      <c r="C272" s="9">
        <f>IFERROR(VLOOKUP(A271,'Reporte Total'!$A$2:$V$157,8,FALSE),0)</f>
        <v>0</v>
      </c>
      <c r="D272" s="22">
        <f>IFERROR(VLOOKUP(A271,'Reporte Total'!$A$2:$V$157,12,FALSE),0)</f>
        <v>0</v>
      </c>
      <c r="E272" s="9">
        <f>IFERROR(VLOOKUP(A271,'Reporte Total'!$A$2:$V$157,9,FALSE),0)</f>
        <v>0</v>
      </c>
      <c r="F272" s="22">
        <f>IFERROR(VLOOKUP(A271,'Reporte Total'!$A$2:$V$157,10,FALSE),0)</f>
        <v>0</v>
      </c>
      <c r="G272" s="9">
        <f>+E272+F272*$B$321</f>
        <v>0</v>
      </c>
      <c r="H272" s="22">
        <f t="shared" si="6"/>
        <v>0</v>
      </c>
      <c r="I272" s="9"/>
      <c r="J272" s="9"/>
      <c r="K272" s="22"/>
      <c r="L272" s="9"/>
      <c r="M272" s="22"/>
      <c r="N272" s="9"/>
      <c r="O272" s="22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</row>
    <row r="273" spans="1:99" x14ac:dyDescent="0.2">
      <c r="A273" s="9"/>
      <c r="B273" s="9" t="s">
        <v>3</v>
      </c>
      <c r="C273" s="9">
        <f>+C271+C272</f>
        <v>0</v>
      </c>
      <c r="D273" s="22">
        <f>IF(C273=0,0,(C271*D271+C272*D272)/C273)</f>
        <v>0</v>
      </c>
      <c r="E273" s="35">
        <f>+IF(C273=0,0,(C271*E271+C272*E272)/C273)</f>
        <v>0</v>
      </c>
      <c r="F273" s="22">
        <f>+IF(C273=0,0,(C271*F271+C272*F272)/C273)</f>
        <v>0</v>
      </c>
      <c r="G273" s="9">
        <f>+E273+F273*$B$321</f>
        <v>0</v>
      </c>
      <c r="H273" s="22">
        <f t="shared" si="6"/>
        <v>0</v>
      </c>
      <c r="I273" s="9"/>
      <c r="J273" s="9"/>
      <c r="K273" s="22"/>
      <c r="L273" s="9"/>
      <c r="M273" s="22"/>
      <c r="N273" s="9"/>
      <c r="O273" s="22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</row>
    <row r="274" spans="1:99" x14ac:dyDescent="0.2">
      <c r="A274" s="9"/>
      <c r="B274" s="9" t="s">
        <v>2</v>
      </c>
      <c r="C274" s="9">
        <f>IFERROR(VLOOKUP(A271,'Reporte Total'!$A$2:$V$157,13,FALSE),0)</f>
        <v>20834.039409042744</v>
      </c>
      <c r="D274" s="22">
        <f>IFERROR(VLOOKUP(A271,'Reporte Total'!$A$2:$V$157,17,FALSE),0)</f>
        <v>1.3022633169649318</v>
      </c>
      <c r="E274" s="9">
        <f>IFERROR(VLOOKUP(A271,'Reporte Total'!$A$2:$V$157,14,FALSE),0)</f>
        <v>142.75735811910258</v>
      </c>
      <c r="F274" s="22">
        <f>IFERROR(VLOOKUP(A271,'Reporte Total'!$A$2:$V$157,15,FALSE),0)</f>
        <v>2.7150534286658918</v>
      </c>
      <c r="G274" s="9">
        <f>+E274+F274*$B$321</f>
        <v>346.38636526904446</v>
      </c>
      <c r="H274" s="22">
        <f t="shared" si="6"/>
        <v>0.23201977863489145</v>
      </c>
      <c r="I274" s="9"/>
      <c r="J274" s="9"/>
      <c r="K274" s="22"/>
      <c r="L274" s="9"/>
      <c r="M274" s="22"/>
      <c r="N274" s="9"/>
      <c r="O274" s="22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</row>
    <row r="275" spans="1:99" x14ac:dyDescent="0.2">
      <c r="A275" s="9" t="s">
        <v>106</v>
      </c>
      <c r="B275" s="9" t="s">
        <v>0</v>
      </c>
      <c r="C275" s="9">
        <f>IFERROR(VLOOKUP(A275,'Reporte Total'!$A$2:$V$157,3,FALSE),0)</f>
        <v>1085.0416023194791</v>
      </c>
      <c r="D275" s="22">
        <f>IFERROR(VLOOKUP(A275,'Reporte Total'!$A$2:$V$157,7,FALSE),0)</f>
        <v>2.1072046606829109</v>
      </c>
      <c r="E275" s="9">
        <f>IFERROR(VLOOKUP(A275,'Reporte Total'!$A$2:$V$157,4,FALSE),0)</f>
        <v>212.45039492235173</v>
      </c>
      <c r="F275" s="22">
        <f>IFERROR(VLOOKUP(A275,'Reporte Total'!$A$2:$V$157,5,FALSE),0)</f>
        <v>6.2836601580560858</v>
      </c>
      <c r="G275" s="9">
        <f>+E275+F275*$B$321</f>
        <v>683.7249067765581</v>
      </c>
      <c r="H275" s="22">
        <f t="shared" si="6"/>
        <v>2.3851655549844007E-2</v>
      </c>
      <c r="I275" s="9"/>
      <c r="J275" s="9"/>
      <c r="K275" s="22"/>
      <c r="L275" s="9"/>
      <c r="M275" s="22"/>
      <c r="N275" s="9"/>
      <c r="O275" s="22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</row>
    <row r="276" spans="1:99" x14ac:dyDescent="0.2">
      <c r="A276" s="9"/>
      <c r="B276" s="9" t="s">
        <v>1</v>
      </c>
      <c r="C276" s="9">
        <f>IFERROR(VLOOKUP(A275,'Reporte Total'!$A$2:$V$157,8,FALSE),0)</f>
        <v>3568.5902159485199</v>
      </c>
      <c r="D276" s="22">
        <f>IFERROR(VLOOKUP(A275,'Reporte Total'!$A$2:$V$157,12,FALSE),0)</f>
        <v>1.9979352140438345</v>
      </c>
      <c r="E276" s="9">
        <f>IFERROR(VLOOKUP(A275,'Reporte Total'!$A$2:$V$157,9,FALSE),0)</f>
        <v>147.68619990669197</v>
      </c>
      <c r="F276" s="22">
        <f>IFERROR(VLOOKUP(A275,'Reporte Total'!$A$2:$V$157,10,FALSE),0)</f>
        <v>4.3296968445788497</v>
      </c>
      <c r="G276" s="9">
        <f>+E276+F276*$B$321</f>
        <v>472.41346325010568</v>
      </c>
      <c r="H276" s="22">
        <f t="shared" si="6"/>
        <v>5.4201297694365033E-2</v>
      </c>
      <c r="I276" s="9"/>
      <c r="J276" s="9"/>
      <c r="K276" s="22"/>
      <c r="L276" s="9"/>
      <c r="M276" s="22"/>
      <c r="N276" s="9"/>
      <c r="O276" s="22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</row>
    <row r="277" spans="1:99" x14ac:dyDescent="0.2">
      <c r="A277" s="9"/>
      <c r="B277" s="9" t="s">
        <v>3</v>
      </c>
      <c r="C277" s="9">
        <f>+C275+C276</f>
        <v>4653.6318182679988</v>
      </c>
      <c r="D277" s="22">
        <f>IF(C277=0,0,(C275*D275+C276*D276)/C277)</f>
        <v>2.0234124971843719</v>
      </c>
      <c r="E277" s="35">
        <f>+IF(C277=0,0,(C275*E275+C276*E276)/C277)</f>
        <v>162.78663085545506</v>
      </c>
      <c r="F277" s="22">
        <f>+IF(C277=0,0,(C275*F275+C276*F276)/C277)</f>
        <v>4.785283269831953</v>
      </c>
      <c r="G277" s="9">
        <f>+E277+F277*$B$321</f>
        <v>521.68287609285153</v>
      </c>
      <c r="H277" s="22">
        <f t="shared" si="6"/>
        <v>7.8052953244209022E-2</v>
      </c>
      <c r="I277" s="9"/>
      <c r="J277" s="9"/>
      <c r="K277" s="22"/>
      <c r="L277" s="9"/>
      <c r="M277" s="22"/>
      <c r="N277" s="9"/>
      <c r="O277" s="22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</row>
    <row r="278" spans="1:99" x14ac:dyDescent="0.2">
      <c r="A278" s="9"/>
      <c r="B278" s="9" t="s">
        <v>2</v>
      </c>
      <c r="C278" s="9">
        <f>IFERROR(VLOOKUP(A275,'Reporte Total'!$A$2:$V$157,13,FALSE),0)</f>
        <v>13549.780706654272</v>
      </c>
      <c r="D278" s="22">
        <f>IFERROR(VLOOKUP(A275,'Reporte Total'!$A$2:$V$157,17,FALSE),0)</f>
        <v>2.0569385871452437</v>
      </c>
      <c r="E278" s="9">
        <f>IFERROR(VLOOKUP(A275,'Reporte Total'!$A$2:$V$157,14,FALSE),0)</f>
        <v>171.18062772272958</v>
      </c>
      <c r="F278" s="22">
        <f>IFERROR(VLOOKUP(A275,'Reporte Total'!$A$2:$V$157,15,FALSE),0)</f>
        <v>4.1125210577729128</v>
      </c>
      <c r="G278" s="9">
        <f>+E278+F278*$B$321</f>
        <v>479.61970705569803</v>
      </c>
      <c r="H278" s="22">
        <f t="shared" si="6"/>
        <v>0.20893924648976708</v>
      </c>
      <c r="I278" s="9"/>
      <c r="J278" s="9"/>
      <c r="K278" s="22"/>
      <c r="L278" s="9"/>
      <c r="M278" s="22"/>
      <c r="N278" s="9"/>
      <c r="O278" s="22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</row>
    <row r="279" spans="1:99" x14ac:dyDescent="0.2">
      <c r="A279" s="9" t="s">
        <v>109</v>
      </c>
      <c r="B279" s="9" t="s">
        <v>0</v>
      </c>
      <c r="C279" s="9">
        <f>IFERROR(VLOOKUP(A279,'Reporte Total'!$A$2:$V$157,3,FALSE),0)</f>
        <v>0</v>
      </c>
      <c r="D279" s="22">
        <f>IFERROR(VLOOKUP(A279,'Reporte Total'!$A$2:$V$157,7,FALSE),0)</f>
        <v>0</v>
      </c>
      <c r="E279" s="9">
        <f>IFERROR(VLOOKUP(A279,'Reporte Total'!$A$2:$V$157,4,FALSE),0)</f>
        <v>0</v>
      </c>
      <c r="F279" s="22">
        <f>IFERROR(VLOOKUP(A279,'Reporte Total'!$A$2:$V$157,5,FALSE),0)</f>
        <v>0</v>
      </c>
      <c r="G279" s="9">
        <f>+E279+F279*$B$321</f>
        <v>0</v>
      </c>
      <c r="H279" s="22">
        <f t="shared" si="6"/>
        <v>0</v>
      </c>
      <c r="I279" s="9"/>
      <c r="J279" s="9"/>
      <c r="K279" s="22"/>
      <c r="L279" s="9"/>
      <c r="M279" s="22"/>
      <c r="N279" s="9"/>
      <c r="O279" s="22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</row>
    <row r="280" spans="1:99" x14ac:dyDescent="0.2">
      <c r="A280" s="9"/>
      <c r="B280" s="9" t="s">
        <v>1</v>
      </c>
      <c r="C280" s="9">
        <f>IFERROR(VLOOKUP(A279,'Reporte Total'!$A$2:$V$157,8,FALSE),0)</f>
        <v>0</v>
      </c>
      <c r="D280" s="22">
        <f>IFERROR(VLOOKUP(A279,'Reporte Total'!$A$2:$V$157,12,FALSE),0)</f>
        <v>0</v>
      </c>
      <c r="E280" s="9">
        <f>IFERROR(VLOOKUP(A279,'Reporte Total'!$A$2:$V$157,9,FALSE),0)</f>
        <v>0</v>
      </c>
      <c r="F280" s="22">
        <f>IFERROR(VLOOKUP(A279,'Reporte Total'!$A$2:$V$157,10,FALSE),0)</f>
        <v>0</v>
      </c>
      <c r="G280" s="9">
        <f>+E280+F280*$B$321</f>
        <v>0</v>
      </c>
      <c r="H280" s="22">
        <f t="shared" si="6"/>
        <v>0</v>
      </c>
      <c r="I280" s="9"/>
      <c r="J280" s="9"/>
      <c r="K280" s="22"/>
      <c r="L280" s="9"/>
      <c r="M280" s="22"/>
      <c r="N280" s="9"/>
      <c r="O280" s="22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</row>
    <row r="281" spans="1:99" x14ac:dyDescent="0.2">
      <c r="A281" s="9"/>
      <c r="B281" s="9" t="s">
        <v>3</v>
      </c>
      <c r="C281" s="9">
        <f>+C279+C280</f>
        <v>0</v>
      </c>
      <c r="D281" s="22">
        <f>IF(C281=0,0,(C279*D279+C280*D280)/C281)</f>
        <v>0</v>
      </c>
      <c r="E281" s="35">
        <f>+IF(C281=0,0,(C279*E279+C280*E280)/C281)</f>
        <v>0</v>
      </c>
      <c r="F281" s="22">
        <f>+IF(C281=0,0,(C279*F279+C280*F280)/C281)</f>
        <v>0</v>
      </c>
      <c r="G281" s="9">
        <f>+E281+F281*$B$321</f>
        <v>0</v>
      </c>
      <c r="H281" s="22">
        <f t="shared" si="6"/>
        <v>0</v>
      </c>
      <c r="I281" s="9"/>
      <c r="J281" s="9"/>
      <c r="K281" s="22"/>
      <c r="L281" s="9"/>
      <c r="M281" s="22"/>
      <c r="N281" s="9"/>
      <c r="O281" s="22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</row>
    <row r="282" spans="1:99" x14ac:dyDescent="0.2">
      <c r="A282" s="9"/>
      <c r="B282" s="9" t="s">
        <v>2</v>
      </c>
      <c r="C282" s="9">
        <f>IFERROR(VLOOKUP(A279,'Reporte Total'!$A$2:$V$157,13,FALSE),0)</f>
        <v>17359.80395625798</v>
      </c>
      <c r="D282" s="22">
        <f>IFERROR(VLOOKUP(A279,'Reporte Total'!$A$2:$V$157,17,FALSE),0)</f>
        <v>1.2496635444940458</v>
      </c>
      <c r="E282" s="9">
        <f>IFERROR(VLOOKUP(A279,'Reporte Total'!$A$2:$V$157,14,FALSE),0)</f>
        <v>91.894150859562629</v>
      </c>
      <c r="F282" s="22">
        <f>IFERROR(VLOOKUP(A279,'Reporte Total'!$A$2:$V$157,15,FALSE),0)</f>
        <v>2.6025647906430738</v>
      </c>
      <c r="G282" s="9">
        <f>+E282+F282*$B$321</f>
        <v>287.08651015779316</v>
      </c>
      <c r="H282" s="22">
        <f t="shared" si="6"/>
        <v>0.16023166315127088</v>
      </c>
      <c r="I282" s="9"/>
      <c r="J282" s="9"/>
      <c r="K282" s="22"/>
      <c r="L282" s="9"/>
      <c r="M282" s="22"/>
      <c r="N282" s="9"/>
      <c r="O282" s="22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</row>
    <row r="283" spans="1:99" x14ac:dyDescent="0.2">
      <c r="A283" s="9" t="s">
        <v>84</v>
      </c>
      <c r="B283" s="9" t="s">
        <v>0</v>
      </c>
      <c r="C283" s="9">
        <f>IFERROR(VLOOKUP(A283,'Reporte Total'!$A$2:$V$157,3,FALSE),0)</f>
        <v>12202.940565366616</v>
      </c>
      <c r="D283" s="22">
        <f>IFERROR(VLOOKUP(A283,'Reporte Total'!$A$2:$V$157,7,FALSE),0)</f>
        <v>1.0348090851130602</v>
      </c>
      <c r="E283" s="9">
        <f>IFERROR(VLOOKUP(A283,'Reporte Total'!$A$2:$V$157,4,FALSE),0)</f>
        <v>160.91721016680955</v>
      </c>
      <c r="F283" s="22">
        <f>IFERROR(VLOOKUP(A283,'Reporte Total'!$A$2:$V$157,5,FALSE),0)</f>
        <v>5.9221703284982503</v>
      </c>
      <c r="G283" s="9">
        <f>+E283+F283*$B$321</f>
        <v>605.07998480417837</v>
      </c>
      <c r="H283" s="22">
        <f t="shared" ref="H283:H302" si="7">+C283*G283/31.1035/1000000</f>
        <v>0.23739306161230486</v>
      </c>
      <c r="I283" s="9"/>
      <c r="J283" s="9"/>
      <c r="K283" s="22"/>
      <c r="L283" s="9"/>
      <c r="M283" s="22"/>
      <c r="N283" s="9"/>
      <c r="O283" s="22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</row>
    <row r="284" spans="1:99" x14ac:dyDescent="0.2">
      <c r="A284" s="9"/>
      <c r="B284" s="9" t="s">
        <v>1</v>
      </c>
      <c r="C284" s="9">
        <f>IFERROR(VLOOKUP(A283,'Reporte Total'!$A$2:$V$157,8,FALSE),0)</f>
        <v>1164.2901292028141</v>
      </c>
      <c r="D284" s="22">
        <f>IFERROR(VLOOKUP(A283,'Reporte Total'!$A$2:$V$157,12,FALSE),0)</f>
        <v>0.93562904511843836</v>
      </c>
      <c r="E284" s="9">
        <f>IFERROR(VLOOKUP(A283,'Reporte Total'!$A$2:$V$157,9,FALSE),0)</f>
        <v>164.04708254853813</v>
      </c>
      <c r="F284" s="22">
        <f>IFERROR(VLOOKUP(A283,'Reporte Total'!$A$2:$V$157,10,FALSE),0)</f>
        <v>5.2815178305554458</v>
      </c>
      <c r="G284" s="9">
        <f>+E284+F284*$B$321</f>
        <v>560.16091984019658</v>
      </c>
      <c r="H284" s="22">
        <f t="shared" si="7"/>
        <v>2.0968374290195949E-2</v>
      </c>
      <c r="I284" s="9"/>
      <c r="J284" s="9"/>
      <c r="K284" s="22"/>
      <c r="L284" s="9"/>
      <c r="M284" s="22"/>
      <c r="N284" s="9"/>
      <c r="O284" s="22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</row>
    <row r="285" spans="1:99" x14ac:dyDescent="0.2">
      <c r="A285" s="9"/>
      <c r="B285" s="9" t="s">
        <v>3</v>
      </c>
      <c r="C285" s="9">
        <f>+C283+C284</f>
        <v>13367.230694569431</v>
      </c>
      <c r="D285" s="22">
        <f>IF(C285=0,0,(C283*D283+C284*D284)/C285)</f>
        <v>1.0261704714601521</v>
      </c>
      <c r="E285" s="35">
        <f>+IF(C285=0,0,(C283*E283+C284*E284)/C285)</f>
        <v>161.18982306644264</v>
      </c>
      <c r="F285" s="22">
        <f>+IF(C285=0,0,(C283*F283+C284*F284)/C285)</f>
        <v>5.8663692881296594</v>
      </c>
      <c r="G285" s="9">
        <f>+E285+F285*$B$321</f>
        <v>601.1675196761671</v>
      </c>
      <c r="H285" s="22">
        <f t="shared" si="7"/>
        <v>0.25836143590250077</v>
      </c>
      <c r="I285" s="9"/>
      <c r="J285" s="9"/>
      <c r="K285" s="22"/>
      <c r="L285" s="9"/>
      <c r="M285" s="22"/>
      <c r="N285" s="9"/>
      <c r="O285" s="22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</row>
    <row r="286" spans="1:99" x14ac:dyDescent="0.2">
      <c r="A286" s="9"/>
      <c r="B286" s="9" t="s">
        <v>2</v>
      </c>
      <c r="C286" s="9">
        <f>IFERROR(VLOOKUP(A283,'Reporte Total'!$A$2:$V$157,13,FALSE),0)</f>
        <v>0</v>
      </c>
      <c r="D286" s="22">
        <f>IFERROR(VLOOKUP(A283,'Reporte Total'!$A$2:$V$157,17,FALSE),0)</f>
        <v>0</v>
      </c>
      <c r="E286" s="9">
        <f>IFERROR(VLOOKUP(A283,'Reporte Total'!$A$2:$V$157,14,FALSE),0)</f>
        <v>0</v>
      </c>
      <c r="F286" s="22">
        <f>IFERROR(VLOOKUP(A283,'Reporte Total'!$A$2:$V$157,15,FALSE),0)</f>
        <v>0</v>
      </c>
      <c r="G286" s="9">
        <f>+E286+F286*$B$321</f>
        <v>0</v>
      </c>
      <c r="H286" s="22">
        <f t="shared" si="7"/>
        <v>0</v>
      </c>
      <c r="I286" s="9"/>
      <c r="J286" s="9"/>
      <c r="K286" s="22"/>
      <c r="L286" s="9"/>
      <c r="M286" s="22"/>
      <c r="N286" s="9"/>
      <c r="O286" s="22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</row>
    <row r="287" spans="1:99" x14ac:dyDescent="0.2">
      <c r="A287" s="9" t="s">
        <v>77</v>
      </c>
      <c r="B287" s="9" t="s">
        <v>0</v>
      </c>
      <c r="C287" s="9">
        <f>IFERROR(VLOOKUP(A287,'Reporte Total'!$A$2:$V$157,3,FALSE),0)</f>
        <v>0</v>
      </c>
      <c r="D287" s="22">
        <f>IFERROR(VLOOKUP(A287,'Reporte Total'!$A$2:$V$157,7,FALSE),0)</f>
        <v>0</v>
      </c>
      <c r="E287" s="9">
        <f>IFERROR(VLOOKUP(A287,'Reporte Total'!$A$2:$V$157,4,FALSE),0)</f>
        <v>0</v>
      </c>
      <c r="F287" s="22">
        <f>IFERROR(VLOOKUP(A287,'Reporte Total'!$A$2:$V$157,5,FALSE),0)</f>
        <v>0</v>
      </c>
      <c r="G287" s="9">
        <f>+E287+F287*$B$321</f>
        <v>0</v>
      </c>
      <c r="H287" s="22">
        <f t="shared" si="7"/>
        <v>0</v>
      </c>
      <c r="I287" s="9"/>
      <c r="J287" s="9"/>
      <c r="K287" s="22"/>
      <c r="L287" s="9"/>
      <c r="M287" s="22"/>
      <c r="N287" s="9"/>
      <c r="O287" s="22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</row>
    <row r="288" spans="1:99" x14ac:dyDescent="0.2">
      <c r="A288" s="9"/>
      <c r="B288" s="9" t="s">
        <v>1</v>
      </c>
      <c r="C288" s="9">
        <f>IFERROR(VLOOKUP(A287,'Reporte Total'!$A$2:$V$157,8,FALSE),0)</f>
        <v>0</v>
      </c>
      <c r="D288" s="22">
        <f>IFERROR(VLOOKUP(A287,'Reporte Total'!$A$2:$V$157,12,FALSE),0)</f>
        <v>0</v>
      </c>
      <c r="E288" s="9">
        <f>IFERROR(VLOOKUP(A287,'Reporte Total'!$A$2:$V$157,9,FALSE),0)</f>
        <v>0</v>
      </c>
      <c r="F288" s="22">
        <f>IFERROR(VLOOKUP(A287,'Reporte Total'!$A$2:$V$157,10,FALSE),0)</f>
        <v>0</v>
      </c>
      <c r="G288" s="9">
        <f>+E288+F288*$B$321</f>
        <v>0</v>
      </c>
      <c r="H288" s="22">
        <f t="shared" si="7"/>
        <v>0</v>
      </c>
      <c r="I288" s="9"/>
      <c r="J288" s="9"/>
      <c r="K288" s="22"/>
      <c r="L288" s="9"/>
      <c r="M288" s="22"/>
      <c r="N288" s="9"/>
      <c r="O288" s="22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</row>
    <row r="289" spans="1:99" x14ac:dyDescent="0.2">
      <c r="A289" s="9"/>
      <c r="B289" s="9" t="s">
        <v>3</v>
      </c>
      <c r="C289" s="9">
        <f>+C287+C288</f>
        <v>0</v>
      </c>
      <c r="D289" s="22">
        <f>IF(C289=0,0,(C287*D287+C288*D288)/C289)</f>
        <v>0</v>
      </c>
      <c r="E289" s="35">
        <f>+IF(C289=0,0,(C287*E287+C288*E288)/C289)</f>
        <v>0</v>
      </c>
      <c r="F289" s="22">
        <f>+IF(C289=0,0,(C287*F287+C288*F288)/C289)</f>
        <v>0</v>
      </c>
      <c r="G289" s="9">
        <f>+E289+F289*$B$321</f>
        <v>0</v>
      </c>
      <c r="H289" s="22">
        <f t="shared" si="7"/>
        <v>0</v>
      </c>
      <c r="I289" s="9"/>
      <c r="J289" s="9"/>
      <c r="K289" s="22"/>
      <c r="L289" s="9"/>
      <c r="M289" s="22"/>
      <c r="N289" s="9"/>
      <c r="O289" s="22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</row>
    <row r="290" spans="1:99" x14ac:dyDescent="0.2">
      <c r="A290" s="9"/>
      <c r="B290" s="9" t="s">
        <v>2</v>
      </c>
      <c r="C290" s="9">
        <f>IFERROR(VLOOKUP(A287,'Reporte Total'!$A$2:$V$157,13,FALSE),0)</f>
        <v>12635.620591246505</v>
      </c>
      <c r="D290" s="22">
        <f>IFERROR(VLOOKUP(A287,'Reporte Total'!$A$2:$V$157,17,FALSE),0)</f>
        <v>1.0971692876074606</v>
      </c>
      <c r="E290" s="9">
        <f>IFERROR(VLOOKUP(A287,'Reporte Total'!$A$2:$V$157,14,FALSE),0)</f>
        <v>107.75530238151281</v>
      </c>
      <c r="F290" s="22">
        <f>IFERROR(VLOOKUP(A287,'Reporte Total'!$A$2:$V$157,15,FALSE),0)</f>
        <v>0.91597582736018512</v>
      </c>
      <c r="G290" s="9">
        <f>+E290+F290*$B$321</f>
        <v>176.45348943352667</v>
      </c>
      <c r="H290" s="22">
        <f t="shared" si="7"/>
        <v>7.1683230005741061E-2</v>
      </c>
      <c r="I290" s="9"/>
      <c r="J290" s="9"/>
      <c r="K290" s="22"/>
      <c r="L290" s="9"/>
      <c r="M290" s="22"/>
      <c r="N290" s="9"/>
      <c r="O290" s="22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</row>
    <row r="291" spans="1:99" x14ac:dyDescent="0.2">
      <c r="A291" s="9" t="s">
        <v>104</v>
      </c>
      <c r="B291" s="9" t="s">
        <v>0</v>
      </c>
      <c r="C291" s="9">
        <f>IFERROR(VLOOKUP(A291,'Reporte Total'!$A$2:$V$157,3,FALSE),0)</f>
        <v>0</v>
      </c>
      <c r="D291" s="22">
        <f>IFERROR(VLOOKUP(A291,'Reporte Total'!$A$2:$V$157,7,FALSE),0)</f>
        <v>0</v>
      </c>
      <c r="E291" s="9">
        <f>IFERROR(VLOOKUP(A291,'Reporte Total'!$A$2:$V$157,4,FALSE),0)</f>
        <v>0</v>
      </c>
      <c r="F291" s="22">
        <f>IFERROR(VLOOKUP(A291,'Reporte Total'!$A$2:$V$157,5,FALSE),0)</f>
        <v>0</v>
      </c>
      <c r="G291" s="9">
        <f>+E291+F291*$B$321</f>
        <v>0</v>
      </c>
      <c r="H291" s="22">
        <f t="shared" si="7"/>
        <v>0</v>
      </c>
      <c r="I291" s="9"/>
      <c r="J291" s="9"/>
      <c r="K291" s="22"/>
      <c r="L291" s="9"/>
      <c r="M291" s="22"/>
      <c r="N291" s="9"/>
      <c r="O291" s="22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</row>
    <row r="292" spans="1:99" x14ac:dyDescent="0.2">
      <c r="A292" s="9"/>
      <c r="B292" s="9" t="s">
        <v>1</v>
      </c>
      <c r="C292" s="9">
        <f>IFERROR(VLOOKUP(A291,'Reporte Total'!$A$2:$V$157,8,FALSE),0)</f>
        <v>0</v>
      </c>
      <c r="D292" s="22">
        <f>IFERROR(VLOOKUP(A291,'Reporte Total'!$A$2:$V$157,12,FALSE),0)</f>
        <v>0</v>
      </c>
      <c r="E292" s="9">
        <f>IFERROR(VLOOKUP(A291,'Reporte Total'!$A$2:$V$157,9,FALSE),0)</f>
        <v>0</v>
      </c>
      <c r="F292" s="22">
        <f>IFERROR(VLOOKUP(A291,'Reporte Total'!$A$2:$V$157,10,FALSE),0)</f>
        <v>0</v>
      </c>
      <c r="G292" s="9">
        <f>+E292+F292*$B$321</f>
        <v>0</v>
      </c>
      <c r="H292" s="22">
        <f t="shared" si="7"/>
        <v>0</v>
      </c>
      <c r="I292" s="9"/>
      <c r="J292" s="9"/>
      <c r="K292" s="22"/>
      <c r="L292" s="9"/>
      <c r="M292" s="22"/>
      <c r="N292" s="9"/>
      <c r="O292" s="22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</row>
    <row r="293" spans="1:99" x14ac:dyDescent="0.2">
      <c r="A293" s="9"/>
      <c r="B293" s="9" t="s">
        <v>3</v>
      </c>
      <c r="C293" s="9">
        <f>+C291+C292</f>
        <v>0</v>
      </c>
      <c r="D293" s="22">
        <f>IF(C293=0,0,(C291*D291+C292*D292)/C293)</f>
        <v>0</v>
      </c>
      <c r="E293" s="35">
        <f>+IF(C293=0,0,(C291*E291+C292*E292)/C293)</f>
        <v>0</v>
      </c>
      <c r="F293" s="22">
        <f>+IF(C293=0,0,(C291*F291+C292*F292)/C293)</f>
        <v>0</v>
      </c>
      <c r="G293" s="9">
        <f>+E293+F293*$B$321</f>
        <v>0</v>
      </c>
      <c r="H293" s="22">
        <f t="shared" si="7"/>
        <v>0</v>
      </c>
      <c r="I293" s="9"/>
      <c r="J293" s="9"/>
      <c r="K293" s="22"/>
      <c r="L293" s="9"/>
      <c r="M293" s="22"/>
      <c r="N293" s="9"/>
      <c r="O293" s="22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</row>
    <row r="294" spans="1:99" x14ac:dyDescent="0.2">
      <c r="A294" s="9"/>
      <c r="B294" s="9" t="s">
        <v>2</v>
      </c>
      <c r="C294" s="9">
        <f>IFERROR(VLOOKUP(A291,'Reporte Total'!$A$2:$V$157,13,FALSE),0)</f>
        <v>3542.9709536030132</v>
      </c>
      <c r="D294" s="22">
        <f>IFERROR(VLOOKUP(A291,'Reporte Total'!$A$2:$V$157,17,FALSE),0)</f>
        <v>1.1414644935880576</v>
      </c>
      <c r="E294" s="9">
        <f>IFERROR(VLOOKUP(A291,'Reporte Total'!$A$2:$V$157,14,FALSE),0)</f>
        <v>126.0376972566342</v>
      </c>
      <c r="F294" s="22">
        <f>IFERROR(VLOOKUP(A291,'Reporte Total'!$A$2:$V$157,15,FALSE),0)</f>
        <v>2.6764514587949324</v>
      </c>
      <c r="G294" s="9">
        <f>+E294+F294*$B$321</f>
        <v>326.77155666625413</v>
      </c>
      <c r="H294" s="22">
        <f t="shared" si="7"/>
        <v>3.7222246169472228E-2</v>
      </c>
      <c r="I294" s="9"/>
      <c r="J294" s="9"/>
      <c r="K294" s="22"/>
      <c r="L294" s="9"/>
      <c r="M294" s="22"/>
      <c r="N294" s="9"/>
      <c r="O294" s="22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</row>
    <row r="295" spans="1:99" x14ac:dyDescent="0.2">
      <c r="A295" s="121" t="s">
        <v>132</v>
      </c>
      <c r="B295" s="9" t="s">
        <v>0</v>
      </c>
      <c r="C295" s="9">
        <f>IFERROR(VLOOKUP(A295,'Reporte Total'!$A$2:$V$157,3,FALSE),0)</f>
        <v>0</v>
      </c>
      <c r="D295" s="22">
        <f>IFERROR(VLOOKUP(A295,'Reporte Total'!$A$2:$V$157,7,FALSE),0)</f>
        <v>0</v>
      </c>
      <c r="E295" s="9">
        <f>IFERROR(VLOOKUP(A295,'Reporte Total'!$A$2:$V$157,4,FALSE),0)</f>
        <v>0</v>
      </c>
      <c r="F295" s="22">
        <f>IFERROR(VLOOKUP(A295,'Reporte Total'!$A$2:$V$157,5,FALSE),0)</f>
        <v>0</v>
      </c>
      <c r="G295" s="9">
        <f>+E295+F295*$B$321</f>
        <v>0</v>
      </c>
      <c r="H295" s="22">
        <f t="shared" ref="H295:H298" si="8">+C295*G295/31.1035/1000000</f>
        <v>0</v>
      </c>
      <c r="I295" s="9"/>
      <c r="J295" s="9"/>
      <c r="K295" s="22"/>
      <c r="L295" s="9"/>
      <c r="M295" s="22"/>
      <c r="N295" s="9"/>
      <c r="O295" s="22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</row>
    <row r="296" spans="1:99" x14ac:dyDescent="0.2">
      <c r="A296" s="9"/>
      <c r="B296" s="9" t="s">
        <v>1</v>
      </c>
      <c r="C296" s="9">
        <f>IFERROR(VLOOKUP(A295,'Reporte Total'!$A$2:$V$157,8,FALSE),0)</f>
        <v>0</v>
      </c>
      <c r="D296" s="22">
        <f>IFERROR(VLOOKUP(A295,'Reporte Total'!$A$2:$V$157,12,FALSE),0)</f>
        <v>0</v>
      </c>
      <c r="E296" s="9">
        <f>IFERROR(VLOOKUP(A295,'Reporte Total'!$A$2:$V$157,9,FALSE),0)</f>
        <v>0</v>
      </c>
      <c r="F296" s="22">
        <f>IFERROR(VLOOKUP(A295,'Reporte Total'!$A$2:$V$157,10,FALSE),0)</f>
        <v>0</v>
      </c>
      <c r="G296" s="9">
        <f>+E296+F296*$B$321</f>
        <v>0</v>
      </c>
      <c r="H296" s="22">
        <f t="shared" si="8"/>
        <v>0</v>
      </c>
      <c r="I296" s="9"/>
      <c r="J296" s="9"/>
      <c r="K296" s="22"/>
      <c r="L296" s="9"/>
      <c r="M296" s="22"/>
      <c r="N296" s="9"/>
      <c r="O296" s="22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</row>
    <row r="297" spans="1:99" x14ac:dyDescent="0.2">
      <c r="A297" s="9"/>
      <c r="B297" s="9" t="s">
        <v>3</v>
      </c>
      <c r="C297" s="9">
        <f>+C295+C296</f>
        <v>0</v>
      </c>
      <c r="D297" s="22">
        <f>IF(C297=0,0,(C295*D295+C296*D296)/C297)</f>
        <v>0</v>
      </c>
      <c r="E297" s="35">
        <f>+IF(C297=0,0,(C295*E295+C296*E296)/C297)</f>
        <v>0</v>
      </c>
      <c r="F297" s="22">
        <f>+IF(C297=0,0,(C295*F295+C296*F296)/C297)</f>
        <v>0</v>
      </c>
      <c r="G297" s="9">
        <f>+E297+F297*$B$321</f>
        <v>0</v>
      </c>
      <c r="H297" s="22">
        <f t="shared" si="8"/>
        <v>0</v>
      </c>
      <c r="I297" s="9"/>
      <c r="J297" s="9"/>
      <c r="K297" s="22"/>
      <c r="L297" s="9"/>
      <c r="M297" s="22"/>
      <c r="N297" s="9"/>
      <c r="O297" s="22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</row>
    <row r="298" spans="1:99" x14ac:dyDescent="0.2">
      <c r="A298" s="9"/>
      <c r="B298" s="9" t="s">
        <v>2</v>
      </c>
      <c r="C298" s="9">
        <f>IFERROR(VLOOKUP(A295,'Reporte Total'!$A$2:$V$157,13,FALSE),0)</f>
        <v>10720.374504012507</v>
      </c>
      <c r="D298" s="22">
        <f>IFERROR(VLOOKUP(A295,'Reporte Total'!$A$2:$V$157,17,FALSE),0)</f>
        <v>1.6372718058098781</v>
      </c>
      <c r="E298" s="9">
        <f>IFERROR(VLOOKUP(A295,'Reporte Total'!$A$2:$V$157,14,FALSE),0)</f>
        <v>68.38733943904586</v>
      </c>
      <c r="F298" s="22">
        <f>IFERROR(VLOOKUP(A295,'Reporte Total'!$A$2:$V$157,15,FALSE),0)</f>
        <v>2.2603530414487611</v>
      </c>
      <c r="G298" s="9">
        <f>+E298+F298*$B$321</f>
        <v>237.91381754770293</v>
      </c>
      <c r="H298" s="22">
        <f t="shared" si="8"/>
        <v>8.2001228922490316E-2</v>
      </c>
      <c r="I298" s="9"/>
      <c r="J298" s="9"/>
      <c r="K298" s="22"/>
      <c r="L298" s="9"/>
      <c r="M298" s="22"/>
      <c r="N298" s="9"/>
      <c r="O298" s="22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</row>
    <row r="299" spans="1:99" x14ac:dyDescent="0.2">
      <c r="A299" s="9" t="s">
        <v>53</v>
      </c>
      <c r="B299" s="9" t="s">
        <v>0</v>
      </c>
      <c r="C299" s="9">
        <f>IFERROR(VLOOKUP(A299,'Reporte Total'!$A$2:$V$157,3,FALSE),0)</f>
        <v>0</v>
      </c>
      <c r="D299" s="22">
        <f>IFERROR(VLOOKUP(A299,'Reporte Total'!$A$2:$V$157,7,FALSE),0)</f>
        <v>0</v>
      </c>
      <c r="E299" s="9">
        <f>IFERROR(VLOOKUP(A299,'Reporte Total'!$A$2:$V$157,4,FALSE),0)</f>
        <v>0</v>
      </c>
      <c r="F299" s="22">
        <f>IFERROR(VLOOKUP(A299,'Reporte Total'!$A$2:$V$157,5,FALSE),0)</f>
        <v>0</v>
      </c>
      <c r="G299" s="9">
        <f>+E299+F299*$B$321</f>
        <v>0</v>
      </c>
      <c r="H299" s="22">
        <f t="shared" si="7"/>
        <v>0</v>
      </c>
      <c r="I299" s="9"/>
      <c r="J299" s="9"/>
      <c r="K299" s="22"/>
      <c r="L299" s="9"/>
      <c r="M299" s="22"/>
      <c r="N299" s="9"/>
      <c r="O299" s="22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</row>
    <row r="300" spans="1:99" x14ac:dyDescent="0.2">
      <c r="A300" s="9"/>
      <c r="B300" s="9" t="s">
        <v>1</v>
      </c>
      <c r="C300" s="9">
        <f>IFERROR(VLOOKUP(A299,'Reporte Total'!$A$2:$V$157,8,FALSE),0)</f>
        <v>1821.1618324120764</v>
      </c>
      <c r="D300" s="22">
        <f>IFERROR(VLOOKUP(A299,'Reporte Total'!$A$2:$V$157,12,FALSE),0)</f>
        <v>1.1327509514200496</v>
      </c>
      <c r="E300" s="9">
        <f>IFERROR(VLOOKUP(A299,'Reporte Total'!$A$2:$V$157,9,FALSE),0)</f>
        <v>53.907097008232689</v>
      </c>
      <c r="F300" s="22">
        <f>IFERROR(VLOOKUP(A299,'Reporte Total'!$A$2:$V$157,10,FALSE),0)</f>
        <v>1.2680657214395916</v>
      </c>
      <c r="G300" s="9">
        <f>+E300+F300*$B$321</f>
        <v>149.01202611620207</v>
      </c>
      <c r="H300" s="22">
        <f t="shared" si="7"/>
        <v>8.724902809433624E-3</v>
      </c>
      <c r="I300" s="9"/>
      <c r="J300" s="9"/>
      <c r="K300" s="22"/>
      <c r="L300" s="9"/>
      <c r="M300" s="22"/>
      <c r="N300" s="9"/>
      <c r="O300" s="22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</row>
    <row r="301" spans="1:99" x14ac:dyDescent="0.2">
      <c r="A301" s="9"/>
      <c r="B301" s="9" t="s">
        <v>3</v>
      </c>
      <c r="C301" s="9">
        <f>+C299+C300</f>
        <v>1821.1618324120764</v>
      </c>
      <c r="D301" s="22">
        <f>IF(C301=0,0,(C299*D299+C300*D300)/C301)</f>
        <v>1.1327509514200496</v>
      </c>
      <c r="E301" s="35">
        <f>+IF(C301=0,0,(C299*E299+C300*E300)/C301)</f>
        <v>53.907097008232689</v>
      </c>
      <c r="F301" s="22">
        <f>+IF(C301=0,0,(C299*F299+C300*F300)/C301)</f>
        <v>1.2680657214395916</v>
      </c>
      <c r="G301" s="9">
        <f>+E301+F301*$B$321</f>
        <v>149.01202611620207</v>
      </c>
      <c r="H301" s="22">
        <f t="shared" si="7"/>
        <v>8.724902809433624E-3</v>
      </c>
      <c r="I301" s="9"/>
      <c r="J301" s="9"/>
      <c r="K301" s="22"/>
      <c r="L301" s="9"/>
      <c r="M301" s="22"/>
      <c r="N301" s="9"/>
      <c r="O301" s="22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</row>
    <row r="302" spans="1:99" x14ac:dyDescent="0.2">
      <c r="A302" s="9"/>
      <c r="B302" s="9" t="s">
        <v>2</v>
      </c>
      <c r="C302" s="9">
        <f>IFERROR(VLOOKUP(A299,'Reporte Total'!$A$2:$V$157,13,FALSE),0)</f>
        <v>1224.6939308093399</v>
      </c>
      <c r="D302" s="22">
        <f>IFERROR(VLOOKUP(A299,'Reporte Total'!$A$2:$V$157,17,FALSE),0)</f>
        <v>0.83964007342374858</v>
      </c>
      <c r="E302" s="9">
        <f>IFERROR(VLOOKUP(A299,'Reporte Total'!$A$2:$V$157,14,FALSE),0)</f>
        <v>90.085134425449738</v>
      </c>
      <c r="F302" s="22">
        <f>IFERROR(VLOOKUP(A299,'Reporte Total'!$A$2:$V$157,15,FALSE),0)</f>
        <v>1.3691504187170316</v>
      </c>
      <c r="G302" s="9">
        <f>+E302+F302*$B$321</f>
        <v>192.77141582922712</v>
      </c>
      <c r="H302" s="22">
        <f t="shared" si="7"/>
        <v>7.590334946214348E-3</v>
      </c>
      <c r="I302" s="9"/>
      <c r="J302" s="9"/>
      <c r="K302" s="22"/>
      <c r="L302" s="9"/>
      <c r="M302" s="22"/>
      <c r="N302" s="9"/>
      <c r="O302" s="22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</row>
    <row r="303" spans="1:99" x14ac:dyDescent="0.2">
      <c r="A303" s="17" t="s">
        <v>14</v>
      </c>
      <c r="B303" s="17" t="s">
        <v>15</v>
      </c>
      <c r="C303" s="17">
        <f>SUMIF(B7:B302,"Medido",C7:C302)</f>
        <v>2675417.4736863179</v>
      </c>
      <c r="D303" s="31">
        <f>+SUMPRODUCT((B7:B302="Medido")*C7:C302*D7:D302)/$C$303</f>
        <v>3.3614953771571359</v>
      </c>
      <c r="E303" s="17">
        <f>+SUMPRODUCT((B7:B302="Medido")*C7:C302*E7:E302)/$C$303</f>
        <v>182.45965331419521</v>
      </c>
      <c r="F303" s="31">
        <f>+SUMPRODUCT((B7:B302="Medido")*C7:C302*F7:F302)/$C$303</f>
        <v>4.3776598218598179</v>
      </c>
      <c r="G303" s="17">
        <f>+E303+F303*$B$321</f>
        <v>510.78413995368157</v>
      </c>
      <c r="H303" s="112">
        <f>+C303*G303/31.1035/1000000</f>
        <v>43.935917607790678</v>
      </c>
      <c r="I303" s="9"/>
      <c r="J303" s="9"/>
      <c r="K303" s="22"/>
      <c r="L303" s="9"/>
      <c r="M303" s="22"/>
      <c r="N303" s="9"/>
      <c r="O303" s="22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</row>
    <row r="304" spans="1:99" x14ac:dyDescent="0.2">
      <c r="A304" s="17"/>
      <c r="B304" s="17" t="s">
        <v>1</v>
      </c>
      <c r="C304" s="17">
        <f>SUMIF(B8:B303,"Indicado",C8:C303)</f>
        <v>5016233.1375865564</v>
      </c>
      <c r="D304" s="31">
        <f>+SUMPRODUCT((B8:B302="Indicado")*C8:C302*D8:D302)/$C$304</f>
        <v>2.9793746468659617</v>
      </c>
      <c r="E304" s="17">
        <f>+SUMPRODUCT((B8:B302="Indicado")*C8:C302*E8:E302)/$C$304</f>
        <v>130.54866129507658</v>
      </c>
      <c r="F304" s="31">
        <f>+SUMPRODUCT((B8:B302="Indicado")*C8:C302*F8:F302)/$C$304</f>
        <v>3.179043395263514</v>
      </c>
      <c r="G304" s="17">
        <f t="shared" ref="G304:G306" si="9">+E304+F304*$B$321</f>
        <v>368.97691593984013</v>
      </c>
      <c r="H304" s="112">
        <f t="shared" ref="H304:H306" si="10">+C304*G304/31.1035/1000000</f>
        <v>59.506944001219004</v>
      </c>
      <c r="I304" s="9"/>
      <c r="J304" s="9"/>
      <c r="K304" s="22"/>
      <c r="L304" s="9"/>
      <c r="M304" s="22"/>
      <c r="N304" s="9"/>
      <c r="O304" s="22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</row>
    <row r="305" spans="1:99" x14ac:dyDescent="0.2">
      <c r="A305" s="17"/>
      <c r="B305" s="17" t="s">
        <v>3</v>
      </c>
      <c r="C305" s="17">
        <f>SUMIF(B9:B304,"Total",C9:C304)</f>
        <v>7691650.6112728789</v>
      </c>
      <c r="D305" s="31">
        <f>+SUMPRODUCT((B9:B302="Total")*C9:C302*D9:D302)/$C$305</f>
        <v>3.1122892227543208</v>
      </c>
      <c r="E305" s="17">
        <f>+SUMPRODUCT((B9:B302="Total")*C9:C302*E9:E302)/$C$305</f>
        <v>148.60506844919155</v>
      </c>
      <c r="F305" s="31">
        <f>+SUMPRODUCT((B9:B302="Total")*C9:C302*F9:F302)/$C$305</f>
        <v>3.5959629219075495</v>
      </c>
      <c r="G305" s="17">
        <f t="shared" si="9"/>
        <v>418.30228759225776</v>
      </c>
      <c r="H305" s="112">
        <f t="shared" si="10"/>
        <v>103.44286160900968</v>
      </c>
      <c r="I305" s="9"/>
      <c r="J305" s="9"/>
      <c r="K305" s="22"/>
      <c r="L305" s="9"/>
      <c r="M305" s="22"/>
      <c r="N305" s="9"/>
      <c r="O305" s="22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</row>
    <row r="306" spans="1:99" x14ac:dyDescent="0.2">
      <c r="A306" s="17"/>
      <c r="B306" s="17" t="s">
        <v>16</v>
      </c>
      <c r="C306" s="17">
        <f>SUMIF(B10:B305,"Inferido",C10:C305)</f>
        <v>8530067.6580701042</v>
      </c>
      <c r="D306" s="31">
        <f>+SUMPRODUCT((B10:B302="Inferido")*C10:C302*D10:D302)/$C$306</f>
        <v>1.6493847404736628</v>
      </c>
      <c r="E306" s="17">
        <f>+SUMPRODUCT((B10:B302="Inferido")*C10:C302*E10:E302)/$C$306</f>
        <v>106.52697679277723</v>
      </c>
      <c r="F306" s="31">
        <f>+SUMPRODUCT((B10:B302="Inferido")*C10:C302*F10:F302)/$C$306</f>
        <v>2.7749258454355581</v>
      </c>
      <c r="G306" s="17">
        <f t="shared" si="9"/>
        <v>314.6464152004441</v>
      </c>
      <c r="H306" s="112">
        <f t="shared" si="10"/>
        <v>86.291099394891447</v>
      </c>
      <c r="I306" s="9"/>
      <c r="J306" s="9"/>
      <c r="K306" s="22"/>
      <c r="L306" s="9"/>
      <c r="M306" s="22"/>
      <c r="N306" s="9"/>
      <c r="O306" s="22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</row>
    <row r="307" spans="1:99" x14ac:dyDescent="0.2">
      <c r="A307" s="23" t="s">
        <v>17</v>
      </c>
      <c r="B307" s="23"/>
      <c r="C307" s="23"/>
      <c r="D307" s="23"/>
      <c r="E307" s="23"/>
      <c r="F307" s="23"/>
      <c r="G307" s="117"/>
      <c r="H307" s="114"/>
      <c r="I307" s="9"/>
      <c r="J307" s="9"/>
      <c r="K307" s="22"/>
      <c r="L307" s="9"/>
      <c r="M307" s="22"/>
      <c r="N307" s="9"/>
      <c r="O307" s="22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</row>
    <row r="308" spans="1:99" x14ac:dyDescent="0.2">
      <c r="A308" s="17"/>
      <c r="B308" s="17"/>
      <c r="C308" s="17"/>
      <c r="D308" s="18"/>
      <c r="E308" s="17"/>
      <c r="F308" s="18"/>
      <c r="G308" s="17"/>
      <c r="H308" s="112"/>
      <c r="I308" s="9"/>
      <c r="J308" s="9"/>
      <c r="K308" s="22"/>
      <c r="L308" s="9"/>
      <c r="M308" s="22"/>
      <c r="N308" s="9"/>
      <c r="O308" s="22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</row>
    <row r="309" spans="1:99" x14ac:dyDescent="0.2">
      <c r="A309" s="17"/>
      <c r="B309" s="17"/>
      <c r="C309" s="17"/>
      <c r="D309" s="18"/>
      <c r="E309" s="17"/>
      <c r="F309" s="18"/>
      <c r="G309" s="17"/>
      <c r="H309" s="112"/>
      <c r="I309" s="9"/>
      <c r="J309" s="9"/>
      <c r="K309" s="22"/>
      <c r="L309" s="9"/>
      <c r="M309" s="22"/>
      <c r="N309" s="9"/>
      <c r="O309" s="22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</row>
    <row r="310" spans="1:99" x14ac:dyDescent="0.2">
      <c r="A310" s="26" t="s">
        <v>6</v>
      </c>
      <c r="B310" s="26" t="s">
        <v>18</v>
      </c>
      <c r="C310" s="28" t="s">
        <v>19</v>
      </c>
      <c r="D310" s="28" t="s">
        <v>49</v>
      </c>
      <c r="E310" s="28" t="s">
        <v>8</v>
      </c>
      <c r="F310" s="28" t="s">
        <v>9</v>
      </c>
      <c r="G310" s="118" t="s">
        <v>10</v>
      </c>
      <c r="H310" s="115" t="s">
        <v>10</v>
      </c>
      <c r="I310" s="9"/>
      <c r="J310" s="9"/>
      <c r="K310" s="22"/>
      <c r="L310" s="9"/>
      <c r="M310" s="22"/>
      <c r="N310" s="9"/>
      <c r="O310" s="22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</row>
    <row r="311" spans="1:99" x14ac:dyDescent="0.2">
      <c r="A311" s="27"/>
      <c r="B311" s="27"/>
      <c r="C311" s="27" t="s">
        <v>11</v>
      </c>
      <c r="D311" s="27" t="s">
        <v>120</v>
      </c>
      <c r="E311" s="27" t="s">
        <v>12</v>
      </c>
      <c r="F311" s="27" t="s">
        <v>12</v>
      </c>
      <c r="G311" s="119" t="s">
        <v>12</v>
      </c>
      <c r="H311" s="116" t="s">
        <v>13</v>
      </c>
      <c r="I311" s="9"/>
      <c r="J311" s="9"/>
      <c r="K311" s="22"/>
      <c r="L311" s="9"/>
      <c r="M311" s="22"/>
      <c r="N311" s="9"/>
      <c r="O311" s="22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</row>
    <row r="312" spans="1:99" x14ac:dyDescent="0.2">
      <c r="A312" s="17" t="s">
        <v>20</v>
      </c>
      <c r="B312" s="17" t="s">
        <v>21</v>
      </c>
      <c r="C312" s="17">
        <f>C305</f>
        <v>7691650.6112728789</v>
      </c>
      <c r="D312" s="31">
        <f t="shared" ref="D312:H312" si="11">D305</f>
        <v>3.1122892227543208</v>
      </c>
      <c r="E312" s="17">
        <f t="shared" si="11"/>
        <v>148.60506844919155</v>
      </c>
      <c r="F312" s="31">
        <f t="shared" si="11"/>
        <v>3.5959629219075495</v>
      </c>
      <c r="G312" s="17">
        <f t="shared" si="11"/>
        <v>418.30228759225776</v>
      </c>
      <c r="H312" s="112">
        <f t="shared" si="11"/>
        <v>103.44286160900968</v>
      </c>
      <c r="I312" s="9"/>
      <c r="J312" s="9"/>
      <c r="K312" s="22"/>
      <c r="L312" s="9"/>
      <c r="M312" s="22"/>
      <c r="N312" s="9"/>
      <c r="O312" s="22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</row>
    <row r="313" spans="1:99" x14ac:dyDescent="0.2">
      <c r="A313" s="17"/>
      <c r="B313" s="17" t="s">
        <v>2</v>
      </c>
      <c r="C313" s="17">
        <f>C306</f>
        <v>8530067.6580701042</v>
      </c>
      <c r="D313" s="31">
        <f t="shared" ref="D313:H313" si="12">D306</f>
        <v>1.6493847404736628</v>
      </c>
      <c r="E313" s="17">
        <f t="shared" si="12"/>
        <v>106.52697679277723</v>
      </c>
      <c r="F313" s="31">
        <f t="shared" si="12"/>
        <v>2.7749258454355581</v>
      </c>
      <c r="G313" s="17">
        <f t="shared" si="12"/>
        <v>314.6464152004441</v>
      </c>
      <c r="H313" s="112">
        <f t="shared" si="12"/>
        <v>86.291099394891447</v>
      </c>
      <c r="I313" s="9"/>
      <c r="J313" s="9"/>
      <c r="K313" s="22"/>
      <c r="L313" s="9"/>
      <c r="M313" s="22"/>
      <c r="N313" s="9"/>
      <c r="O313" s="22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</row>
    <row r="314" spans="1:99" x14ac:dyDescent="0.2">
      <c r="A314" s="26" t="s">
        <v>3</v>
      </c>
      <c r="B314" s="26" t="s">
        <v>22</v>
      </c>
      <c r="C314" s="26">
        <f>+C312+C313</f>
        <v>16221718.269342983</v>
      </c>
      <c r="D314" s="15">
        <f>+SUMPRODUCT($C$312:$C$313,D312:D313)/$C$314</f>
        <v>2.3430319835424203</v>
      </c>
      <c r="E314" s="26">
        <f t="shared" ref="E314:F314" si="13">+SUMPRODUCT($C$312:$C$313,E312:E313)/$C$314</f>
        <v>126.4786227304282</v>
      </c>
      <c r="F314" s="15">
        <f t="shared" si="13"/>
        <v>3.1642267953268095</v>
      </c>
      <c r="G314" s="26">
        <f>+E314+F314*B321</f>
        <v>363.79563237993892</v>
      </c>
      <c r="H314" s="113">
        <f>C314*G314/31.1035/1000000</f>
        <v>189.73396100390113</v>
      </c>
      <c r="I314" s="9"/>
      <c r="J314" s="9"/>
      <c r="K314" s="22"/>
      <c r="L314" s="9"/>
      <c r="M314" s="22"/>
      <c r="N314" s="9"/>
      <c r="O314" s="22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</row>
    <row r="315" spans="1:99" x14ac:dyDescent="0.2">
      <c r="A315" s="17"/>
      <c r="B315" s="17"/>
      <c r="C315" s="17"/>
      <c r="D315" s="18"/>
      <c r="E315" s="17"/>
      <c r="F315" s="18"/>
      <c r="G315" s="17"/>
      <c r="H315" s="18"/>
      <c r="I315" s="9"/>
      <c r="J315" s="9"/>
      <c r="K315" s="22"/>
      <c r="L315" s="9"/>
      <c r="M315" s="22"/>
      <c r="N315" s="9"/>
      <c r="O315" s="22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</row>
    <row r="316" spans="1:99" x14ac:dyDescent="0.2">
      <c r="A316" s="17"/>
      <c r="B316" s="17"/>
      <c r="C316" s="17"/>
      <c r="D316" s="18"/>
      <c r="E316" s="17"/>
      <c r="F316" s="18"/>
      <c r="G316" s="17"/>
      <c r="H316" s="18"/>
      <c r="I316" s="9"/>
      <c r="J316" s="9"/>
      <c r="K316" s="22"/>
      <c r="L316" s="9"/>
      <c r="M316" s="22"/>
      <c r="N316" s="9"/>
      <c r="O316" s="22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</row>
    <row r="317" spans="1:99" x14ac:dyDescent="0.2">
      <c r="A317" s="11" t="s">
        <v>23</v>
      </c>
      <c r="B317" s="11">
        <v>0.66920000000000002</v>
      </c>
      <c r="C317" s="11" t="s">
        <v>24</v>
      </c>
      <c r="D317" s="12"/>
      <c r="E317" s="9"/>
      <c r="F317" s="9"/>
      <c r="G317" s="9"/>
      <c r="H317" s="9"/>
      <c r="I317" s="9"/>
      <c r="J317" s="9"/>
      <c r="K317" s="22"/>
      <c r="L317" s="9"/>
      <c r="M317" s="22"/>
      <c r="N317" s="9"/>
      <c r="O317" s="22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</row>
    <row r="318" spans="1:99" x14ac:dyDescent="0.2">
      <c r="A318" s="13" t="s">
        <v>25</v>
      </c>
      <c r="B318" s="13">
        <v>53.209000000000003</v>
      </c>
      <c r="C318" s="13" t="s">
        <v>24</v>
      </c>
      <c r="D318" s="14"/>
      <c r="E318" s="9"/>
      <c r="F318" s="9"/>
      <c r="G318" s="9"/>
      <c r="H318" s="9"/>
      <c r="I318" s="9"/>
      <c r="J318" s="9"/>
      <c r="K318" s="22"/>
      <c r="L318" s="9"/>
      <c r="M318" s="22"/>
      <c r="N318" s="9"/>
      <c r="O318" s="22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</row>
    <row r="319" spans="1:99" x14ac:dyDescent="0.2">
      <c r="A319" s="11" t="s">
        <v>26</v>
      </c>
      <c r="B319" s="11">
        <v>87.7</v>
      </c>
      <c r="C319" s="11" t="s">
        <v>27</v>
      </c>
      <c r="D319" s="12"/>
      <c r="E319" s="9"/>
      <c r="F319" s="9"/>
      <c r="G319" s="9"/>
      <c r="H319" s="9"/>
      <c r="I319" s="9"/>
      <c r="J319" s="9"/>
      <c r="K319" s="22"/>
      <c r="L319" s="9"/>
      <c r="M319" s="22"/>
      <c r="N319" s="9"/>
      <c r="O319" s="22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</row>
    <row r="320" spans="1:99" x14ac:dyDescent="0.2">
      <c r="A320" s="13" t="s">
        <v>26</v>
      </c>
      <c r="B320" s="13">
        <v>131</v>
      </c>
      <c r="C320" s="13" t="s">
        <v>28</v>
      </c>
      <c r="D320" s="14"/>
      <c r="E320" s="9"/>
      <c r="F320" s="9"/>
      <c r="G320" s="9"/>
      <c r="H320" s="9"/>
      <c r="I320" s="9"/>
      <c r="J320" s="9"/>
      <c r="K320" s="22"/>
      <c r="L320" s="9"/>
      <c r="M320" s="22"/>
      <c r="N320" s="9"/>
      <c r="O320" s="22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</row>
    <row r="321" spans="1:99" x14ac:dyDescent="0.2">
      <c r="A321" s="15" t="s">
        <v>29</v>
      </c>
      <c r="B321" s="15">
        <v>75</v>
      </c>
      <c r="C321" s="15"/>
      <c r="D321" s="14"/>
      <c r="E321" s="9"/>
      <c r="F321" s="9"/>
      <c r="G321" s="9"/>
      <c r="H321" s="9"/>
      <c r="I321" s="9"/>
      <c r="J321" s="9"/>
      <c r="K321" s="22"/>
      <c r="L321" s="9"/>
      <c r="M321" s="22"/>
      <c r="N321" s="9"/>
      <c r="O321" s="22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</row>
    <row r="322" spans="1:99" x14ac:dyDescent="0.2">
      <c r="A322" s="9"/>
      <c r="B322" s="9"/>
      <c r="C322" s="9"/>
      <c r="D322" s="22"/>
      <c r="E322" s="9"/>
      <c r="F322" s="22"/>
      <c r="G322" s="9"/>
      <c r="H322" s="22"/>
      <c r="I322" s="9"/>
      <c r="J322" s="9"/>
      <c r="K322" s="22"/>
      <c r="L322" s="9"/>
      <c r="M322" s="22"/>
      <c r="N322" s="9"/>
      <c r="O322" s="22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</row>
    <row r="323" spans="1:99" x14ac:dyDescent="0.2">
      <c r="A323" s="9"/>
      <c r="B323" s="9"/>
      <c r="C323" s="9"/>
      <c r="D323" s="22"/>
      <c r="E323" s="9"/>
      <c r="F323" s="22"/>
      <c r="G323" s="9"/>
      <c r="H323" s="22"/>
      <c r="I323" s="9"/>
      <c r="J323" s="9"/>
      <c r="K323" s="22"/>
      <c r="L323" s="9"/>
      <c r="M323" s="22"/>
      <c r="N323" s="9"/>
      <c r="O323" s="22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</row>
    <row r="324" spans="1:99" x14ac:dyDescent="0.2">
      <c r="A324" s="9"/>
      <c r="B324" s="9"/>
      <c r="C324" s="9"/>
      <c r="D324" s="22"/>
      <c r="E324" s="9"/>
      <c r="F324" s="22"/>
      <c r="G324" s="9"/>
      <c r="H324" s="22"/>
      <c r="I324" s="9"/>
      <c r="J324" s="9"/>
      <c r="K324" s="22"/>
      <c r="L324" s="9"/>
      <c r="M324" s="22"/>
      <c r="N324" s="9"/>
      <c r="O324" s="22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</row>
    <row r="325" spans="1:99" x14ac:dyDescent="0.2">
      <c r="A325" s="9"/>
      <c r="B325" s="9"/>
      <c r="C325" s="9"/>
      <c r="D325" s="22"/>
      <c r="E325" s="9"/>
      <c r="F325" s="22"/>
      <c r="G325" s="9"/>
      <c r="H325" s="22"/>
      <c r="I325" s="9"/>
      <c r="J325" s="9"/>
      <c r="K325" s="22"/>
      <c r="L325" s="9"/>
      <c r="M325" s="22"/>
      <c r="N325" s="9"/>
      <c r="O325" s="22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</row>
    <row r="326" spans="1:99" x14ac:dyDescent="0.2">
      <c r="A326" s="9"/>
      <c r="B326" s="9"/>
      <c r="C326" s="9"/>
      <c r="D326" s="22"/>
      <c r="E326" s="9"/>
      <c r="F326" s="22"/>
      <c r="G326" s="9"/>
      <c r="H326" s="22"/>
      <c r="I326" s="9"/>
      <c r="J326" s="9"/>
      <c r="K326" s="22"/>
      <c r="L326" s="9"/>
      <c r="M326" s="22"/>
      <c r="N326" s="9"/>
      <c r="O326" s="22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</row>
    <row r="327" spans="1:99" x14ac:dyDescent="0.2">
      <c r="A327" s="9"/>
      <c r="B327" s="9"/>
      <c r="C327" s="9"/>
      <c r="D327" s="22"/>
      <c r="E327" s="9"/>
      <c r="F327" s="22"/>
      <c r="G327" s="9"/>
      <c r="H327" s="22"/>
      <c r="I327" s="9"/>
      <c r="J327" s="9"/>
      <c r="K327" s="22"/>
      <c r="L327" s="9"/>
      <c r="M327" s="22"/>
      <c r="N327" s="9"/>
      <c r="O327" s="22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</row>
    <row r="328" spans="1:99" x14ac:dyDescent="0.2">
      <c r="A328" s="9"/>
      <c r="B328" s="9"/>
      <c r="C328" s="9"/>
      <c r="D328" s="22"/>
      <c r="E328" s="9"/>
      <c r="F328" s="22"/>
      <c r="G328" s="9"/>
      <c r="H328" s="22"/>
      <c r="I328" s="9"/>
      <c r="J328" s="9"/>
      <c r="K328" s="22"/>
      <c r="L328" s="9"/>
      <c r="M328" s="22"/>
      <c r="N328" s="9"/>
      <c r="O328" s="22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</row>
    <row r="329" spans="1:99" x14ac:dyDescent="0.2">
      <c r="A329" s="9"/>
      <c r="B329" s="9"/>
      <c r="C329" s="9"/>
      <c r="D329" s="22"/>
      <c r="E329" s="9"/>
      <c r="F329" s="22"/>
      <c r="G329" s="9"/>
      <c r="H329" s="22"/>
      <c r="I329" s="9"/>
      <c r="J329" s="9"/>
      <c r="K329" s="22"/>
      <c r="L329" s="9"/>
      <c r="M329" s="22"/>
      <c r="N329" s="9"/>
      <c r="O329" s="22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</row>
    <row r="330" spans="1:99" x14ac:dyDescent="0.2">
      <c r="A330" s="9"/>
      <c r="B330" s="9"/>
      <c r="C330" s="9"/>
      <c r="D330" s="22"/>
      <c r="E330" s="9"/>
      <c r="F330" s="22"/>
      <c r="G330" s="9"/>
      <c r="H330" s="22"/>
      <c r="I330" s="9"/>
      <c r="J330" s="9"/>
      <c r="K330" s="22"/>
      <c r="L330" s="9"/>
      <c r="M330" s="22"/>
      <c r="N330" s="9"/>
      <c r="O330" s="22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</row>
    <row r="331" spans="1:99" x14ac:dyDescent="0.2">
      <c r="A331" s="9"/>
      <c r="B331" s="9"/>
      <c r="C331" s="9"/>
      <c r="D331" s="22"/>
      <c r="E331" s="9"/>
      <c r="F331" s="22"/>
      <c r="G331" s="9"/>
      <c r="H331" s="22"/>
      <c r="I331" s="9"/>
      <c r="J331" s="9"/>
      <c r="K331" s="22"/>
      <c r="L331" s="9"/>
      <c r="M331" s="22"/>
      <c r="N331" s="9"/>
      <c r="O331" s="22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</row>
    <row r="332" spans="1:99" x14ac:dyDescent="0.2">
      <c r="A332" s="9"/>
      <c r="B332" s="9"/>
      <c r="C332" s="9"/>
      <c r="D332" s="22"/>
      <c r="E332" s="9"/>
      <c r="F332" s="22"/>
      <c r="G332" s="9"/>
      <c r="H332" s="22"/>
      <c r="I332" s="9"/>
      <c r="J332" s="9"/>
      <c r="K332" s="22"/>
      <c r="L332" s="9"/>
      <c r="M332" s="22"/>
      <c r="N332" s="9"/>
      <c r="O332" s="22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</row>
    <row r="333" spans="1:99" x14ac:dyDescent="0.2">
      <c r="A333" s="9"/>
      <c r="B333" s="9"/>
      <c r="C333" s="9"/>
      <c r="D333" s="22"/>
      <c r="E333" s="9"/>
      <c r="F333" s="22"/>
      <c r="G333" s="9"/>
      <c r="H333" s="22"/>
      <c r="I333" s="9"/>
      <c r="J333" s="9"/>
      <c r="K333" s="22"/>
      <c r="L333" s="9"/>
      <c r="M333" s="22"/>
      <c r="N333" s="9"/>
      <c r="O333" s="22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</row>
    <row r="334" spans="1:99" x14ac:dyDescent="0.2">
      <c r="A334" s="9"/>
      <c r="B334" s="9"/>
      <c r="C334" s="9"/>
      <c r="D334" s="22"/>
      <c r="E334" s="9"/>
      <c r="F334" s="22"/>
      <c r="G334" s="9"/>
      <c r="H334" s="22"/>
      <c r="I334" s="9"/>
      <c r="J334" s="9"/>
      <c r="K334" s="22"/>
      <c r="L334" s="9"/>
      <c r="M334" s="22"/>
      <c r="N334" s="9"/>
      <c r="O334" s="22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</row>
    <row r="335" spans="1:99" x14ac:dyDescent="0.2">
      <c r="A335" s="9"/>
      <c r="B335" s="9"/>
      <c r="C335" s="9"/>
      <c r="D335" s="22"/>
      <c r="E335" s="9"/>
      <c r="F335" s="22"/>
      <c r="G335" s="9"/>
      <c r="H335" s="22"/>
      <c r="I335" s="9"/>
      <c r="J335" s="9"/>
      <c r="K335" s="22"/>
      <c r="L335" s="9"/>
      <c r="M335" s="22"/>
      <c r="N335" s="9"/>
      <c r="O335" s="22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</row>
    <row r="336" spans="1:99" x14ac:dyDescent="0.2">
      <c r="A336" s="9"/>
      <c r="B336" s="9"/>
      <c r="C336" s="9"/>
      <c r="D336" s="22"/>
      <c r="E336" s="9"/>
      <c r="F336" s="22"/>
      <c r="G336" s="9"/>
      <c r="H336" s="22"/>
      <c r="I336" s="9"/>
      <c r="J336" s="9"/>
      <c r="K336" s="22"/>
      <c r="L336" s="9"/>
      <c r="M336" s="22"/>
      <c r="N336" s="9"/>
      <c r="O336" s="22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</row>
    <row r="337" spans="1:99" x14ac:dyDescent="0.2">
      <c r="A337" s="9"/>
      <c r="B337" s="9"/>
      <c r="C337" s="9"/>
      <c r="D337" s="22"/>
      <c r="E337" s="9"/>
      <c r="F337" s="22"/>
      <c r="G337" s="9"/>
      <c r="H337" s="22"/>
      <c r="I337" s="9"/>
      <c r="J337" s="9"/>
      <c r="K337" s="22"/>
      <c r="L337" s="9"/>
      <c r="M337" s="22"/>
      <c r="N337" s="9"/>
      <c r="O337" s="22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</row>
    <row r="338" spans="1:99" x14ac:dyDescent="0.2">
      <c r="A338" s="9"/>
      <c r="B338" s="9"/>
      <c r="C338" s="9"/>
      <c r="D338" s="22"/>
      <c r="E338" s="9"/>
      <c r="F338" s="22"/>
      <c r="G338" s="9"/>
      <c r="H338" s="22"/>
      <c r="I338" s="9"/>
      <c r="J338" s="9"/>
      <c r="K338" s="22"/>
      <c r="L338" s="9"/>
      <c r="M338" s="22"/>
      <c r="N338" s="9"/>
      <c r="O338" s="22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</row>
    <row r="339" spans="1:99" x14ac:dyDescent="0.2">
      <c r="A339" s="9"/>
      <c r="B339" s="9"/>
      <c r="C339" s="9"/>
      <c r="D339" s="22"/>
      <c r="E339" s="9"/>
      <c r="F339" s="22"/>
      <c r="G339" s="9"/>
      <c r="H339" s="22"/>
      <c r="I339" s="9"/>
      <c r="J339" s="9"/>
      <c r="K339" s="22"/>
      <c r="L339" s="9"/>
      <c r="M339" s="22"/>
      <c r="N339" s="9"/>
      <c r="O339" s="22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</row>
    <row r="340" spans="1:99" x14ac:dyDescent="0.2">
      <c r="A340" s="9"/>
      <c r="B340" s="9"/>
      <c r="C340" s="9"/>
      <c r="D340" s="22"/>
      <c r="E340" s="9"/>
      <c r="F340" s="22"/>
      <c r="G340" s="9"/>
      <c r="H340" s="22"/>
      <c r="I340" s="9"/>
      <c r="J340" s="9"/>
      <c r="K340" s="22"/>
      <c r="L340" s="9"/>
      <c r="M340" s="22"/>
      <c r="N340" s="9"/>
      <c r="O340" s="22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</row>
    <row r="341" spans="1:99" x14ac:dyDescent="0.2">
      <c r="A341" s="9"/>
      <c r="B341" s="9"/>
      <c r="C341" s="9"/>
      <c r="D341" s="22"/>
      <c r="E341" s="9"/>
      <c r="F341" s="22"/>
      <c r="G341" s="9"/>
      <c r="H341" s="22"/>
      <c r="I341" s="9"/>
      <c r="J341" s="9"/>
      <c r="K341" s="22"/>
      <c r="L341" s="9"/>
      <c r="M341" s="22"/>
      <c r="N341" s="9"/>
      <c r="O341" s="22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</row>
    <row r="342" spans="1:99" x14ac:dyDescent="0.2">
      <c r="A342" s="9"/>
      <c r="B342" s="9"/>
      <c r="C342" s="9"/>
      <c r="D342" s="22"/>
      <c r="E342" s="9"/>
      <c r="F342" s="22"/>
      <c r="G342" s="9"/>
      <c r="H342" s="22"/>
      <c r="I342" s="9"/>
      <c r="J342" s="9"/>
      <c r="K342" s="22"/>
      <c r="L342" s="9"/>
      <c r="M342" s="22"/>
      <c r="N342" s="9"/>
      <c r="O342" s="22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</row>
    <row r="343" spans="1:99" x14ac:dyDescent="0.2">
      <c r="A343" s="9"/>
      <c r="B343" s="9"/>
      <c r="C343" s="9"/>
      <c r="D343" s="22"/>
      <c r="E343" s="9"/>
      <c r="F343" s="22"/>
      <c r="G343" s="9"/>
      <c r="H343" s="22"/>
      <c r="I343" s="9"/>
      <c r="J343" s="9"/>
      <c r="K343" s="22"/>
      <c r="L343" s="9"/>
      <c r="M343" s="22"/>
      <c r="N343" s="9"/>
      <c r="O343" s="22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</row>
    <row r="344" spans="1:99" x14ac:dyDescent="0.2">
      <c r="A344" s="9"/>
      <c r="B344" s="9"/>
      <c r="C344" s="9"/>
      <c r="D344" s="22"/>
      <c r="E344" s="9"/>
      <c r="F344" s="22"/>
      <c r="G344" s="9"/>
      <c r="H344" s="22"/>
      <c r="I344" s="9"/>
      <c r="J344" s="9"/>
      <c r="K344" s="22"/>
      <c r="L344" s="9"/>
      <c r="M344" s="22"/>
      <c r="N344" s="9"/>
      <c r="O344" s="22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</row>
    <row r="345" spans="1:99" x14ac:dyDescent="0.2">
      <c r="A345" s="9"/>
      <c r="B345" s="9"/>
      <c r="C345" s="9"/>
      <c r="D345" s="22"/>
      <c r="E345" s="9"/>
      <c r="F345" s="22"/>
      <c r="G345" s="9"/>
      <c r="H345" s="22"/>
      <c r="I345" s="9"/>
      <c r="J345" s="9"/>
      <c r="K345" s="22"/>
      <c r="L345" s="9"/>
      <c r="M345" s="22"/>
      <c r="N345" s="9"/>
      <c r="O345" s="22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</row>
    <row r="346" spans="1:99" x14ac:dyDescent="0.2">
      <c r="A346" s="9"/>
      <c r="B346" s="9"/>
      <c r="C346" s="9"/>
      <c r="D346" s="22"/>
      <c r="E346" s="9"/>
      <c r="F346" s="22"/>
      <c r="G346" s="9"/>
      <c r="H346" s="22"/>
      <c r="I346" s="9"/>
      <c r="J346" s="9"/>
      <c r="K346" s="22"/>
      <c r="L346" s="9"/>
      <c r="M346" s="22"/>
      <c r="N346" s="9"/>
      <c r="O346" s="22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</row>
    <row r="347" spans="1:99" x14ac:dyDescent="0.2">
      <c r="A347" s="9"/>
      <c r="B347" s="9"/>
      <c r="C347" s="9"/>
      <c r="D347" s="22"/>
      <c r="E347" s="9"/>
      <c r="F347" s="22"/>
      <c r="G347" s="9"/>
      <c r="H347" s="22"/>
      <c r="I347" s="9"/>
      <c r="J347" s="9"/>
      <c r="K347" s="22"/>
      <c r="L347" s="9"/>
      <c r="M347" s="22"/>
      <c r="N347" s="9"/>
      <c r="O347" s="22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</row>
    <row r="348" spans="1:99" x14ac:dyDescent="0.2">
      <c r="A348" s="9"/>
      <c r="B348" s="9"/>
      <c r="C348" s="9"/>
      <c r="D348" s="22"/>
      <c r="E348" s="9"/>
      <c r="F348" s="22"/>
      <c r="G348" s="9"/>
      <c r="H348" s="22"/>
      <c r="I348" s="9"/>
      <c r="J348" s="9"/>
      <c r="K348" s="22"/>
      <c r="L348" s="9"/>
      <c r="M348" s="22"/>
      <c r="N348" s="9"/>
      <c r="O348" s="22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</row>
    <row r="349" spans="1:99" x14ac:dyDescent="0.2">
      <c r="A349" s="9"/>
      <c r="B349" s="9"/>
      <c r="C349" s="9"/>
      <c r="D349" s="22"/>
      <c r="E349" s="9"/>
      <c r="F349" s="22"/>
      <c r="G349" s="9"/>
      <c r="H349" s="22"/>
      <c r="I349" s="9"/>
      <c r="J349" s="9"/>
      <c r="K349" s="22"/>
      <c r="L349" s="9"/>
      <c r="M349" s="22"/>
      <c r="N349" s="9"/>
      <c r="O349" s="22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</row>
    <row r="350" spans="1:99" x14ac:dyDescent="0.2">
      <c r="A350" s="9"/>
      <c r="B350" s="9"/>
      <c r="C350" s="9"/>
      <c r="D350" s="22"/>
      <c r="E350" s="9"/>
      <c r="F350" s="22"/>
      <c r="G350" s="9"/>
      <c r="H350" s="22"/>
      <c r="I350" s="9"/>
      <c r="J350" s="9"/>
      <c r="K350" s="22"/>
      <c r="L350" s="9"/>
      <c r="M350" s="22"/>
      <c r="N350" s="9"/>
      <c r="O350" s="22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</row>
    <row r="351" spans="1:99" x14ac:dyDescent="0.2">
      <c r="A351" s="9"/>
      <c r="B351" s="9"/>
      <c r="C351" s="9"/>
      <c r="D351" s="22"/>
      <c r="E351" s="9"/>
      <c r="F351" s="22"/>
      <c r="G351" s="9"/>
      <c r="H351" s="22"/>
      <c r="I351" s="9"/>
      <c r="J351" s="9"/>
      <c r="K351" s="22"/>
      <c r="L351" s="9"/>
      <c r="M351" s="22"/>
      <c r="N351" s="9"/>
      <c r="O351" s="22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</row>
    <row r="352" spans="1:99" x14ac:dyDescent="0.2">
      <c r="A352" s="9"/>
      <c r="B352" s="9"/>
      <c r="C352" s="9"/>
      <c r="D352" s="22"/>
      <c r="E352" s="9"/>
      <c r="F352" s="22"/>
      <c r="G352" s="9"/>
      <c r="H352" s="22"/>
      <c r="I352" s="9"/>
      <c r="J352" s="9"/>
      <c r="K352" s="22"/>
      <c r="L352" s="9"/>
      <c r="M352" s="22"/>
      <c r="N352" s="9"/>
      <c r="O352" s="22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</row>
    <row r="353" spans="1:99" x14ac:dyDescent="0.2">
      <c r="A353" s="9"/>
      <c r="B353" s="9"/>
      <c r="C353" s="9"/>
      <c r="D353" s="22"/>
      <c r="E353" s="9"/>
      <c r="F353" s="22"/>
      <c r="G353" s="9"/>
      <c r="H353" s="22"/>
      <c r="I353" s="9"/>
      <c r="J353" s="9"/>
      <c r="K353" s="22"/>
      <c r="L353" s="9"/>
      <c r="M353" s="22"/>
      <c r="N353" s="9"/>
      <c r="O353" s="22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</row>
    <row r="354" spans="1:99" x14ac:dyDescent="0.2">
      <c r="A354" s="9"/>
      <c r="B354" s="9"/>
      <c r="C354" s="9"/>
      <c r="D354" s="22"/>
      <c r="E354" s="9"/>
      <c r="F354" s="22"/>
      <c r="G354" s="9"/>
      <c r="H354" s="22"/>
      <c r="I354" s="9"/>
      <c r="J354" s="9"/>
      <c r="K354" s="22"/>
      <c r="L354" s="9"/>
      <c r="M354" s="22"/>
      <c r="N354" s="9"/>
      <c r="O354" s="22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</row>
    <row r="355" spans="1:99" x14ac:dyDescent="0.2">
      <c r="A355" s="9"/>
      <c r="B355" s="9"/>
      <c r="C355" s="9"/>
      <c r="D355" s="22"/>
      <c r="E355" s="9"/>
      <c r="F355" s="22"/>
      <c r="G355" s="9"/>
      <c r="H355" s="22"/>
      <c r="I355" s="9"/>
      <c r="J355" s="9"/>
      <c r="K355" s="22"/>
      <c r="L355" s="9"/>
      <c r="M355" s="22"/>
      <c r="N355" s="9"/>
      <c r="O355" s="22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</row>
    <row r="356" spans="1:99" x14ac:dyDescent="0.2">
      <c r="A356" s="9"/>
      <c r="B356" s="9"/>
      <c r="C356" s="9"/>
      <c r="D356" s="22"/>
      <c r="E356" s="9"/>
      <c r="F356" s="22"/>
      <c r="G356" s="9"/>
      <c r="H356" s="22"/>
      <c r="I356" s="9"/>
      <c r="J356" s="9"/>
      <c r="K356" s="22"/>
      <c r="L356" s="9"/>
      <c r="M356" s="22"/>
      <c r="N356" s="9"/>
      <c r="O356" s="22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</row>
    <row r="357" spans="1:99" x14ac:dyDescent="0.2">
      <c r="A357" s="9"/>
      <c r="B357" s="9"/>
      <c r="C357" s="9"/>
      <c r="D357" s="22"/>
      <c r="E357" s="9"/>
      <c r="F357" s="22"/>
      <c r="G357" s="9"/>
      <c r="H357" s="22"/>
      <c r="I357" s="9"/>
      <c r="J357" s="9"/>
      <c r="K357" s="22"/>
      <c r="L357" s="9"/>
      <c r="M357" s="22"/>
      <c r="N357" s="9"/>
      <c r="O357" s="22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</row>
    <row r="358" spans="1:99" x14ac:dyDescent="0.2">
      <c r="A358" s="9"/>
      <c r="B358" s="9"/>
      <c r="C358" s="9"/>
      <c r="D358" s="22"/>
      <c r="E358" s="9"/>
      <c r="F358" s="22"/>
      <c r="G358" s="9"/>
      <c r="H358" s="22"/>
      <c r="I358" s="9"/>
      <c r="J358" s="9"/>
      <c r="K358" s="22"/>
      <c r="L358" s="9"/>
      <c r="M358" s="22"/>
      <c r="N358" s="9"/>
      <c r="O358" s="22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</row>
    <row r="359" spans="1:99" x14ac:dyDescent="0.2">
      <c r="A359" s="9"/>
      <c r="B359" s="9"/>
      <c r="C359" s="9"/>
      <c r="D359" s="22"/>
      <c r="E359" s="9"/>
      <c r="F359" s="22"/>
      <c r="G359" s="9"/>
      <c r="H359" s="22"/>
      <c r="I359" s="9"/>
      <c r="J359" s="9"/>
      <c r="K359" s="22"/>
      <c r="L359" s="9"/>
      <c r="M359" s="22"/>
      <c r="N359" s="9"/>
      <c r="O359" s="22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</row>
    <row r="360" spans="1:99" x14ac:dyDescent="0.2">
      <c r="A360" s="9"/>
      <c r="B360" s="9"/>
      <c r="C360" s="9"/>
      <c r="D360" s="22"/>
      <c r="E360" s="9"/>
      <c r="F360" s="22"/>
      <c r="G360" s="9"/>
      <c r="H360" s="22"/>
      <c r="I360" s="9"/>
      <c r="J360" s="9"/>
      <c r="K360" s="22"/>
      <c r="L360" s="9"/>
      <c r="M360" s="22"/>
      <c r="N360" s="9"/>
      <c r="O360" s="22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</row>
    <row r="361" spans="1:99" x14ac:dyDescent="0.2">
      <c r="A361" s="9"/>
      <c r="B361" s="9"/>
      <c r="C361" s="9"/>
      <c r="D361" s="22"/>
      <c r="E361" s="9"/>
      <c r="F361" s="22"/>
      <c r="G361" s="9"/>
      <c r="H361" s="22"/>
      <c r="I361" s="9"/>
      <c r="J361" s="9"/>
      <c r="K361" s="22"/>
      <c r="L361" s="9"/>
      <c r="M361" s="22"/>
      <c r="N361" s="9"/>
      <c r="O361" s="22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</row>
    <row r="362" spans="1:99" x14ac:dyDescent="0.2">
      <c r="A362" s="9"/>
      <c r="B362" s="9"/>
      <c r="C362" s="9"/>
      <c r="D362" s="22"/>
      <c r="E362" s="9"/>
      <c r="F362" s="22"/>
      <c r="G362" s="9"/>
      <c r="H362" s="22"/>
      <c r="I362" s="9"/>
      <c r="J362" s="9"/>
      <c r="K362" s="22"/>
      <c r="L362" s="9"/>
      <c r="M362" s="22"/>
      <c r="N362" s="9"/>
      <c r="O362" s="22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</row>
    <row r="363" spans="1:99" x14ac:dyDescent="0.2">
      <c r="A363" s="9"/>
      <c r="B363" s="9"/>
      <c r="C363" s="9"/>
      <c r="D363" s="22"/>
      <c r="E363" s="9"/>
      <c r="F363" s="22"/>
      <c r="G363" s="9"/>
      <c r="H363" s="22"/>
      <c r="I363" s="9"/>
      <c r="J363" s="9"/>
      <c r="K363" s="22"/>
      <c r="L363" s="9"/>
      <c r="M363" s="22"/>
      <c r="N363" s="9"/>
      <c r="O363" s="22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</row>
    <row r="364" spans="1:99" x14ac:dyDescent="0.2">
      <c r="A364" s="9"/>
      <c r="B364" s="9"/>
      <c r="C364" s="9"/>
      <c r="D364" s="22"/>
      <c r="E364" s="9"/>
      <c r="F364" s="22"/>
      <c r="G364" s="9"/>
      <c r="H364" s="22"/>
      <c r="I364" s="9"/>
      <c r="J364" s="9"/>
      <c r="K364" s="22"/>
      <c r="L364" s="9"/>
      <c r="M364" s="22"/>
      <c r="N364" s="9"/>
      <c r="O364" s="22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</row>
    <row r="365" spans="1:99" x14ac:dyDescent="0.2">
      <c r="A365" s="9"/>
      <c r="B365" s="9"/>
      <c r="C365" s="9"/>
      <c r="D365" s="22"/>
      <c r="E365" s="9"/>
      <c r="F365" s="22"/>
      <c r="G365" s="9"/>
      <c r="H365" s="22"/>
      <c r="I365" s="9"/>
      <c r="J365" s="9"/>
      <c r="K365" s="22"/>
      <c r="L365" s="9"/>
      <c r="M365" s="22"/>
      <c r="N365" s="9"/>
      <c r="O365" s="22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</row>
    <row r="366" spans="1:99" x14ac:dyDescent="0.2">
      <c r="A366" s="9"/>
      <c r="B366" s="9"/>
      <c r="C366" s="9"/>
      <c r="D366" s="22"/>
      <c r="E366" s="9"/>
      <c r="F366" s="22"/>
      <c r="G366" s="9"/>
      <c r="H366" s="22"/>
      <c r="I366" s="9"/>
      <c r="J366" s="9"/>
      <c r="K366" s="22"/>
      <c r="L366" s="9"/>
      <c r="M366" s="22"/>
      <c r="N366" s="9"/>
      <c r="O366" s="22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</row>
    <row r="367" spans="1:99" x14ac:dyDescent="0.2">
      <c r="A367" s="9"/>
      <c r="B367" s="9"/>
      <c r="C367" s="9"/>
      <c r="D367" s="22"/>
      <c r="E367" s="9"/>
      <c r="F367" s="22"/>
      <c r="G367" s="9"/>
      <c r="H367" s="22"/>
      <c r="I367" s="9"/>
      <c r="J367" s="9"/>
      <c r="K367" s="22"/>
      <c r="L367" s="9"/>
      <c r="M367" s="22"/>
      <c r="N367" s="9"/>
      <c r="O367" s="22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</row>
    <row r="368" spans="1:99" x14ac:dyDescent="0.2">
      <c r="A368" s="9"/>
      <c r="B368" s="9"/>
      <c r="C368" s="9"/>
      <c r="D368" s="22"/>
      <c r="E368" s="9"/>
      <c r="F368" s="22"/>
      <c r="G368" s="9"/>
      <c r="H368" s="22"/>
      <c r="I368" s="9"/>
      <c r="J368" s="9"/>
      <c r="K368" s="22"/>
      <c r="L368" s="9"/>
      <c r="M368" s="22"/>
      <c r="N368" s="9"/>
      <c r="O368" s="22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</row>
    <row r="369" spans="1:99" x14ac:dyDescent="0.2">
      <c r="A369" s="9"/>
      <c r="B369" s="9"/>
      <c r="C369" s="9"/>
      <c r="D369" s="22"/>
      <c r="E369" s="9"/>
      <c r="F369" s="22"/>
      <c r="G369" s="9"/>
      <c r="H369" s="22"/>
      <c r="I369" s="9"/>
      <c r="J369" s="9"/>
      <c r="K369" s="22"/>
      <c r="L369" s="9"/>
      <c r="M369" s="22"/>
      <c r="N369" s="9"/>
      <c r="O369" s="22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</row>
    <row r="370" spans="1:99" x14ac:dyDescent="0.2">
      <c r="A370" s="9"/>
      <c r="B370" s="9"/>
      <c r="C370" s="9"/>
      <c r="D370" s="22"/>
      <c r="E370" s="9"/>
      <c r="F370" s="22"/>
      <c r="G370" s="9"/>
      <c r="H370" s="22"/>
      <c r="I370" s="9"/>
      <c r="J370" s="9"/>
      <c r="K370" s="22"/>
      <c r="L370" s="9"/>
      <c r="M370" s="22"/>
      <c r="N370" s="9"/>
      <c r="O370" s="22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</row>
    <row r="371" spans="1:99" x14ac:dyDescent="0.2">
      <c r="A371" s="9"/>
      <c r="B371" s="9"/>
      <c r="C371" s="9"/>
      <c r="D371" s="22"/>
      <c r="E371" s="9"/>
      <c r="F371" s="22"/>
      <c r="G371" s="9"/>
      <c r="H371" s="22"/>
      <c r="I371" s="9"/>
      <c r="J371" s="9"/>
      <c r="K371" s="22"/>
      <c r="L371" s="9"/>
      <c r="M371" s="22"/>
      <c r="N371" s="9"/>
      <c r="O371" s="22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</row>
    <row r="372" spans="1:99" x14ac:dyDescent="0.2">
      <c r="A372" s="9"/>
      <c r="B372" s="9"/>
      <c r="C372" s="9"/>
      <c r="D372" s="22"/>
      <c r="E372" s="9"/>
      <c r="F372" s="22"/>
      <c r="G372" s="9"/>
      <c r="H372" s="22"/>
      <c r="I372" s="9"/>
      <c r="J372" s="9"/>
      <c r="K372" s="22"/>
      <c r="L372" s="9"/>
      <c r="M372" s="22"/>
      <c r="N372" s="9"/>
      <c r="O372" s="22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</row>
    <row r="373" spans="1:99" x14ac:dyDescent="0.2">
      <c r="A373" s="9"/>
      <c r="B373" s="9"/>
      <c r="C373" s="9"/>
      <c r="D373" s="22"/>
      <c r="E373" s="9"/>
      <c r="F373" s="22"/>
      <c r="G373" s="9"/>
      <c r="H373" s="22"/>
      <c r="I373" s="9"/>
      <c r="J373" s="9"/>
      <c r="K373" s="22"/>
      <c r="L373" s="9"/>
      <c r="M373" s="22"/>
      <c r="N373" s="9"/>
      <c r="O373" s="22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</row>
    <row r="374" spans="1:99" x14ac:dyDescent="0.2">
      <c r="A374" s="9"/>
      <c r="B374" s="9"/>
      <c r="C374" s="9"/>
      <c r="D374" s="22"/>
      <c r="E374" s="9"/>
      <c r="F374" s="22"/>
      <c r="G374" s="9"/>
      <c r="H374" s="22"/>
      <c r="I374" s="9"/>
      <c r="J374" s="9"/>
      <c r="K374" s="22"/>
      <c r="L374" s="9"/>
      <c r="M374" s="22"/>
      <c r="N374" s="9"/>
      <c r="O374" s="22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</row>
    <row r="375" spans="1:99" x14ac:dyDescent="0.2">
      <c r="A375" s="9"/>
      <c r="B375" s="9"/>
      <c r="C375" s="9"/>
      <c r="D375" s="22"/>
      <c r="E375" s="9"/>
      <c r="F375" s="22"/>
      <c r="G375" s="9"/>
      <c r="H375" s="22"/>
      <c r="I375" s="9"/>
      <c r="J375" s="9"/>
      <c r="K375" s="22"/>
      <c r="L375" s="9"/>
      <c r="M375" s="22"/>
      <c r="N375" s="9"/>
      <c r="O375" s="22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</row>
    <row r="376" spans="1:99" x14ac:dyDescent="0.2">
      <c r="A376" s="9"/>
      <c r="B376" s="9"/>
      <c r="C376" s="9"/>
      <c r="D376" s="22"/>
      <c r="E376" s="9"/>
      <c r="F376" s="22"/>
      <c r="G376" s="9"/>
      <c r="H376" s="22"/>
      <c r="I376" s="9"/>
      <c r="J376" s="9"/>
      <c r="K376" s="22"/>
      <c r="L376" s="9"/>
      <c r="M376" s="22"/>
      <c r="N376" s="9"/>
      <c r="O376" s="22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</row>
    <row r="377" spans="1:99" x14ac:dyDescent="0.2">
      <c r="A377" s="9"/>
      <c r="B377" s="9"/>
      <c r="C377" s="9"/>
      <c r="D377" s="22"/>
      <c r="E377" s="9"/>
      <c r="F377" s="22"/>
      <c r="G377" s="9"/>
      <c r="H377" s="22"/>
      <c r="I377" s="9"/>
      <c r="J377" s="9"/>
      <c r="K377" s="22"/>
      <c r="L377" s="9"/>
      <c r="M377" s="22"/>
      <c r="N377" s="9"/>
      <c r="O377" s="22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</row>
    <row r="378" spans="1:99" x14ac:dyDescent="0.2">
      <c r="A378" s="9"/>
      <c r="B378" s="9"/>
      <c r="C378" s="9"/>
      <c r="D378" s="22"/>
      <c r="E378" s="9"/>
      <c r="F378" s="22"/>
      <c r="G378" s="9"/>
      <c r="H378" s="22"/>
      <c r="I378" s="9"/>
      <c r="J378" s="9"/>
      <c r="K378" s="22"/>
      <c r="L378" s="9"/>
      <c r="M378" s="22"/>
      <c r="N378" s="9"/>
      <c r="O378" s="22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</row>
    <row r="379" spans="1:99" x14ac:dyDescent="0.2">
      <c r="A379" s="9"/>
      <c r="B379" s="9"/>
      <c r="C379" s="9"/>
      <c r="D379" s="22"/>
      <c r="E379" s="9"/>
      <c r="F379" s="22"/>
      <c r="G379" s="9"/>
      <c r="H379" s="22"/>
      <c r="I379" s="9"/>
      <c r="J379" s="9"/>
      <c r="K379" s="22"/>
      <c r="L379" s="9"/>
      <c r="M379" s="22"/>
      <c r="N379" s="9"/>
      <c r="O379" s="22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</row>
    <row r="380" spans="1:99" x14ac:dyDescent="0.2">
      <c r="A380" s="9"/>
      <c r="B380" s="9"/>
      <c r="C380" s="9"/>
      <c r="D380" s="22"/>
      <c r="E380" s="9"/>
      <c r="F380" s="22"/>
      <c r="G380" s="9"/>
      <c r="H380" s="22"/>
      <c r="I380" s="9"/>
      <c r="J380" s="9"/>
      <c r="K380" s="22"/>
      <c r="L380" s="9"/>
      <c r="M380" s="22"/>
      <c r="N380" s="9"/>
      <c r="O380" s="22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</row>
    <row r="381" spans="1:99" x14ac:dyDescent="0.2">
      <c r="A381" s="9"/>
      <c r="B381" s="9"/>
      <c r="C381" s="9"/>
      <c r="D381" s="22"/>
      <c r="E381" s="9"/>
      <c r="F381" s="22"/>
      <c r="G381" s="9"/>
      <c r="H381" s="22"/>
      <c r="I381" s="9"/>
      <c r="J381" s="9"/>
      <c r="K381" s="22"/>
      <c r="L381" s="9"/>
      <c r="M381" s="22"/>
      <c r="N381" s="9"/>
      <c r="O381" s="22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</row>
    <row r="382" spans="1:99" x14ac:dyDescent="0.2">
      <c r="A382" s="9"/>
      <c r="B382" s="9"/>
      <c r="C382" s="9"/>
      <c r="D382" s="22"/>
      <c r="E382" s="9"/>
      <c r="F382" s="22"/>
      <c r="G382" s="9"/>
      <c r="H382" s="22"/>
      <c r="I382" s="9"/>
      <c r="J382" s="9"/>
      <c r="K382" s="22"/>
      <c r="L382" s="9"/>
      <c r="M382" s="22"/>
      <c r="N382" s="9"/>
      <c r="O382" s="22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</row>
    <row r="383" spans="1:99" x14ac:dyDescent="0.2">
      <c r="A383" s="9"/>
      <c r="B383" s="9"/>
      <c r="C383" s="9"/>
      <c r="D383" s="22"/>
      <c r="E383" s="9"/>
      <c r="F383" s="22"/>
      <c r="G383" s="9"/>
      <c r="H383" s="22"/>
      <c r="I383" s="9"/>
      <c r="J383" s="9"/>
      <c r="K383" s="22"/>
      <c r="L383" s="9"/>
      <c r="M383" s="22"/>
      <c r="N383" s="9"/>
      <c r="O383" s="22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</row>
    <row r="384" spans="1:99" x14ac:dyDescent="0.2">
      <c r="A384" s="9"/>
      <c r="B384" s="9"/>
      <c r="C384" s="9"/>
      <c r="D384" s="22"/>
      <c r="E384" s="9"/>
      <c r="F384" s="22"/>
      <c r="G384" s="9"/>
      <c r="H384" s="22"/>
      <c r="I384" s="9"/>
      <c r="J384" s="9"/>
      <c r="K384" s="22"/>
      <c r="L384" s="9"/>
      <c r="M384" s="22"/>
      <c r="N384" s="9"/>
      <c r="O384" s="22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</row>
    <row r="385" spans="1:99" x14ac:dyDescent="0.2">
      <c r="A385" s="9"/>
      <c r="B385" s="9"/>
      <c r="C385" s="9"/>
      <c r="D385" s="22"/>
      <c r="E385" s="9"/>
      <c r="F385" s="22"/>
      <c r="G385" s="9"/>
      <c r="H385" s="22"/>
      <c r="I385" s="9"/>
      <c r="J385" s="9"/>
      <c r="K385" s="22"/>
      <c r="L385" s="9"/>
      <c r="M385" s="22"/>
      <c r="N385" s="9"/>
      <c r="O385" s="22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</row>
    <row r="386" spans="1:99" x14ac:dyDescent="0.2">
      <c r="A386" s="9"/>
      <c r="B386" s="9"/>
      <c r="C386" s="9"/>
      <c r="D386" s="22"/>
      <c r="E386" s="9"/>
      <c r="F386" s="22"/>
      <c r="G386" s="9"/>
      <c r="H386" s="22"/>
      <c r="I386" s="9"/>
      <c r="J386" s="9"/>
      <c r="K386" s="22"/>
      <c r="L386" s="9"/>
      <c r="M386" s="22"/>
      <c r="N386" s="9"/>
      <c r="O386" s="22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</row>
    <row r="387" spans="1:99" x14ac:dyDescent="0.2">
      <c r="A387" s="9"/>
      <c r="B387" s="9"/>
      <c r="C387" s="9"/>
      <c r="D387" s="22"/>
      <c r="E387" s="9"/>
      <c r="F387" s="22"/>
      <c r="G387" s="9"/>
      <c r="H387" s="22"/>
      <c r="I387" s="9"/>
      <c r="J387" s="9"/>
      <c r="K387" s="22"/>
      <c r="L387" s="9"/>
      <c r="M387" s="22"/>
      <c r="N387" s="9"/>
      <c r="O387" s="22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</row>
    <row r="388" spans="1:99" x14ac:dyDescent="0.2">
      <c r="A388" s="9"/>
      <c r="B388" s="9"/>
      <c r="C388" s="9"/>
      <c r="D388" s="22"/>
      <c r="E388" s="9"/>
      <c r="F388" s="22"/>
      <c r="G388" s="9"/>
      <c r="H388" s="22"/>
      <c r="I388" s="9"/>
      <c r="J388" s="9"/>
      <c r="K388" s="22"/>
      <c r="L388" s="9"/>
      <c r="M388" s="22"/>
      <c r="N388" s="9"/>
      <c r="O388" s="22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</row>
    <row r="389" spans="1:99" x14ac:dyDescent="0.2">
      <c r="A389" s="9"/>
      <c r="B389" s="9"/>
      <c r="C389" s="9"/>
      <c r="D389" s="22"/>
      <c r="E389" s="9"/>
      <c r="F389" s="22"/>
      <c r="G389" s="9"/>
      <c r="H389" s="22"/>
      <c r="I389" s="9"/>
      <c r="J389" s="9"/>
      <c r="K389" s="22"/>
      <c r="L389" s="9"/>
      <c r="M389" s="22"/>
      <c r="N389" s="9"/>
      <c r="O389" s="22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</row>
    <row r="390" spans="1:99" x14ac:dyDescent="0.2">
      <c r="A390" s="9"/>
      <c r="B390" s="9"/>
      <c r="C390" s="9"/>
      <c r="D390" s="22"/>
      <c r="E390" s="9"/>
      <c r="F390" s="22"/>
      <c r="G390" s="9"/>
      <c r="H390" s="22"/>
      <c r="I390" s="9"/>
      <c r="J390" s="9"/>
      <c r="K390" s="22"/>
      <c r="L390" s="9"/>
      <c r="M390" s="22"/>
      <c r="N390" s="9"/>
      <c r="O390" s="22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</row>
    <row r="391" spans="1:99" x14ac:dyDescent="0.2">
      <c r="A391" s="9"/>
      <c r="B391" s="9"/>
      <c r="C391" s="9"/>
      <c r="D391" s="22"/>
      <c r="E391" s="9"/>
      <c r="F391" s="22"/>
      <c r="G391" s="9"/>
      <c r="H391" s="22"/>
      <c r="I391" s="9"/>
      <c r="J391" s="9"/>
      <c r="K391" s="22"/>
      <c r="L391" s="9"/>
      <c r="M391" s="22"/>
      <c r="N391" s="9"/>
      <c r="O391" s="22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</row>
    <row r="392" spans="1:99" x14ac:dyDescent="0.2">
      <c r="A392" s="9"/>
      <c r="B392" s="9"/>
      <c r="C392" s="9"/>
      <c r="D392" s="22"/>
      <c r="E392" s="9"/>
      <c r="F392" s="22"/>
      <c r="G392" s="9"/>
      <c r="H392" s="22"/>
      <c r="I392" s="9"/>
      <c r="J392" s="9"/>
      <c r="K392" s="22"/>
      <c r="L392" s="9"/>
      <c r="M392" s="22"/>
      <c r="N392" s="9"/>
      <c r="O392" s="22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</row>
    <row r="393" spans="1:99" x14ac:dyDescent="0.2">
      <c r="A393" s="9"/>
      <c r="B393" s="9"/>
      <c r="C393" s="9"/>
      <c r="D393" s="22"/>
      <c r="E393" s="9"/>
      <c r="F393" s="22"/>
      <c r="G393" s="9"/>
      <c r="H393" s="22"/>
      <c r="I393" s="9"/>
      <c r="J393" s="9"/>
      <c r="K393" s="22"/>
      <c r="L393" s="9"/>
      <c r="M393" s="22"/>
      <c r="N393" s="9"/>
      <c r="O393" s="22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</row>
    <row r="394" spans="1:99" x14ac:dyDescent="0.2">
      <c r="A394" s="9"/>
      <c r="B394" s="9"/>
      <c r="C394" s="9"/>
      <c r="D394" s="22"/>
      <c r="E394" s="9"/>
      <c r="F394" s="22"/>
      <c r="G394" s="9"/>
      <c r="H394" s="22"/>
      <c r="I394" s="9"/>
      <c r="J394" s="9"/>
      <c r="K394" s="22"/>
      <c r="L394" s="9"/>
      <c r="M394" s="22"/>
      <c r="N394" s="9"/>
      <c r="O394" s="22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</row>
    <row r="395" spans="1:99" x14ac:dyDescent="0.2">
      <c r="A395" s="9"/>
      <c r="B395" s="9"/>
      <c r="C395" s="9"/>
      <c r="D395" s="22"/>
      <c r="E395" s="9"/>
      <c r="F395" s="22"/>
      <c r="G395" s="9"/>
      <c r="H395" s="22"/>
      <c r="I395" s="9"/>
      <c r="J395" s="9"/>
      <c r="K395" s="22"/>
      <c r="L395" s="9"/>
      <c r="M395" s="22"/>
      <c r="N395" s="9"/>
      <c r="O395" s="22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</row>
    <row r="396" spans="1:99" x14ac:dyDescent="0.2">
      <c r="A396" s="9"/>
      <c r="B396" s="9"/>
      <c r="C396" s="9"/>
      <c r="D396" s="22"/>
      <c r="E396" s="9"/>
      <c r="F396" s="22"/>
      <c r="G396" s="9"/>
      <c r="H396" s="22"/>
      <c r="I396" s="9"/>
      <c r="J396" s="9"/>
      <c r="K396" s="22"/>
      <c r="L396" s="9"/>
      <c r="M396" s="22"/>
      <c r="N396" s="9"/>
      <c r="O396" s="22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</row>
    <row r="397" spans="1:99" x14ac:dyDescent="0.2">
      <c r="A397" s="9"/>
      <c r="B397" s="9"/>
      <c r="C397" s="9"/>
      <c r="D397" s="22"/>
      <c r="E397" s="9"/>
      <c r="F397" s="22"/>
      <c r="G397" s="9"/>
      <c r="H397" s="22"/>
      <c r="I397" s="9"/>
      <c r="J397" s="9"/>
      <c r="K397" s="22"/>
      <c r="L397" s="9"/>
      <c r="M397" s="22"/>
      <c r="N397" s="9"/>
      <c r="O397" s="22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</row>
    <row r="398" spans="1:99" x14ac:dyDescent="0.2">
      <c r="A398" s="9"/>
      <c r="B398" s="9"/>
      <c r="C398" s="9"/>
      <c r="D398" s="22"/>
      <c r="E398" s="9"/>
      <c r="F398" s="22"/>
      <c r="G398" s="9"/>
      <c r="H398" s="22"/>
      <c r="I398" s="9"/>
      <c r="J398" s="9"/>
      <c r="K398" s="22"/>
      <c r="L398" s="9"/>
      <c r="M398" s="22"/>
      <c r="N398" s="9"/>
      <c r="O398" s="22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</row>
    <row r="399" spans="1:99" x14ac:dyDescent="0.2">
      <c r="A399" s="9"/>
      <c r="B399" s="9"/>
      <c r="C399" s="9"/>
      <c r="D399" s="22"/>
      <c r="E399" s="9"/>
      <c r="F399" s="22"/>
      <c r="G399" s="9"/>
      <c r="H399" s="22"/>
      <c r="I399" s="9"/>
      <c r="J399" s="9"/>
      <c r="K399" s="22"/>
      <c r="L399" s="9"/>
      <c r="M399" s="22"/>
      <c r="N399" s="9"/>
      <c r="O399" s="22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</row>
    <row r="400" spans="1:99" x14ac:dyDescent="0.2">
      <c r="A400" s="9"/>
      <c r="B400" s="9"/>
      <c r="C400" s="9"/>
      <c r="D400" s="22"/>
      <c r="E400" s="9"/>
      <c r="F400" s="22"/>
      <c r="G400" s="9"/>
      <c r="H400" s="22"/>
      <c r="I400" s="9"/>
      <c r="J400" s="9"/>
      <c r="K400" s="22"/>
      <c r="L400" s="9"/>
      <c r="M400" s="22"/>
      <c r="N400" s="9"/>
      <c r="O400" s="22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</row>
    <row r="401" spans="1:99" x14ac:dyDescent="0.2">
      <c r="A401" s="9"/>
      <c r="B401" s="9"/>
      <c r="C401" s="9"/>
      <c r="D401" s="22"/>
      <c r="E401" s="9"/>
      <c r="F401" s="22"/>
      <c r="G401" s="9"/>
      <c r="H401" s="22"/>
      <c r="I401" s="9"/>
      <c r="J401" s="9"/>
      <c r="K401" s="22"/>
      <c r="L401" s="9"/>
      <c r="M401" s="22"/>
      <c r="N401" s="9"/>
      <c r="O401" s="22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</row>
    <row r="402" spans="1:99" x14ac:dyDescent="0.2">
      <c r="A402" s="9"/>
      <c r="B402" s="9"/>
      <c r="C402" s="9"/>
      <c r="D402" s="22"/>
      <c r="E402" s="9"/>
      <c r="F402" s="22"/>
      <c r="G402" s="9"/>
      <c r="H402" s="22"/>
      <c r="I402" s="9"/>
      <c r="J402" s="9"/>
      <c r="K402" s="22"/>
      <c r="L402" s="9"/>
      <c r="M402" s="22"/>
      <c r="N402" s="9"/>
      <c r="O402" s="22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</row>
    <row r="403" spans="1:99" x14ac:dyDescent="0.2">
      <c r="A403" s="9"/>
      <c r="B403" s="9"/>
      <c r="C403" s="9"/>
      <c r="D403" s="22"/>
      <c r="E403" s="9"/>
      <c r="F403" s="22"/>
      <c r="G403" s="9"/>
      <c r="H403" s="22"/>
      <c r="I403" s="9"/>
      <c r="J403" s="9"/>
      <c r="K403" s="22"/>
      <c r="L403" s="9"/>
      <c r="M403" s="22"/>
      <c r="N403" s="9"/>
      <c r="O403" s="22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</row>
    <row r="404" spans="1:99" x14ac:dyDescent="0.2">
      <c r="A404" s="9"/>
      <c r="B404" s="9"/>
      <c r="C404" s="9"/>
      <c r="D404" s="22"/>
      <c r="E404" s="9"/>
      <c r="F404" s="22"/>
      <c r="G404" s="9"/>
      <c r="H404" s="22"/>
      <c r="I404" s="9"/>
      <c r="J404" s="9"/>
      <c r="K404" s="22"/>
      <c r="L404" s="9"/>
      <c r="M404" s="22"/>
      <c r="N404" s="9"/>
      <c r="O404" s="22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</row>
    <row r="405" spans="1:99" x14ac:dyDescent="0.2">
      <c r="A405" s="9"/>
      <c r="B405" s="9"/>
      <c r="C405" s="9"/>
      <c r="D405" s="22"/>
      <c r="E405" s="9"/>
      <c r="F405" s="22"/>
      <c r="G405" s="9"/>
      <c r="H405" s="22"/>
      <c r="I405" s="9"/>
      <c r="J405" s="9"/>
      <c r="K405" s="22"/>
      <c r="L405" s="9"/>
      <c r="M405" s="22"/>
      <c r="N405" s="9"/>
      <c r="O405" s="22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</row>
    <row r="406" spans="1:99" x14ac:dyDescent="0.2">
      <c r="A406" s="9"/>
      <c r="B406" s="9"/>
      <c r="C406" s="9"/>
      <c r="D406" s="22"/>
      <c r="E406" s="9"/>
      <c r="F406" s="22"/>
      <c r="G406" s="9"/>
      <c r="H406" s="22"/>
      <c r="I406" s="9"/>
      <c r="J406" s="9"/>
      <c r="K406" s="22"/>
      <c r="L406" s="9"/>
      <c r="M406" s="22"/>
      <c r="N406" s="9"/>
      <c r="O406" s="22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</row>
    <row r="407" spans="1:99" x14ac:dyDescent="0.2">
      <c r="A407" s="9"/>
      <c r="B407" s="9"/>
      <c r="C407" s="9"/>
      <c r="D407" s="22"/>
      <c r="E407" s="9"/>
      <c r="F407" s="22"/>
      <c r="G407" s="9"/>
      <c r="H407" s="22"/>
      <c r="I407" s="9"/>
      <c r="J407" s="9"/>
      <c r="K407" s="22"/>
      <c r="L407" s="9"/>
      <c r="M407" s="22"/>
      <c r="N407" s="9"/>
      <c r="O407" s="22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</row>
    <row r="408" spans="1:99" x14ac:dyDescent="0.2">
      <c r="A408" s="9"/>
      <c r="B408" s="9"/>
      <c r="C408" s="9"/>
      <c r="D408" s="22"/>
      <c r="E408" s="9"/>
      <c r="F408" s="22"/>
      <c r="G408" s="9"/>
      <c r="H408" s="22"/>
      <c r="I408" s="9"/>
      <c r="J408" s="9"/>
      <c r="K408" s="22"/>
      <c r="L408" s="9"/>
      <c r="M408" s="22"/>
      <c r="N408" s="9"/>
      <c r="O408" s="22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</row>
    <row r="409" spans="1:99" x14ac:dyDescent="0.2">
      <c r="A409" s="9"/>
      <c r="B409" s="9"/>
      <c r="C409" s="9"/>
      <c r="D409" s="22"/>
      <c r="E409" s="9"/>
      <c r="F409" s="22"/>
      <c r="G409" s="9"/>
      <c r="H409" s="22"/>
      <c r="I409" s="9"/>
      <c r="J409" s="9"/>
      <c r="K409" s="22"/>
      <c r="L409" s="9"/>
      <c r="M409" s="22"/>
      <c r="N409" s="9"/>
      <c r="O409" s="22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</row>
    <row r="410" spans="1:99" x14ac:dyDescent="0.2">
      <c r="A410" s="9"/>
      <c r="B410" s="9"/>
      <c r="C410" s="9"/>
      <c r="D410" s="22"/>
      <c r="E410" s="9"/>
      <c r="F410" s="22"/>
      <c r="G410" s="9"/>
      <c r="H410" s="22"/>
      <c r="I410" s="9"/>
      <c r="J410" s="9"/>
      <c r="K410" s="22"/>
      <c r="L410" s="9"/>
      <c r="M410" s="22"/>
      <c r="N410" s="9"/>
      <c r="O410" s="22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</row>
    <row r="411" spans="1:99" x14ac:dyDescent="0.2">
      <c r="A411" s="9"/>
      <c r="B411" s="9"/>
      <c r="C411" s="9"/>
      <c r="D411" s="22"/>
      <c r="E411" s="9"/>
      <c r="F411" s="22"/>
      <c r="G411" s="9"/>
      <c r="H411" s="22"/>
      <c r="I411" s="9"/>
      <c r="J411" s="9"/>
      <c r="K411" s="22"/>
      <c r="L411" s="9"/>
      <c r="M411" s="22"/>
      <c r="N411" s="9"/>
      <c r="O411" s="22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</row>
    <row r="412" spans="1:99" x14ac:dyDescent="0.2">
      <c r="A412" s="9"/>
      <c r="B412" s="9"/>
      <c r="C412" s="9"/>
      <c r="D412" s="22"/>
      <c r="E412" s="9"/>
      <c r="F412" s="22"/>
      <c r="G412" s="9"/>
      <c r="H412" s="22"/>
      <c r="I412" s="9"/>
      <c r="J412" s="9"/>
      <c r="K412" s="22"/>
      <c r="L412" s="9"/>
      <c r="M412" s="22"/>
      <c r="N412" s="9"/>
      <c r="O412" s="22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</row>
    <row r="413" spans="1:99" x14ac:dyDescent="0.2">
      <c r="A413" s="9"/>
      <c r="B413" s="9"/>
      <c r="C413" s="9"/>
      <c r="D413" s="22"/>
      <c r="E413" s="9"/>
      <c r="F413" s="22"/>
      <c r="G413" s="9"/>
      <c r="H413" s="22"/>
      <c r="I413" s="9"/>
      <c r="J413" s="9"/>
      <c r="K413" s="22"/>
      <c r="L413" s="9"/>
      <c r="M413" s="22"/>
      <c r="N413" s="9"/>
      <c r="O413" s="22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</row>
    <row r="414" spans="1:99" x14ac:dyDescent="0.2">
      <c r="A414" s="9"/>
      <c r="B414" s="9"/>
      <c r="C414" s="9"/>
      <c r="D414" s="22"/>
      <c r="E414" s="9"/>
      <c r="F414" s="22"/>
      <c r="G414" s="9"/>
      <c r="H414" s="22"/>
      <c r="I414" s="9"/>
      <c r="J414" s="9"/>
      <c r="K414" s="22"/>
      <c r="L414" s="9"/>
      <c r="M414" s="22"/>
      <c r="N414" s="9"/>
      <c r="O414" s="22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</row>
    <row r="415" spans="1:99" x14ac:dyDescent="0.2">
      <c r="A415" s="9"/>
      <c r="B415" s="9"/>
      <c r="C415" s="9"/>
      <c r="D415" s="22"/>
      <c r="E415" s="9"/>
      <c r="F415" s="22"/>
      <c r="G415" s="9"/>
      <c r="H415" s="22"/>
      <c r="I415" s="9"/>
      <c r="J415" s="9"/>
      <c r="K415" s="22"/>
      <c r="L415" s="9"/>
      <c r="M415" s="22"/>
      <c r="N415" s="9"/>
      <c r="O415" s="22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</row>
    <row r="416" spans="1:99" x14ac:dyDescent="0.2">
      <c r="A416" s="9"/>
      <c r="B416" s="9"/>
      <c r="C416" s="9"/>
      <c r="D416" s="22"/>
      <c r="E416" s="9"/>
      <c r="F416" s="22"/>
      <c r="G416" s="9"/>
      <c r="H416" s="22"/>
      <c r="I416" s="9"/>
      <c r="J416" s="9"/>
      <c r="K416" s="22"/>
      <c r="L416" s="9"/>
      <c r="M416" s="22"/>
      <c r="N416" s="9"/>
      <c r="O416" s="22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</row>
    <row r="417" spans="1:99" x14ac:dyDescent="0.2">
      <c r="A417" s="9"/>
      <c r="B417" s="9"/>
      <c r="C417" s="9"/>
      <c r="D417" s="22"/>
      <c r="E417" s="9"/>
      <c r="F417" s="22"/>
      <c r="G417" s="9"/>
      <c r="H417" s="22"/>
      <c r="I417" s="9"/>
      <c r="J417" s="9"/>
      <c r="K417" s="22"/>
      <c r="L417" s="9"/>
      <c r="M417" s="22"/>
      <c r="N417" s="9"/>
      <c r="O417" s="22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</row>
    <row r="418" spans="1:99" x14ac:dyDescent="0.2">
      <c r="A418" s="9"/>
      <c r="B418" s="9"/>
      <c r="C418" s="9"/>
      <c r="D418" s="22"/>
      <c r="E418" s="9"/>
      <c r="F418" s="22"/>
      <c r="G418" s="9"/>
      <c r="H418" s="22"/>
      <c r="I418" s="9"/>
      <c r="J418" s="9"/>
      <c r="K418" s="22"/>
      <c r="L418" s="9"/>
      <c r="M418" s="22"/>
      <c r="N418" s="9"/>
      <c r="O418" s="22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</row>
    <row r="419" spans="1:99" x14ac:dyDescent="0.2">
      <c r="A419" s="9"/>
      <c r="B419" s="9"/>
      <c r="C419" s="9"/>
      <c r="D419" s="22"/>
      <c r="E419" s="9"/>
      <c r="F419" s="22"/>
      <c r="G419" s="9"/>
      <c r="H419" s="22"/>
      <c r="I419" s="9"/>
      <c r="J419" s="9"/>
      <c r="K419" s="22"/>
      <c r="L419" s="9"/>
      <c r="M419" s="22"/>
      <c r="N419" s="9"/>
      <c r="O419" s="22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</row>
    <row r="420" spans="1:99" x14ac:dyDescent="0.2">
      <c r="A420" s="9"/>
      <c r="B420" s="9"/>
      <c r="C420" s="9"/>
      <c r="D420" s="22"/>
      <c r="E420" s="9"/>
      <c r="F420" s="22"/>
      <c r="G420" s="9"/>
      <c r="H420" s="22"/>
      <c r="I420" s="9"/>
      <c r="J420" s="9"/>
      <c r="K420" s="22"/>
      <c r="L420" s="9"/>
      <c r="M420" s="22"/>
      <c r="N420" s="9"/>
      <c r="O420" s="22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</row>
    <row r="421" spans="1:99" x14ac:dyDescent="0.2">
      <c r="A421" s="9"/>
      <c r="B421" s="9"/>
      <c r="C421" s="9"/>
      <c r="D421" s="22"/>
      <c r="E421" s="9"/>
      <c r="F421" s="22"/>
      <c r="G421" s="9"/>
      <c r="H421" s="22"/>
      <c r="I421" s="9"/>
      <c r="J421" s="9"/>
      <c r="K421" s="22"/>
      <c r="L421" s="9"/>
      <c r="M421" s="22"/>
      <c r="N421" s="9"/>
      <c r="O421" s="22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S196"/>
  <sheetViews>
    <sheetView workbookViewId="0">
      <pane ySplit="6" topLeftCell="A46" activePane="bottomLeft" state="frozen"/>
      <selection pane="bottomLeft" activeCell="D94" sqref="D94"/>
    </sheetView>
  </sheetViews>
  <sheetFormatPr baseColWidth="10" defaultRowHeight="12.75" x14ac:dyDescent="0.2"/>
  <cols>
    <col min="1" max="1" width="24.85546875" customWidth="1"/>
  </cols>
  <sheetData>
    <row r="1" spans="1:97" ht="15.75" x14ac:dyDescent="0.25">
      <c r="A1" s="8" t="s">
        <v>131</v>
      </c>
      <c r="B1" s="9"/>
      <c r="C1" s="9"/>
      <c r="D1" s="9"/>
      <c r="E1" s="9"/>
      <c r="F1" s="9"/>
      <c r="G1" s="9"/>
      <c r="H1" s="9"/>
      <c r="I1" s="9"/>
      <c r="J1" s="22"/>
      <c r="K1" s="9"/>
      <c r="L1" s="2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</row>
    <row r="2" spans="1:97" x14ac:dyDescent="0.2">
      <c r="A2" s="30" t="s">
        <v>130</v>
      </c>
      <c r="B2" s="9"/>
      <c r="C2" s="9"/>
      <c r="D2" s="9"/>
      <c r="E2" s="9"/>
      <c r="F2" s="9"/>
      <c r="G2" s="9"/>
      <c r="H2" s="9"/>
      <c r="I2" s="9"/>
      <c r="J2" s="22"/>
      <c r="K2" s="9"/>
      <c r="L2" s="2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</row>
    <row r="3" spans="1:97" x14ac:dyDescent="0.2">
      <c r="A3" s="9"/>
      <c r="B3" s="9"/>
      <c r="C3" s="9"/>
      <c r="D3" s="9"/>
      <c r="E3" s="9"/>
      <c r="F3" s="9"/>
      <c r="G3" s="10" t="s">
        <v>121</v>
      </c>
      <c r="H3" s="9"/>
      <c r="I3" s="9"/>
      <c r="J3" s="22"/>
      <c r="K3" s="9"/>
      <c r="L3" s="2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</row>
    <row r="4" spans="1:97" x14ac:dyDescent="0.2">
      <c r="A4" s="9"/>
      <c r="B4" s="9"/>
      <c r="C4" s="9"/>
      <c r="D4" s="9"/>
      <c r="E4" s="9"/>
      <c r="F4" s="9"/>
      <c r="G4" s="9"/>
      <c r="H4" s="9"/>
      <c r="I4" s="9"/>
      <c r="J4" s="22"/>
      <c r="K4" s="9"/>
      <c r="L4" s="2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</row>
    <row r="5" spans="1:97" x14ac:dyDescent="0.2">
      <c r="A5" s="25" t="s">
        <v>4</v>
      </c>
      <c r="B5" s="24" t="s">
        <v>6</v>
      </c>
      <c r="C5" s="24" t="s">
        <v>49</v>
      </c>
      <c r="D5" s="24" t="s">
        <v>8</v>
      </c>
      <c r="E5" s="24" t="s">
        <v>9</v>
      </c>
      <c r="F5" s="24" t="s">
        <v>10</v>
      </c>
      <c r="G5" s="24" t="s">
        <v>10</v>
      </c>
      <c r="H5" s="9"/>
      <c r="I5" s="9"/>
      <c r="J5" s="22"/>
      <c r="K5" s="9"/>
      <c r="L5" s="2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</row>
    <row r="6" spans="1:97" x14ac:dyDescent="0.2">
      <c r="A6" s="10"/>
      <c r="B6" s="10" t="s">
        <v>11</v>
      </c>
      <c r="C6" s="10" t="s">
        <v>120</v>
      </c>
      <c r="D6" s="10" t="s">
        <v>12</v>
      </c>
      <c r="E6" s="10" t="s">
        <v>12</v>
      </c>
      <c r="F6" s="10" t="s">
        <v>12</v>
      </c>
      <c r="G6" s="10" t="s">
        <v>13</v>
      </c>
      <c r="H6" s="9"/>
      <c r="I6" s="9"/>
      <c r="J6" s="22"/>
      <c r="K6" s="9"/>
      <c r="L6" s="2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</row>
    <row r="7" spans="1:97" x14ac:dyDescent="0.2">
      <c r="A7" s="9" t="s">
        <v>97</v>
      </c>
      <c r="B7" s="9">
        <f>IFERROR(VLOOKUP(A7,'Reporte Total'!$A$2:$V$157,18,FALSE),0)</f>
        <v>715574</v>
      </c>
      <c r="C7" s="22">
        <f>IFERROR(VLOOKUP(A7,'Reporte Total'!$A$2:$V$157,22,FALSE),0)</f>
        <v>1.9890000000000001</v>
      </c>
      <c r="D7" s="9">
        <f>IFERROR(VLOOKUP(A7,'Reporte Total'!$A$2:$V$157,19,FALSE),0)</f>
        <v>52.64</v>
      </c>
      <c r="E7" s="22">
        <f>IFERROR(VLOOKUP(A7,'Reporte Total'!$A$2:$V$157,20,FALSE),0)</f>
        <v>2.677</v>
      </c>
      <c r="F7" s="9">
        <f>+D7+E7*$B$89</f>
        <v>253.41500000000002</v>
      </c>
      <c r="G7" s="22">
        <f t="shared" ref="G7" si="0">+B7*F7/31.1035/1000000</f>
        <v>5.8301215364830323</v>
      </c>
      <c r="H7" s="9"/>
      <c r="I7" s="9"/>
      <c r="J7" s="22"/>
      <c r="K7" s="9"/>
      <c r="L7" s="2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</row>
    <row r="8" spans="1:97" x14ac:dyDescent="0.2">
      <c r="A8" s="9" t="s">
        <v>76</v>
      </c>
      <c r="B8" s="9">
        <f>IFERROR(VLOOKUP(A8,'Reporte Total'!$A$2:$V$157,18,FALSE),0)</f>
        <v>1957311.1719175801</v>
      </c>
      <c r="C8" s="22">
        <f>IFERROR(VLOOKUP(A8,'Reporte Total'!$A$2:$V$157,22,FALSE),0)</f>
        <v>4.7927214951564032</v>
      </c>
      <c r="D8" s="9">
        <f>IFERROR(VLOOKUP(A8,'Reporte Total'!$A$2:$V$157,19,FALSE),0)</f>
        <v>113.51388499255731</v>
      </c>
      <c r="E8" s="22">
        <f>IFERROR(VLOOKUP(A8,'Reporte Total'!$A$2:$V$157,20,FALSE),0)</f>
        <v>2.9466096981509984</v>
      </c>
      <c r="F8" s="9">
        <f>+D8+E8*$B$89</f>
        <v>334.50961235388218</v>
      </c>
      <c r="G8" s="22">
        <f t="shared" ref="G8" si="1">+B8*F8/31.1035/1000000</f>
        <v>21.050344860677175</v>
      </c>
      <c r="H8" s="9"/>
      <c r="I8" s="9"/>
      <c r="J8" s="22"/>
      <c r="K8" s="9"/>
      <c r="L8" s="2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</row>
    <row r="9" spans="1:97" x14ac:dyDescent="0.2">
      <c r="A9" s="9" t="s">
        <v>38</v>
      </c>
      <c r="B9" s="9">
        <f>IFERROR(VLOOKUP(A9,'Reporte Total'!$A$2:$V$157,18,FALSE),0)</f>
        <v>442133.5</v>
      </c>
      <c r="C9" s="22">
        <f>+Lola!$L$61</f>
        <v>2.0640000000000001</v>
      </c>
      <c r="D9" s="9">
        <f>+Lola!$F$61</f>
        <v>54.84</v>
      </c>
      <c r="E9" s="22">
        <f>+Lola!$I$61</f>
        <v>2.3820000000000001</v>
      </c>
      <c r="F9" s="9">
        <f>+D9+E9*$B$89</f>
        <v>233.49</v>
      </c>
      <c r="G9" s="22">
        <f>+B9*F9/31.1035/1000000</f>
        <v>3.3190396873342234</v>
      </c>
      <c r="H9" s="9"/>
      <c r="I9" s="9"/>
      <c r="J9" s="22"/>
      <c r="K9" s="9"/>
      <c r="L9" s="2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</row>
    <row r="10" spans="1:97" x14ac:dyDescent="0.2">
      <c r="A10" s="9" t="s">
        <v>39</v>
      </c>
      <c r="B10" s="9">
        <f>IFERROR(VLOOKUP(A10,'Reporte Total'!$A$2:$V$157,18,FALSE),0)</f>
        <v>269230.59999999998</v>
      </c>
      <c r="C10" s="22">
        <f>+Olga!$L$61</f>
        <v>1.5</v>
      </c>
      <c r="D10" s="9">
        <f>+Olga!$F$61</f>
        <v>120.49</v>
      </c>
      <c r="E10" s="22">
        <f>+Olga!$I$61</f>
        <v>1.893</v>
      </c>
      <c r="F10" s="9">
        <f>+D10+E10*$B$89</f>
        <v>262.46499999999997</v>
      </c>
      <c r="G10" s="22">
        <f>+B10*F10/31.1035/1000000</f>
        <v>2.2718861037825322</v>
      </c>
      <c r="H10" s="9"/>
      <c r="I10" s="9"/>
      <c r="J10" s="22"/>
      <c r="K10" s="9"/>
      <c r="L10" s="2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</row>
    <row r="11" spans="1:97" x14ac:dyDescent="0.2">
      <c r="A11" s="120" t="s">
        <v>37</v>
      </c>
      <c r="B11" s="9">
        <f>IFERROR(VLOOKUP(A11,'Reporte Total'!$A$2:$V$157,18,FALSE),0)</f>
        <v>145193.9</v>
      </c>
      <c r="C11" s="22">
        <f>+Lizina!$L$61</f>
        <v>1.4990000000000001</v>
      </c>
      <c r="D11" s="9">
        <f>+Lizina!$F$61</f>
        <v>90.53</v>
      </c>
      <c r="E11" s="22">
        <f>+Lizina!$I$61</f>
        <v>1.8160000000000001</v>
      </c>
      <c r="F11" s="9">
        <f>+D11+E11*$B$89</f>
        <v>226.73000000000002</v>
      </c>
      <c r="G11" s="22">
        <f t="shared" ref="G11:G74" si="2">+B11*F11/31.1035/1000000</f>
        <v>1.0583957736910639</v>
      </c>
      <c r="H11" s="9"/>
      <c r="I11" s="9"/>
      <c r="J11" s="22"/>
      <c r="K11" s="9"/>
      <c r="L11" s="22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</row>
    <row r="12" spans="1:97" x14ac:dyDescent="0.2">
      <c r="A12" s="120" t="s">
        <v>41</v>
      </c>
      <c r="B12" s="9">
        <f>IFERROR(VLOOKUP(A12,'Reporte Total'!$A$2:$V$157,18,FALSE),0)</f>
        <v>100377.3</v>
      </c>
      <c r="C12" s="22">
        <f>+Rosy!$L$61</f>
        <v>1.8069999999999999</v>
      </c>
      <c r="D12" s="9">
        <f>+Rosy!$F$61</f>
        <v>141.19999999999999</v>
      </c>
      <c r="E12" s="22">
        <f>+Rosy!$I$61</f>
        <v>1.8140000000000001</v>
      </c>
      <c r="F12" s="9">
        <f>+D12+E12*$B$89</f>
        <v>277.25</v>
      </c>
      <c r="G12" s="22">
        <f t="shared" si="2"/>
        <v>0.89474195588920857</v>
      </c>
      <c r="H12" s="9"/>
      <c r="I12" s="9"/>
      <c r="J12" s="22"/>
      <c r="K12" s="9"/>
      <c r="L12" s="2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</row>
    <row r="13" spans="1:97" x14ac:dyDescent="0.2">
      <c r="A13" s="120" t="s">
        <v>42</v>
      </c>
      <c r="B13" s="9">
        <f>IFERROR(VLOOKUP(A13,'Reporte Total'!$A$2:$V$157,18,FALSE),0)</f>
        <v>162024.6</v>
      </c>
      <c r="C13" s="22">
        <f>+Gera!$L$61</f>
        <v>1.226</v>
      </c>
      <c r="D13" s="9">
        <f>+Gera!$F$61</f>
        <v>65.61</v>
      </c>
      <c r="E13" s="22">
        <f>+Gera!$I$61</f>
        <v>2.3010000000000002</v>
      </c>
      <c r="F13" s="9">
        <f>+D13+E13*$B$89</f>
        <v>238.185</v>
      </c>
      <c r="G13" s="22">
        <f t="shared" si="2"/>
        <v>1.2407551996077613</v>
      </c>
      <c r="H13" s="9"/>
      <c r="I13" s="9"/>
      <c r="J13" s="22"/>
      <c r="K13" s="9"/>
      <c r="L13" s="2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</row>
    <row r="14" spans="1:97" x14ac:dyDescent="0.2">
      <c r="A14" s="120" t="s">
        <v>43</v>
      </c>
      <c r="B14" s="9">
        <f>IFERROR(VLOOKUP(A14,'Reporte Total'!$A$2:$V$157,18,FALSE),0)</f>
        <v>988518.2</v>
      </c>
      <c r="C14" s="22">
        <f>+Naty!$L$61</f>
        <v>2.6309999999999998</v>
      </c>
      <c r="D14" s="9">
        <f>+Naty!$F$61</f>
        <v>90.32</v>
      </c>
      <c r="E14" s="22">
        <f>+Naty!$I$61</f>
        <v>2.4900000000000002</v>
      </c>
      <c r="F14" s="9">
        <f>+D14+E14*$B$89</f>
        <v>277.07000000000005</v>
      </c>
      <c r="G14" s="22">
        <f t="shared" si="2"/>
        <v>8.805720824794637</v>
      </c>
      <c r="H14" s="9"/>
      <c r="I14" s="9"/>
      <c r="J14" s="22"/>
      <c r="K14" s="9"/>
      <c r="L14" s="22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</row>
    <row r="15" spans="1:97" x14ac:dyDescent="0.2">
      <c r="A15" s="120" t="s">
        <v>44</v>
      </c>
      <c r="B15" s="9">
        <f>IFERROR(VLOOKUP(A15,'Reporte Total'!$A$2:$V$157,18,FALSE),0)</f>
        <v>188783.4</v>
      </c>
      <c r="C15" s="22">
        <f>+Nora!$L$61</f>
        <v>1.86</v>
      </c>
      <c r="D15" s="9">
        <f>+Nora!$F$61</f>
        <v>129.22</v>
      </c>
      <c r="E15" s="22">
        <f>+Nora!$I$61</f>
        <v>1.9650000000000001</v>
      </c>
      <c r="F15" s="9">
        <f>+D15+E15*$B$89</f>
        <v>276.59500000000003</v>
      </c>
      <c r="G15" s="22">
        <f t="shared" si="2"/>
        <v>1.6787996374363015</v>
      </c>
      <c r="H15" s="9"/>
      <c r="I15" s="9"/>
      <c r="J15" s="22"/>
      <c r="K15" s="9"/>
      <c r="L15" s="2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</row>
    <row r="16" spans="1:97" x14ac:dyDescent="0.2">
      <c r="A16" s="120" t="s">
        <v>45</v>
      </c>
      <c r="B16" s="9">
        <f>IFERROR(VLOOKUP(A16,'Reporte Total'!$A$2:$V$157,18,FALSE),0)</f>
        <v>137884.20000000001</v>
      </c>
      <c r="C16" s="22">
        <f>+Ross!$L$61</f>
        <v>0.99</v>
      </c>
      <c r="D16" s="9">
        <f>+Ross!$F$61</f>
        <v>87.61</v>
      </c>
      <c r="E16" s="22">
        <f>+Ross!$I$61</f>
        <v>2.0990000000000002</v>
      </c>
      <c r="F16" s="9">
        <f>+D16+E16*$B$89</f>
        <v>245.03500000000003</v>
      </c>
      <c r="G16" s="22">
        <f t="shared" si="2"/>
        <v>1.0862589402157314</v>
      </c>
      <c r="H16" s="9"/>
      <c r="I16" s="9"/>
      <c r="J16" s="22"/>
      <c r="K16" s="9"/>
      <c r="L16" s="2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</row>
    <row r="17" spans="1:97" x14ac:dyDescent="0.2">
      <c r="A17" s="120" t="s">
        <v>46</v>
      </c>
      <c r="B17" s="9">
        <f>IFERROR(VLOOKUP(A17,'Reporte Total'!$A$2:$V$157,18,FALSE),0)</f>
        <v>90363.7</v>
      </c>
      <c r="C17" s="22">
        <f>+Diana!$L$61</f>
        <v>1.7749999999999999</v>
      </c>
      <c r="D17" s="9">
        <f>+Diana!$F$61</f>
        <v>201.34</v>
      </c>
      <c r="E17" s="22">
        <f>+Diana!$I$61</f>
        <v>2.097</v>
      </c>
      <c r="F17" s="9">
        <f>+D17+E17*$B$89</f>
        <v>358.61500000000001</v>
      </c>
      <c r="G17" s="22">
        <f t="shared" si="2"/>
        <v>1.0418691875673156</v>
      </c>
      <c r="H17" s="9"/>
      <c r="I17" s="9"/>
      <c r="J17" s="22"/>
      <c r="K17" s="9"/>
      <c r="L17" s="22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</row>
    <row r="18" spans="1:97" x14ac:dyDescent="0.2">
      <c r="A18" s="120" t="s">
        <v>47</v>
      </c>
      <c r="B18" s="9">
        <f>IFERROR(VLOOKUP(A18,'Reporte Total'!$A$2:$V$157,18,FALSE),0)</f>
        <v>72906.3</v>
      </c>
      <c r="C18" s="22">
        <f>+Lady_Norte!$L$61</f>
        <v>0.95899999999999996</v>
      </c>
      <c r="D18" s="9">
        <f>+Lady_Norte!$F$61</f>
        <v>42.19</v>
      </c>
      <c r="E18" s="22">
        <f>+Lady_Norte!$I$61</f>
        <v>2.5299999999999998</v>
      </c>
      <c r="F18" s="9">
        <f>+D18+E18*$B$89</f>
        <v>231.93999999999997</v>
      </c>
      <c r="G18" s="22">
        <f t="shared" si="2"/>
        <v>0.54366509306026645</v>
      </c>
      <c r="H18" s="9"/>
      <c r="I18" s="9"/>
      <c r="J18" s="22"/>
      <c r="K18" s="9"/>
      <c r="L18" s="22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</row>
    <row r="19" spans="1:97" x14ac:dyDescent="0.2">
      <c r="A19" s="120" t="s">
        <v>48</v>
      </c>
      <c r="B19" s="9">
        <f>IFERROR(VLOOKUP(A19,'Reporte Total'!$A$2:$V$157,18,FALSE),0)</f>
        <v>133837.1</v>
      </c>
      <c r="C19" s="22">
        <f>+Peta!$L$61</f>
        <v>1.635</v>
      </c>
      <c r="D19" s="9">
        <f>+Peta!$F$61</f>
        <v>63.67</v>
      </c>
      <c r="E19" s="22">
        <f>+Peta!$I$61</f>
        <v>2.6240000000000001</v>
      </c>
      <c r="F19" s="9">
        <f>+D19+E19*$B$89</f>
        <v>260.47000000000003</v>
      </c>
      <c r="G19" s="22">
        <f t="shared" si="2"/>
        <v>1.1207918541964732</v>
      </c>
      <c r="H19" s="9"/>
      <c r="I19" s="9"/>
      <c r="J19" s="22"/>
      <c r="K19" s="9"/>
      <c r="L19" s="2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</row>
    <row r="20" spans="1:97" x14ac:dyDescent="0.2">
      <c r="A20" s="9" t="s">
        <v>112</v>
      </c>
      <c r="B20" s="9">
        <f>IFERROR(VLOOKUP(A20,'Reporte Total'!$A$2:$V$157,18,FALSE),0)</f>
        <v>946756.65592831001</v>
      </c>
      <c r="C20" s="22">
        <f>IFERROR(VLOOKUP(A20,'Reporte Total'!$A$2:$V$157,22,FALSE),0)</f>
        <v>4.9157898501696078</v>
      </c>
      <c r="D20" s="9">
        <f>IFERROR(VLOOKUP(A20,'Reporte Total'!$A$2:$V$157,19,FALSE),0)</f>
        <v>366.83329795194527</v>
      </c>
      <c r="E20" s="22">
        <f>IFERROR(VLOOKUP(A20,'Reporte Total'!$A$2:$V$157,20,FALSE),0)</f>
        <v>7.2203967603409271</v>
      </c>
      <c r="F20" s="9">
        <f>+D20+E20*$B$89</f>
        <v>908.36305497751482</v>
      </c>
      <c r="G20" s="22">
        <f t="shared" si="2"/>
        <v>27.649581825175158</v>
      </c>
      <c r="H20" s="9"/>
      <c r="I20" s="9"/>
      <c r="J20" s="22"/>
      <c r="K20" s="9"/>
      <c r="L20" s="2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</row>
    <row r="21" spans="1:97" x14ac:dyDescent="0.2">
      <c r="A21" s="9" t="s">
        <v>94</v>
      </c>
      <c r="B21" s="9">
        <f>IFERROR(VLOOKUP(A21,'Reporte Total'!$A$2:$V$157,18,FALSE),0)</f>
        <v>881787.43273216859</v>
      </c>
      <c r="C21" s="22">
        <f>IFERROR(VLOOKUP(A21,'Reporte Total'!$A$2:$V$157,22,FALSE),0)</f>
        <v>2.4674171204465121</v>
      </c>
      <c r="D21" s="9">
        <f>IFERROR(VLOOKUP(A21,'Reporte Total'!$A$2:$V$157,19,FALSE),0)</f>
        <v>129.56830014215024</v>
      </c>
      <c r="E21" s="22">
        <f>IFERROR(VLOOKUP(A21,'Reporte Total'!$A$2:$V$157,20,FALSE),0)</f>
        <v>3.4159723417076711</v>
      </c>
      <c r="F21" s="9">
        <f>+D21+E21*$B$89</f>
        <v>385.76622577022556</v>
      </c>
      <c r="G21" s="22">
        <f t="shared" si="2"/>
        <v>10.936512285006682</v>
      </c>
      <c r="H21" s="9"/>
      <c r="I21" s="9"/>
      <c r="J21" s="22"/>
      <c r="K21" s="9"/>
      <c r="L21" s="2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</row>
    <row r="22" spans="1:97" x14ac:dyDescent="0.2">
      <c r="A22" s="9" t="s">
        <v>61</v>
      </c>
      <c r="B22" s="9">
        <f>IFERROR(VLOOKUP(A22,'Reporte Total'!$A$2:$V$157,18,FALSE),0)</f>
        <v>619038.67331146763</v>
      </c>
      <c r="C22" s="22">
        <f>IFERROR(VLOOKUP(A22,'Reporte Total'!$A$2:$V$157,22,FALSE),0)</f>
        <v>2.0969038475634987</v>
      </c>
      <c r="D22" s="9">
        <f>IFERROR(VLOOKUP(A22,'Reporte Total'!$A$2:$V$157,19,FALSE),0)</f>
        <v>208.95443123790452</v>
      </c>
      <c r="E22" s="22">
        <f>IFERROR(VLOOKUP(A22,'Reporte Total'!$A$2:$V$157,20,FALSE),0)</f>
        <v>3.7448795268598389</v>
      </c>
      <c r="F22" s="9">
        <f>+D22+E22*$B$89</f>
        <v>489.82039575239241</v>
      </c>
      <c r="G22" s="22">
        <f t="shared" si="2"/>
        <v>9.7486703408767195</v>
      </c>
      <c r="H22" s="9"/>
      <c r="I22" s="9"/>
      <c r="J22" s="22"/>
      <c r="K22" s="9"/>
      <c r="L22" s="2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</row>
    <row r="23" spans="1:97" x14ac:dyDescent="0.2">
      <c r="A23" s="9" t="s">
        <v>93</v>
      </c>
      <c r="B23" s="9">
        <f>IFERROR(VLOOKUP(A23,'Reporte Total'!$A$2:$V$157,18,FALSE),0)</f>
        <v>483999.08753896097</v>
      </c>
      <c r="C23" s="22">
        <f>IFERROR(VLOOKUP(A23,'Reporte Total'!$A$2:$V$157,22,FALSE),0)</f>
        <v>3.3126436667425279</v>
      </c>
      <c r="D23" s="9">
        <f>IFERROR(VLOOKUP(A23,'Reporte Total'!$A$2:$V$157,19,FALSE),0)</f>
        <v>163.5045200275471</v>
      </c>
      <c r="E23" s="22">
        <f>IFERROR(VLOOKUP(A23,'Reporte Total'!$A$2:$V$157,20,FALSE),0)</f>
        <v>5.338039483722925</v>
      </c>
      <c r="F23" s="9">
        <f>+D23+E23*$B$89</f>
        <v>563.85748130676643</v>
      </c>
      <c r="G23" s="22">
        <f t="shared" si="2"/>
        <v>8.7741413813394526</v>
      </c>
      <c r="H23" s="9"/>
      <c r="I23" s="9"/>
      <c r="J23" s="22"/>
      <c r="K23" s="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</row>
    <row r="24" spans="1:97" x14ac:dyDescent="0.2">
      <c r="A24" s="9" t="s">
        <v>69</v>
      </c>
      <c r="B24" s="9">
        <f>IFERROR(VLOOKUP(A24,'Reporte Total'!$A$2:$V$157,18,FALSE),0)</f>
        <v>417014.73765829747</v>
      </c>
      <c r="C24" s="22">
        <f>IFERROR(VLOOKUP(A24,'Reporte Total'!$A$2:$V$157,22,FALSE),0)</f>
        <v>1.4445859338601397</v>
      </c>
      <c r="D24" s="9">
        <f>IFERROR(VLOOKUP(A24,'Reporte Total'!$A$2:$V$157,19,FALSE),0)</f>
        <v>142.9897822638732</v>
      </c>
      <c r="E24" s="22">
        <f>IFERROR(VLOOKUP(A24,'Reporte Total'!$A$2:$V$157,20,FALSE),0)</f>
        <v>2.6177421857264775</v>
      </c>
      <c r="F24" s="9">
        <f>+D24+E24*$B$89</f>
        <v>339.32044619335898</v>
      </c>
      <c r="G24" s="22">
        <f t="shared" si="2"/>
        <v>4.5493795505785535</v>
      </c>
      <c r="H24" s="9"/>
      <c r="I24" s="9"/>
      <c r="J24" s="22"/>
      <c r="K24" s="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</row>
    <row r="25" spans="1:97" x14ac:dyDescent="0.2">
      <c r="A25" s="9" t="s">
        <v>40</v>
      </c>
      <c r="B25" s="9">
        <f>IFERROR(VLOOKUP(A25,'Reporte Total'!$A$2:$V$157,18,FALSE),0)</f>
        <v>412814.9</v>
      </c>
      <c r="C25" s="22">
        <f>IFERROR(VLOOKUP(A25,'Reporte Total'!$A$2:$V$157,22,FALSE),0)</f>
        <v>1.7090000000000001</v>
      </c>
      <c r="D25" s="9">
        <f>IFERROR(VLOOKUP(A25,'Reporte Total'!$A$2:$V$157,19,FALSE),0)</f>
        <v>82.66</v>
      </c>
      <c r="E25" s="22">
        <f>IFERROR(VLOOKUP(A25,'Reporte Total'!$A$2:$V$157,20,FALSE),0)</f>
        <v>2.2050000000000001</v>
      </c>
      <c r="F25" s="9">
        <f>+D25+E25*$B$89</f>
        <v>248.035</v>
      </c>
      <c r="G25" s="22">
        <f t="shared" si="2"/>
        <v>3.2919942682174033</v>
      </c>
      <c r="H25" s="9"/>
      <c r="I25" s="9"/>
      <c r="J25" s="22"/>
      <c r="K25" s="9"/>
      <c r="L25" s="2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spans="1:97" x14ac:dyDescent="0.2">
      <c r="A26" s="9" t="s">
        <v>78</v>
      </c>
      <c r="B26" s="9">
        <f>IFERROR(VLOOKUP(A26,'Reporte Total'!$A$2:$V$157,18,FALSE),0)</f>
        <v>404635.15015318833</v>
      </c>
      <c r="C26" s="22">
        <f>IFERROR(VLOOKUP(A26,'Reporte Total'!$A$2:$V$157,22,FALSE),0)</f>
        <v>0.91440060901278541</v>
      </c>
      <c r="D26" s="9">
        <f>IFERROR(VLOOKUP(A26,'Reporte Total'!$A$2:$V$157,19,FALSE),0)</f>
        <v>70.474012876885581</v>
      </c>
      <c r="E26" s="22">
        <f>IFERROR(VLOOKUP(A26,'Reporte Total'!$A$2:$V$157,20,FALSE),0)</f>
        <v>3.3660498345851777</v>
      </c>
      <c r="F26" s="9">
        <f>+D26+E26*$B$89</f>
        <v>322.9277504707739</v>
      </c>
      <c r="G26" s="22">
        <f t="shared" si="2"/>
        <v>4.2010680084354792</v>
      </c>
      <c r="H26" s="9"/>
      <c r="I26" s="9"/>
      <c r="J26" s="22"/>
      <c r="K26" s="9"/>
      <c r="L26" s="2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</row>
    <row r="27" spans="1:97" x14ac:dyDescent="0.2">
      <c r="A27" s="9" t="s">
        <v>82</v>
      </c>
      <c r="B27" s="9">
        <f>IFERROR(VLOOKUP(A27,'Reporte Total'!$A$2:$V$157,18,FALSE),0)</f>
        <v>399638.3557983127</v>
      </c>
      <c r="C27" s="22">
        <f>IFERROR(VLOOKUP(A27,'Reporte Total'!$A$2:$V$157,22,FALSE),0)</f>
        <v>1.303134449926175</v>
      </c>
      <c r="D27" s="9">
        <f>IFERROR(VLOOKUP(A27,'Reporte Total'!$A$2:$V$157,19,FALSE),0)</f>
        <v>63.291709958154868</v>
      </c>
      <c r="E27" s="22">
        <f>IFERROR(VLOOKUP(A27,'Reporte Total'!$A$2:$V$157,20,FALSE),0)</f>
        <v>4.0679518848077736</v>
      </c>
      <c r="F27" s="9">
        <f>+D27+E27*$B$89</f>
        <v>368.38810131873788</v>
      </c>
      <c r="G27" s="22">
        <f t="shared" si="2"/>
        <v>4.733294166466238</v>
      </c>
      <c r="H27" s="9"/>
      <c r="I27" s="9"/>
      <c r="J27" s="22"/>
      <c r="K27" s="9"/>
      <c r="L27" s="2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</row>
    <row r="28" spans="1:97" x14ac:dyDescent="0.2">
      <c r="A28" s="9" t="s">
        <v>54</v>
      </c>
      <c r="B28" s="9">
        <f>IFERROR(VLOOKUP(A28,'Reporte Total'!$A$2:$V$157,18,FALSE),0)</f>
        <v>386696.36805918813</v>
      </c>
      <c r="C28" s="22">
        <f>IFERROR(VLOOKUP(A28,'Reporte Total'!$A$2:$V$157,22,FALSE),0)</f>
        <v>2.8584800212314456</v>
      </c>
      <c r="D28" s="9">
        <f>IFERROR(VLOOKUP(A28,'Reporte Total'!$A$2:$V$157,19,FALSE),0)</f>
        <v>58.160124248016132</v>
      </c>
      <c r="E28" s="22">
        <f>IFERROR(VLOOKUP(A28,'Reporte Total'!$A$2:$V$157,20,FALSE),0)</f>
        <v>2.616441784341359</v>
      </c>
      <c r="F28" s="9">
        <f>+D28+E28*$B$89</f>
        <v>254.39325807361806</v>
      </c>
      <c r="G28" s="22">
        <f t="shared" si="2"/>
        <v>3.1627613919916358</v>
      </c>
      <c r="H28" s="9"/>
      <c r="I28" s="9"/>
      <c r="J28" s="22"/>
      <c r="K28" s="9"/>
      <c r="L28" s="2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</row>
    <row r="29" spans="1:97" x14ac:dyDescent="0.2">
      <c r="A29" s="9" t="s">
        <v>55</v>
      </c>
      <c r="B29" s="9">
        <f>IFERROR(VLOOKUP(A29,'Reporte Total'!$A$2:$V$157,18,FALSE),0)</f>
        <v>327005.90089677955</v>
      </c>
      <c r="C29" s="22">
        <f>IFERROR(VLOOKUP(A29,'Reporte Total'!$A$2:$V$157,22,FALSE),0)</f>
        <v>1.9678795091119918</v>
      </c>
      <c r="D29" s="9">
        <f>IFERROR(VLOOKUP(A29,'Reporte Total'!$A$2:$V$157,19,FALSE),0)</f>
        <v>79.590721053557928</v>
      </c>
      <c r="E29" s="22">
        <f>IFERROR(VLOOKUP(A29,'Reporte Total'!$A$2:$V$157,20,FALSE),0)</f>
        <v>2.7071290324582518</v>
      </c>
      <c r="F29" s="9">
        <f>+D29+E29*$B$89</f>
        <v>282.62539848792682</v>
      </c>
      <c r="G29" s="22">
        <f t="shared" si="2"/>
        <v>2.9713753451815981</v>
      </c>
      <c r="H29" s="9"/>
      <c r="I29" s="9"/>
      <c r="J29" s="22"/>
      <c r="K29" s="9"/>
      <c r="L29" s="22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</row>
    <row r="30" spans="1:97" x14ac:dyDescent="0.2">
      <c r="A30" s="9" t="s">
        <v>113</v>
      </c>
      <c r="B30" s="9">
        <f>IFERROR(VLOOKUP(A30,'Reporte Total'!$A$2:$V$157,18,FALSE),0)</f>
        <v>347339.63807212352</v>
      </c>
      <c r="C30" s="22">
        <f>IFERROR(VLOOKUP(A30,'Reporte Total'!$A$2:$V$157,22,FALSE),0)</f>
        <v>2.2834233446582859</v>
      </c>
      <c r="D30" s="9">
        <f>IFERROR(VLOOKUP(A30,'Reporte Total'!$A$2:$V$157,19,FALSE),0)</f>
        <v>113.01730748939237</v>
      </c>
      <c r="E30" s="22">
        <f>IFERROR(VLOOKUP(A30,'Reporte Total'!$A$2:$V$157,20,FALSE),0)</f>
        <v>2.9731394602370722</v>
      </c>
      <c r="F30" s="9">
        <f>+D30+E30*$B$89</f>
        <v>336.00276700717279</v>
      </c>
      <c r="G30" s="22">
        <f t="shared" si="2"/>
        <v>3.7522169364702829</v>
      </c>
      <c r="H30" s="9"/>
      <c r="I30" s="9"/>
      <c r="J30" s="22"/>
      <c r="K30" s="9"/>
      <c r="L30" s="22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</row>
    <row r="31" spans="1:97" x14ac:dyDescent="0.2">
      <c r="A31" s="9" t="s">
        <v>66</v>
      </c>
      <c r="B31" s="9">
        <f>IFERROR(VLOOKUP(A31,'Reporte Total'!$A$2:$V$157,18,FALSE),0)</f>
        <v>276862.5142519527</v>
      </c>
      <c r="C31" s="22">
        <f>IFERROR(VLOOKUP(A31,'Reporte Total'!$A$2:$V$157,22,FALSE),0)</f>
        <v>1.846127858198191</v>
      </c>
      <c r="D31" s="9">
        <f>IFERROR(VLOOKUP(A31,'Reporte Total'!$A$2:$V$157,19,FALSE),0)</f>
        <v>163.94644086134321</v>
      </c>
      <c r="E31" s="22">
        <f>IFERROR(VLOOKUP(A31,'Reporte Total'!$A$2:$V$157,20,FALSE),0)</f>
        <v>2.1870653166080434</v>
      </c>
      <c r="F31" s="9">
        <f>+D31+E31*$B$89</f>
        <v>327.97633960694645</v>
      </c>
      <c r="G31" s="22">
        <f t="shared" si="2"/>
        <v>2.9194255951494688</v>
      </c>
      <c r="H31" s="9"/>
      <c r="I31" s="9"/>
      <c r="J31" s="22"/>
      <c r="K31" s="9"/>
      <c r="L31" s="22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</row>
    <row r="32" spans="1:97" x14ac:dyDescent="0.2">
      <c r="A32" s="9" t="s">
        <v>100</v>
      </c>
      <c r="B32" s="9">
        <f>IFERROR(VLOOKUP(A32,'Reporte Total'!$A$2:$V$157,18,FALSE),0)</f>
        <v>268441.7205390645</v>
      </c>
      <c r="C32" s="22">
        <f>IFERROR(VLOOKUP(A32,'Reporte Total'!$A$2:$V$157,22,FALSE),0)</f>
        <v>1.9889686282744339</v>
      </c>
      <c r="D32" s="9">
        <f>IFERROR(VLOOKUP(A32,'Reporte Total'!$A$2:$V$157,19,FALSE),0)</f>
        <v>224.42496747026334</v>
      </c>
      <c r="E32" s="22">
        <f>IFERROR(VLOOKUP(A32,'Reporte Total'!$A$2:$V$157,20,FALSE),0)</f>
        <v>3.5432884618500116</v>
      </c>
      <c r="F32" s="9">
        <f>+D32+E32*$B$89</f>
        <v>490.1716021090142</v>
      </c>
      <c r="G32" s="22">
        <f t="shared" si="2"/>
        <v>4.2304727194538723</v>
      </c>
      <c r="H32" s="9"/>
      <c r="I32" s="9"/>
      <c r="J32" s="22"/>
      <c r="K32" s="9"/>
      <c r="L32" s="22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</row>
    <row r="33" spans="1:97" x14ac:dyDescent="0.2">
      <c r="A33" s="9" t="s">
        <v>98</v>
      </c>
      <c r="B33" s="9">
        <f>IFERROR(VLOOKUP(A33,'Reporte Total'!$A$2:$V$157,18,FALSE),0)</f>
        <v>270161.41556212655</v>
      </c>
      <c r="C33" s="22">
        <f>IFERROR(VLOOKUP(A33,'Reporte Total'!$A$2:$V$157,22,FALSE),0)</f>
        <v>0.83876138893219809</v>
      </c>
      <c r="D33" s="9">
        <f>IFERROR(VLOOKUP(A33,'Reporte Total'!$A$2:$V$157,19,FALSE),0)</f>
        <v>60.474262273425204</v>
      </c>
      <c r="E33" s="22">
        <f>IFERROR(VLOOKUP(A33,'Reporte Total'!$A$2:$V$157,20,FALSE),0)</f>
        <v>4.0813802171109064</v>
      </c>
      <c r="F33" s="9">
        <f>+D33+E33*$B$89</f>
        <v>366.57777855674317</v>
      </c>
      <c r="G33" s="22">
        <f t="shared" si="2"/>
        <v>3.1840523275036405</v>
      </c>
      <c r="H33" s="9"/>
      <c r="I33" s="9"/>
      <c r="J33" s="22"/>
      <c r="K33" s="9"/>
      <c r="L33" s="2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 x14ac:dyDescent="0.2">
      <c r="A34" s="9" t="s">
        <v>59</v>
      </c>
      <c r="B34" s="9">
        <f>IFERROR(VLOOKUP(A34,'Reporte Total'!$A$2:$V$157,18,FALSE),0)</f>
        <v>256602.71905849004</v>
      </c>
      <c r="C34" s="22">
        <f>IFERROR(VLOOKUP(A34,'Reporte Total'!$A$2:$V$157,22,FALSE),0)</f>
        <v>1.3238161078003154</v>
      </c>
      <c r="D34" s="9">
        <f>IFERROR(VLOOKUP(A34,'Reporte Total'!$A$2:$V$157,19,FALSE),0)</f>
        <v>76.138246724496213</v>
      </c>
      <c r="E34" s="22">
        <f>IFERROR(VLOOKUP(A34,'Reporte Total'!$A$2:$V$157,20,FALSE),0)</f>
        <v>3.5399024813106599</v>
      </c>
      <c r="F34" s="9">
        <f>+D34+E34*$B$89</f>
        <v>341.63093282279567</v>
      </c>
      <c r="G34" s="22">
        <f t="shared" si="2"/>
        <v>2.8184424992948611</v>
      </c>
      <c r="H34" s="9"/>
      <c r="I34" s="9"/>
      <c r="J34" s="22"/>
      <c r="K34" s="9"/>
      <c r="L34" s="22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x14ac:dyDescent="0.2">
      <c r="A35" s="9" t="s">
        <v>68</v>
      </c>
      <c r="B35" s="9">
        <f>IFERROR(VLOOKUP(A35,'Reporte Total'!$A$2:$V$157,18,FALSE),0)</f>
        <v>242873.00408265088</v>
      </c>
      <c r="C35" s="22">
        <f>IFERROR(VLOOKUP(A35,'Reporte Total'!$A$2:$V$157,22,FALSE),0)</f>
        <v>1.9889656533391022</v>
      </c>
      <c r="D35" s="9">
        <f>IFERROR(VLOOKUP(A35,'Reporte Total'!$A$2:$V$157,19,FALSE),0)</f>
        <v>124.74560636811822</v>
      </c>
      <c r="E35" s="22">
        <f>IFERROR(VLOOKUP(A35,'Reporte Total'!$A$2:$V$157,20,FALSE),0)</f>
        <v>2.7186555204289276</v>
      </c>
      <c r="F35" s="9">
        <f>+D35+E35*$B$89</f>
        <v>328.64477040028783</v>
      </c>
      <c r="G35" s="22">
        <f t="shared" si="2"/>
        <v>2.5662366827903922</v>
      </c>
      <c r="H35" s="9"/>
      <c r="I35" s="9"/>
      <c r="J35" s="22"/>
      <c r="K35" s="9"/>
      <c r="L35" s="2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</row>
    <row r="36" spans="1:97" x14ac:dyDescent="0.2">
      <c r="A36" s="9" t="s">
        <v>56</v>
      </c>
      <c r="B36" s="9">
        <f>IFERROR(VLOOKUP(A36,'Reporte Total'!$A$2:$V$157,18,FALSE),0)</f>
        <v>259663.33450222228</v>
      </c>
      <c r="C36" s="22">
        <f>IFERROR(VLOOKUP(A36,'Reporte Total'!$A$2:$V$157,22,FALSE),0)</f>
        <v>0.99866858802504799</v>
      </c>
      <c r="D36" s="9">
        <f>IFERROR(VLOOKUP(A36,'Reporte Total'!$A$2:$V$157,19,FALSE),0)</f>
        <v>115.68547841424419</v>
      </c>
      <c r="E36" s="22">
        <f>IFERROR(VLOOKUP(A36,'Reporte Total'!$A$2:$V$157,20,FALSE),0)</f>
        <v>2.5075996305870412</v>
      </c>
      <c r="F36" s="9">
        <f>+D36+E36*$B$89</f>
        <v>303.75545070827229</v>
      </c>
      <c r="G36" s="22">
        <f t="shared" si="2"/>
        <v>2.5358610189893547</v>
      </c>
      <c r="H36" s="9"/>
      <c r="I36" s="9"/>
      <c r="J36" s="22"/>
      <c r="K36" s="9"/>
      <c r="L36" s="2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</row>
    <row r="37" spans="1:97" x14ac:dyDescent="0.2">
      <c r="A37" s="9" t="s">
        <v>92</v>
      </c>
      <c r="B37" s="9">
        <f>IFERROR(VLOOKUP(A37,'Reporte Total'!$A$2:$V$157,18,FALSE),0)</f>
        <v>241534.97931516243</v>
      </c>
      <c r="C37" s="22">
        <f>IFERROR(VLOOKUP(A37,'Reporte Total'!$A$2:$V$157,22,FALSE),0)</f>
        <v>2.5192756034136989</v>
      </c>
      <c r="D37" s="9">
        <f>IFERROR(VLOOKUP(A37,'Reporte Total'!$A$2:$V$157,19,FALSE),0)</f>
        <v>113.67425770039601</v>
      </c>
      <c r="E37" s="22">
        <f>IFERROR(VLOOKUP(A37,'Reporte Total'!$A$2:$V$157,20,FALSE),0)</f>
        <v>3.2849821562703263</v>
      </c>
      <c r="F37" s="9">
        <f>+D37+E37*$B$89</f>
        <v>360.0479194206705</v>
      </c>
      <c r="G37" s="22">
        <f t="shared" si="2"/>
        <v>2.7959608008661054</v>
      </c>
      <c r="H37" s="9"/>
      <c r="I37" s="9"/>
      <c r="J37" s="22"/>
      <c r="K37" s="9"/>
      <c r="L37" s="2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</row>
    <row r="38" spans="1:97" x14ac:dyDescent="0.2">
      <c r="A38" s="9" t="s">
        <v>89</v>
      </c>
      <c r="B38" s="9">
        <f>IFERROR(VLOOKUP(A38,'Reporte Total'!$A$2:$V$157,18,FALSE),0)</f>
        <v>200379.74562047608</v>
      </c>
      <c r="C38" s="22">
        <f>IFERROR(VLOOKUP(A38,'Reporte Total'!$A$2:$V$157,22,FALSE),0)</f>
        <v>1.371892881115482</v>
      </c>
      <c r="D38" s="9">
        <f>IFERROR(VLOOKUP(A38,'Reporte Total'!$A$2:$V$157,19,FALSE),0)</f>
        <v>98.574892877131845</v>
      </c>
      <c r="E38" s="22">
        <f>IFERROR(VLOOKUP(A38,'Reporte Total'!$A$2:$V$157,20,FALSE),0)</f>
        <v>2.7874761819324969</v>
      </c>
      <c r="F38" s="9">
        <f>+D38+E38*$B$89</f>
        <v>307.63560652206911</v>
      </c>
      <c r="G38" s="22">
        <f t="shared" si="2"/>
        <v>1.981897361348179</v>
      </c>
      <c r="H38" s="9"/>
      <c r="I38" s="9"/>
      <c r="J38" s="22"/>
      <c r="K38" s="9"/>
      <c r="L38" s="2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</row>
    <row r="39" spans="1:97" x14ac:dyDescent="0.2">
      <c r="A39" s="9" t="s">
        <v>86</v>
      </c>
      <c r="B39" s="9">
        <f>IFERROR(VLOOKUP(A39,'Reporte Total'!$A$2:$V$157,18,FALSE),0)</f>
        <v>182376.45320791696</v>
      </c>
      <c r="C39" s="22">
        <f>IFERROR(VLOOKUP(A39,'Reporte Total'!$A$2:$V$157,22,FALSE),0)</f>
        <v>1.358455948102826</v>
      </c>
      <c r="D39" s="9">
        <f>IFERROR(VLOOKUP(A39,'Reporte Total'!$A$2:$V$157,19,FALSE),0)</f>
        <v>145.60788493124264</v>
      </c>
      <c r="E39" s="22">
        <f>IFERROR(VLOOKUP(A39,'Reporte Total'!$A$2:$V$157,20,FALSE),0)</f>
        <v>2.6544232177326643</v>
      </c>
      <c r="F39" s="9">
        <f>+D39+E39*$B$89</f>
        <v>344.68962626119247</v>
      </c>
      <c r="G39" s="22">
        <f t="shared" si="2"/>
        <v>2.0210996027803541</v>
      </c>
      <c r="H39" s="9"/>
      <c r="I39" s="9"/>
      <c r="J39" s="22"/>
      <c r="K39" s="9"/>
      <c r="L39" s="2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</row>
    <row r="40" spans="1:97" x14ac:dyDescent="0.2">
      <c r="A40" s="9" t="s">
        <v>101</v>
      </c>
      <c r="B40" s="9">
        <f>IFERROR(VLOOKUP(A40,'Reporte Total'!$A$2:$V$157,18,FALSE),0)</f>
        <v>179932.26579527589</v>
      </c>
      <c r="C40" s="22">
        <f>IFERROR(VLOOKUP(A40,'Reporte Total'!$A$2:$V$157,22,FALSE),0)</f>
        <v>1.5130824082602692</v>
      </c>
      <c r="D40" s="9">
        <f>IFERROR(VLOOKUP(A40,'Reporte Total'!$A$2:$V$157,19,FALSE),0)</f>
        <v>198.89993413212321</v>
      </c>
      <c r="E40" s="22">
        <f>IFERROR(VLOOKUP(A40,'Reporte Total'!$A$2:$V$157,20,FALSE),0)</f>
        <v>2.7750839923094772</v>
      </c>
      <c r="F40" s="9">
        <f>+D40+E40*$B$89</f>
        <v>407.03123355533398</v>
      </c>
      <c r="G40" s="22">
        <f t="shared" si="2"/>
        <v>2.3546562960135473</v>
      </c>
      <c r="H40" s="9"/>
      <c r="I40" s="9"/>
      <c r="J40" s="22"/>
      <c r="K40" s="9"/>
      <c r="L40" s="2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</row>
    <row r="41" spans="1:97" x14ac:dyDescent="0.2">
      <c r="A41" s="9" t="s">
        <v>95</v>
      </c>
      <c r="B41" s="9">
        <f>IFERROR(VLOOKUP(A41,'Reporte Total'!$A$2:$V$157,18,FALSE),0)</f>
        <v>172049.29729937401</v>
      </c>
      <c r="C41" s="22">
        <f>IFERROR(VLOOKUP(A41,'Reporte Total'!$A$2:$V$157,22,FALSE),0)</f>
        <v>1.2862676861455036</v>
      </c>
      <c r="D41" s="9">
        <f>IFERROR(VLOOKUP(A41,'Reporte Total'!$A$2:$V$157,19,FALSE),0)</f>
        <v>63.328251179432442</v>
      </c>
      <c r="E41" s="22">
        <f>IFERROR(VLOOKUP(A41,'Reporte Total'!$A$2:$V$157,20,FALSE),0)</f>
        <v>2.0868716890997292</v>
      </c>
      <c r="F41" s="9">
        <f>+D41+E41*$B$89</f>
        <v>219.84362786191213</v>
      </c>
      <c r="G41" s="22">
        <f t="shared" si="2"/>
        <v>1.2160670564208871</v>
      </c>
      <c r="H41" s="9"/>
      <c r="I41" s="9"/>
      <c r="J41" s="22"/>
      <c r="K41" s="9"/>
      <c r="L41" s="2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</row>
    <row r="42" spans="1:97" x14ac:dyDescent="0.2">
      <c r="A42" s="9" t="s">
        <v>81</v>
      </c>
      <c r="B42" s="9">
        <f>IFERROR(VLOOKUP(A42,'Reporte Total'!$A$2:$V$157,18,FALSE),0)</f>
        <v>169845.32343273997</v>
      </c>
      <c r="C42" s="22">
        <f>IFERROR(VLOOKUP(A42,'Reporte Total'!$A$2:$V$157,22,FALSE),0)</f>
        <v>1.074267256729909</v>
      </c>
      <c r="D42" s="9">
        <f>IFERROR(VLOOKUP(A42,'Reporte Total'!$A$2:$V$157,19,FALSE),0)</f>
        <v>51.361003145474427</v>
      </c>
      <c r="E42" s="22">
        <f>IFERROR(VLOOKUP(A42,'Reporte Total'!$A$2:$V$157,20,FALSE),0)</f>
        <v>2.8897204499581099</v>
      </c>
      <c r="F42" s="9">
        <f>+D42+E42*$B$89</f>
        <v>268.09003689233271</v>
      </c>
      <c r="G42" s="22">
        <f t="shared" si="2"/>
        <v>1.4639458268385692</v>
      </c>
      <c r="H42" s="9"/>
      <c r="I42" s="9"/>
      <c r="J42" s="22"/>
      <c r="K42" s="9"/>
      <c r="L42" s="2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</row>
    <row r="43" spans="1:97" x14ac:dyDescent="0.2">
      <c r="A43" s="9" t="s">
        <v>107</v>
      </c>
      <c r="B43" s="9">
        <f>IFERROR(VLOOKUP(A43,'Reporte Total'!$A$2:$V$157,18,FALSE),0)</f>
        <v>164524.39515693879</v>
      </c>
      <c r="C43" s="22">
        <f>IFERROR(VLOOKUP(A43,'Reporte Total'!$A$2:$V$157,22,FALSE),0)</f>
        <v>1.0177792627305216</v>
      </c>
      <c r="D43" s="9">
        <f>IFERROR(VLOOKUP(A43,'Reporte Total'!$A$2:$V$157,19,FALSE),0)</f>
        <v>170.1142775588529</v>
      </c>
      <c r="E43" s="22">
        <f>IFERROR(VLOOKUP(A43,'Reporte Total'!$A$2:$V$157,20,FALSE),0)</f>
        <v>2.3316548872021214</v>
      </c>
      <c r="F43" s="9">
        <f>+D43+E43*$B$89</f>
        <v>344.988394099012</v>
      </c>
      <c r="G43" s="22">
        <f t="shared" si="2"/>
        <v>1.8248430843893317</v>
      </c>
      <c r="H43" s="9"/>
      <c r="I43" s="9"/>
      <c r="J43" s="22"/>
      <c r="K43" s="9"/>
      <c r="L43" s="2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</row>
    <row r="44" spans="1:97" x14ac:dyDescent="0.2">
      <c r="A44" s="9" t="s">
        <v>90</v>
      </c>
      <c r="B44" s="9">
        <f>IFERROR(VLOOKUP(A44,'Reporte Total'!$A$2:$V$157,18,FALSE),0)</f>
        <v>162584.33058930351</v>
      </c>
      <c r="C44" s="22">
        <f>IFERROR(VLOOKUP(A44,'Reporte Total'!$A$2:$V$157,22,FALSE),0)</f>
        <v>1.2546169853525719</v>
      </c>
      <c r="D44" s="9">
        <f>IFERROR(VLOOKUP(A44,'Reporte Total'!$A$2:$V$157,19,FALSE),0)</f>
        <v>68.298983499123452</v>
      </c>
      <c r="E44" s="22">
        <f>IFERROR(VLOOKUP(A44,'Reporte Total'!$A$2:$V$157,20,FALSE),0)</f>
        <v>1.7679787273593208</v>
      </c>
      <c r="F44" s="9">
        <f>+D44+E44*$B$89</f>
        <v>200.89738805107254</v>
      </c>
      <c r="G44" s="22">
        <f t="shared" si="2"/>
        <v>1.0501315721196383</v>
      </c>
      <c r="H44" s="9"/>
      <c r="I44" s="9"/>
      <c r="J44" s="22"/>
      <c r="K44" s="9"/>
      <c r="L44" s="22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</row>
    <row r="45" spans="1:97" x14ac:dyDescent="0.2">
      <c r="A45" s="9" t="s">
        <v>96</v>
      </c>
      <c r="B45" s="9">
        <f>IFERROR(VLOOKUP(A45,'Reporte Total'!$A$2:$V$157,18,FALSE),0)</f>
        <v>160410.66228587262</v>
      </c>
      <c r="C45" s="22">
        <f>IFERROR(VLOOKUP(A45,'Reporte Total'!$A$2:$V$157,22,FALSE),0)</f>
        <v>0.9925477797247485</v>
      </c>
      <c r="D45" s="9">
        <f>IFERROR(VLOOKUP(A45,'Reporte Total'!$A$2:$V$157,19,FALSE),0)</f>
        <v>117.45775627730991</v>
      </c>
      <c r="E45" s="22">
        <f>IFERROR(VLOOKUP(A45,'Reporte Total'!$A$2:$V$157,20,FALSE),0)</f>
        <v>2.3812099557347035</v>
      </c>
      <c r="F45" s="9">
        <f>+D45+E45*$B$89</f>
        <v>296.04850295741267</v>
      </c>
      <c r="G45" s="22">
        <f t="shared" si="2"/>
        <v>1.5268164813651095</v>
      </c>
      <c r="H45" s="9"/>
      <c r="I45" s="9"/>
      <c r="J45" s="22"/>
      <c r="K45" s="9"/>
      <c r="L45" s="2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</row>
    <row r="46" spans="1:97" x14ac:dyDescent="0.2">
      <c r="A46" s="9" t="s">
        <v>79</v>
      </c>
      <c r="B46" s="9">
        <f>IFERROR(VLOOKUP(A46,'Reporte Total'!$A$2:$V$157,18,FALSE),0)</f>
        <v>136942.37824233741</v>
      </c>
      <c r="C46" s="22">
        <f>IFERROR(VLOOKUP(A46,'Reporte Total'!$A$2:$V$157,22,FALSE),0)</f>
        <v>0.9351938450961228</v>
      </c>
      <c r="D46" s="9">
        <f>IFERROR(VLOOKUP(A46,'Reporte Total'!$A$2:$V$157,19,FALSE),0)</f>
        <v>43.268874740787965</v>
      </c>
      <c r="E46" s="22">
        <f>IFERROR(VLOOKUP(A46,'Reporte Total'!$A$2:$V$157,20,FALSE),0)</f>
        <v>3.8834711031386298</v>
      </c>
      <c r="F46" s="9">
        <f>+D46+E46*$B$89</f>
        <v>334.52920747618521</v>
      </c>
      <c r="G46" s="22">
        <f t="shared" si="2"/>
        <v>1.4728639948338007</v>
      </c>
      <c r="H46" s="9"/>
      <c r="I46" s="9"/>
      <c r="J46" s="22"/>
      <c r="K46" s="9"/>
      <c r="L46" s="22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</row>
    <row r="47" spans="1:97" x14ac:dyDescent="0.2">
      <c r="A47" s="9" t="s">
        <v>73</v>
      </c>
      <c r="B47" s="9">
        <f>IFERROR(VLOOKUP(A47,'Reporte Total'!$A$2:$V$157,18,FALSE),0)</f>
        <v>134077.22639705444</v>
      </c>
      <c r="C47" s="22">
        <f>IFERROR(VLOOKUP(A47,'Reporte Total'!$A$2:$V$157,22,FALSE),0)</f>
        <v>1.5743773096170868</v>
      </c>
      <c r="D47" s="9">
        <f>IFERROR(VLOOKUP(A47,'Reporte Total'!$A$2:$V$157,19,FALSE),0)</f>
        <v>199.04633791348172</v>
      </c>
      <c r="E47" s="22">
        <f>IFERROR(VLOOKUP(A47,'Reporte Total'!$A$2:$V$157,20,FALSE),0)</f>
        <v>3.6793107607366271</v>
      </c>
      <c r="F47" s="9">
        <f>+D47+E47*$B$89</f>
        <v>474.99464496872872</v>
      </c>
      <c r="G47" s="22">
        <f t="shared" si="2"/>
        <v>2.0475497789914558</v>
      </c>
      <c r="H47" s="9"/>
      <c r="I47" s="9"/>
      <c r="J47" s="22"/>
      <c r="K47" s="9"/>
      <c r="L47" s="22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</row>
    <row r="48" spans="1:97" x14ac:dyDescent="0.2">
      <c r="A48" s="9" t="s">
        <v>64</v>
      </c>
      <c r="B48" s="9">
        <f>IFERROR(VLOOKUP(A48,'Reporte Total'!$A$2:$V$157,18,FALSE),0)</f>
        <v>108129.61668559234</v>
      </c>
      <c r="C48" s="22">
        <f>IFERROR(VLOOKUP(A48,'Reporte Total'!$A$2:$V$157,22,FALSE),0)</f>
        <v>0.97005292469551774</v>
      </c>
      <c r="D48" s="9">
        <f>IFERROR(VLOOKUP(A48,'Reporte Total'!$A$2:$V$157,19,FALSE),0)</f>
        <v>118.35752558889413</v>
      </c>
      <c r="E48" s="22">
        <f>IFERROR(VLOOKUP(A48,'Reporte Total'!$A$2:$V$157,20,FALSE),0)</f>
        <v>2.8299947667533907</v>
      </c>
      <c r="F48" s="9">
        <f>+D48+E48*$B$89</f>
        <v>330.60713309539847</v>
      </c>
      <c r="G48" s="22">
        <f t="shared" si="2"/>
        <v>1.1493376171533121</v>
      </c>
      <c r="H48" s="9"/>
      <c r="I48" s="9"/>
      <c r="J48" s="22"/>
      <c r="K48" s="9"/>
      <c r="L48" s="2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</row>
    <row r="49" spans="1:97" x14ac:dyDescent="0.2">
      <c r="A49" s="9" t="s">
        <v>65</v>
      </c>
      <c r="B49" s="9">
        <f>IFERROR(VLOOKUP(A49,'Reporte Total'!$A$2:$V$157,18,FALSE),0)</f>
        <v>104877.64040211885</v>
      </c>
      <c r="C49" s="22">
        <f>IFERROR(VLOOKUP(A49,'Reporte Total'!$A$2:$V$157,22,FALSE),0)</f>
        <v>1.0111416109066145</v>
      </c>
      <c r="D49" s="9">
        <f>IFERROR(VLOOKUP(A49,'Reporte Total'!$A$2:$V$157,19,FALSE),0)</f>
        <v>101.08311594829466</v>
      </c>
      <c r="E49" s="22">
        <f>IFERROR(VLOOKUP(A49,'Reporte Total'!$A$2:$V$157,20,FALSE),0)</f>
        <v>1.9641748191510113</v>
      </c>
      <c r="F49" s="9">
        <f>+D49+E49*$B$89</f>
        <v>248.39622738462049</v>
      </c>
      <c r="G49" s="22">
        <f t="shared" si="2"/>
        <v>0.83756523262292593</v>
      </c>
      <c r="H49" s="9"/>
      <c r="I49" s="9"/>
      <c r="J49" s="22"/>
      <c r="K49" s="9"/>
      <c r="L49" s="2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</row>
    <row r="50" spans="1:97" x14ac:dyDescent="0.2">
      <c r="A50" s="9" t="s">
        <v>87</v>
      </c>
      <c r="B50" s="9">
        <f>IFERROR(VLOOKUP(A50,'Reporte Total'!$A$2:$V$157,18,FALSE),0)</f>
        <v>93088.209152922762</v>
      </c>
      <c r="C50" s="22">
        <f>IFERROR(VLOOKUP(A50,'Reporte Total'!$A$2:$V$157,22,FALSE),0)</f>
        <v>1.6266766131329125</v>
      </c>
      <c r="D50" s="9">
        <f>IFERROR(VLOOKUP(A50,'Reporte Total'!$A$2:$V$157,19,FALSE),0)</f>
        <v>214.12196662260325</v>
      </c>
      <c r="E50" s="22">
        <f>IFERROR(VLOOKUP(A50,'Reporte Total'!$A$2:$V$157,20,FALSE),0)</f>
        <v>3.0106653926772498</v>
      </c>
      <c r="F50" s="9">
        <f>+D50+E50*$B$89</f>
        <v>439.92187107339697</v>
      </c>
      <c r="G50" s="22">
        <f t="shared" si="2"/>
        <v>1.3166215745953189</v>
      </c>
      <c r="H50" s="9"/>
      <c r="I50" s="9"/>
      <c r="J50" s="22"/>
      <c r="K50" s="9"/>
      <c r="L50" s="22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</row>
    <row r="51" spans="1:97" x14ac:dyDescent="0.2">
      <c r="A51" s="9" t="s">
        <v>111</v>
      </c>
      <c r="B51" s="9">
        <f>IFERROR(VLOOKUP(A51,'Reporte Total'!$A$2:$V$157,18,FALSE),0)</f>
        <v>95140.27018315412</v>
      </c>
      <c r="C51" s="22">
        <f>IFERROR(VLOOKUP(A51,'Reporte Total'!$A$2:$V$157,22,FALSE),0)</f>
        <v>1.7978441902876994</v>
      </c>
      <c r="D51" s="9">
        <f>IFERROR(VLOOKUP(A51,'Reporte Total'!$A$2:$V$157,19,FALSE),0)</f>
        <v>194.26670103106215</v>
      </c>
      <c r="E51" s="22">
        <f>IFERROR(VLOOKUP(A51,'Reporte Total'!$A$2:$V$157,20,FALSE),0)</f>
        <v>4.5328894149558385</v>
      </c>
      <c r="F51" s="9">
        <f>+D51+E51*$B$89</f>
        <v>534.23340715275003</v>
      </c>
      <c r="G51" s="22">
        <f t="shared" si="2"/>
        <v>1.6341283359551053</v>
      </c>
      <c r="H51" s="9"/>
      <c r="I51" s="9"/>
      <c r="J51" s="22"/>
      <c r="K51" s="9"/>
      <c r="L51" s="22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</row>
    <row r="52" spans="1:97" x14ac:dyDescent="0.2">
      <c r="A52" s="9" t="s">
        <v>88</v>
      </c>
      <c r="B52" s="9">
        <f>IFERROR(VLOOKUP(A52,'Reporte Total'!$A$2:$V$157,18,FALSE),0)</f>
        <v>91872.164411122911</v>
      </c>
      <c r="C52" s="22">
        <f>IFERROR(VLOOKUP(A52,'Reporte Total'!$A$2:$V$157,22,FALSE),0)</f>
        <v>2.9573971424019057</v>
      </c>
      <c r="D52" s="9">
        <f>IFERROR(VLOOKUP(A52,'Reporte Total'!$A$2:$V$157,19,FALSE),0)</f>
        <v>65.920323201958212</v>
      </c>
      <c r="E52" s="22">
        <f>IFERROR(VLOOKUP(A52,'Reporte Total'!$A$2:$V$157,20,FALSE),0)</f>
        <v>2.2459642393136083</v>
      </c>
      <c r="F52" s="9">
        <f>+D52+E52*$B$89</f>
        <v>234.36764115047885</v>
      </c>
      <c r="G52" s="22">
        <f t="shared" si="2"/>
        <v>0.69226493675708034</v>
      </c>
      <c r="H52" s="9"/>
      <c r="I52" s="9"/>
      <c r="J52" s="22"/>
      <c r="K52" s="9"/>
      <c r="L52" s="22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</row>
    <row r="53" spans="1:97" x14ac:dyDescent="0.2">
      <c r="A53" s="9" t="s">
        <v>99</v>
      </c>
      <c r="B53" s="9">
        <f>IFERROR(VLOOKUP(A53,'Reporte Total'!$A$2:$V$157,18,FALSE),0)</f>
        <v>88856.890527226846</v>
      </c>
      <c r="C53" s="22">
        <f>IFERROR(VLOOKUP(A53,'Reporte Total'!$A$2:$V$157,22,FALSE),0)</f>
        <v>1.2328322938337997</v>
      </c>
      <c r="D53" s="9">
        <f>IFERROR(VLOOKUP(A53,'Reporte Total'!$A$2:$V$157,19,FALSE),0)</f>
        <v>144.35367391019835</v>
      </c>
      <c r="E53" s="22">
        <f>IFERROR(VLOOKUP(A53,'Reporte Total'!$A$2:$V$157,20,FALSE),0)</f>
        <v>2.3096869366505053</v>
      </c>
      <c r="F53" s="9">
        <f>+D53+E53*$B$89</f>
        <v>317.58019415898627</v>
      </c>
      <c r="G53" s="22">
        <f t="shared" si="2"/>
        <v>0.90726730258654131</v>
      </c>
      <c r="H53" s="9"/>
      <c r="I53" s="9"/>
      <c r="J53" s="22"/>
      <c r="K53" s="9"/>
      <c r="L53" s="22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</row>
    <row r="54" spans="1:97" x14ac:dyDescent="0.2">
      <c r="A54" s="9" t="s">
        <v>58</v>
      </c>
      <c r="B54" s="9">
        <f>IFERROR(VLOOKUP(A54,'Reporte Total'!$A$2:$V$157,18,FALSE),0)</f>
        <v>87021.331918871525</v>
      </c>
      <c r="C54" s="22">
        <f>IFERROR(VLOOKUP(A54,'Reporte Total'!$A$2:$V$157,22,FALSE),0)</f>
        <v>1.4589827597025342</v>
      </c>
      <c r="D54" s="9">
        <f>IFERROR(VLOOKUP(A54,'Reporte Total'!$A$2:$V$157,19,FALSE),0)</f>
        <v>89.550334663630579</v>
      </c>
      <c r="E54" s="22">
        <f>IFERROR(VLOOKUP(A54,'Reporte Total'!$A$2:$V$157,20,FALSE),0)</f>
        <v>2.5844243830960272</v>
      </c>
      <c r="F54" s="9">
        <f>+D54+E54*$B$89</f>
        <v>283.38216339583261</v>
      </c>
      <c r="G54" s="22">
        <f t="shared" si="2"/>
        <v>0.79284624883876842</v>
      </c>
      <c r="H54" s="9"/>
      <c r="I54" s="9"/>
      <c r="J54" s="22"/>
      <c r="K54" s="9"/>
      <c r="L54" s="22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</row>
    <row r="55" spans="1:97" x14ac:dyDescent="0.2">
      <c r="A55" s="9" t="s">
        <v>83</v>
      </c>
      <c r="B55" s="9">
        <f>IFERROR(VLOOKUP(A55,'Reporte Total'!$A$2:$V$157,18,FALSE),0)</f>
        <v>84482.630609785236</v>
      </c>
      <c r="C55" s="22">
        <f>IFERROR(VLOOKUP(A55,'Reporte Total'!$A$2:$V$157,22,FALSE),0)</f>
        <v>1.1224736160624293</v>
      </c>
      <c r="D55" s="9">
        <f>IFERROR(VLOOKUP(A55,'Reporte Total'!$A$2:$V$157,19,FALSE),0)</f>
        <v>109.04008196924859</v>
      </c>
      <c r="E55" s="22">
        <f>IFERROR(VLOOKUP(A55,'Reporte Total'!$A$2:$V$157,20,FALSE),0)</f>
        <v>1.8244492951450126</v>
      </c>
      <c r="F55" s="9">
        <f>+D55+E55*$B$89</f>
        <v>245.87377910512453</v>
      </c>
      <c r="G55" s="22">
        <f t="shared" si="2"/>
        <v>0.66783685619850386</v>
      </c>
      <c r="H55" s="9"/>
      <c r="I55" s="9"/>
      <c r="J55" s="22"/>
      <c r="K55" s="9"/>
      <c r="L55" s="2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</row>
    <row r="56" spans="1:97" x14ac:dyDescent="0.2">
      <c r="A56" s="9" t="s">
        <v>85</v>
      </c>
      <c r="B56" s="9">
        <f>IFERROR(VLOOKUP(A56,'Reporte Total'!$A$2:$V$157,18,FALSE),0)</f>
        <v>82788.833529529395</v>
      </c>
      <c r="C56" s="22">
        <f>IFERROR(VLOOKUP(A56,'Reporte Total'!$A$2:$V$157,22,FALSE),0)</f>
        <v>1.0401137115959165</v>
      </c>
      <c r="D56" s="9">
        <f>IFERROR(VLOOKUP(A56,'Reporte Total'!$A$2:$V$157,19,FALSE),0)</f>
        <v>63.197659753988248</v>
      </c>
      <c r="E56" s="22">
        <f>IFERROR(VLOOKUP(A56,'Reporte Total'!$A$2:$V$157,20,FALSE),0)</f>
        <v>2.9507246502214852</v>
      </c>
      <c r="F56" s="9">
        <f>+D56+E56*$B$89</f>
        <v>284.50200852059965</v>
      </c>
      <c r="G56" s="22">
        <f t="shared" si="2"/>
        <v>0.75726491945371677</v>
      </c>
      <c r="H56" s="9"/>
      <c r="I56" s="9"/>
      <c r="J56" s="22"/>
      <c r="K56" s="9"/>
      <c r="L56" s="2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</row>
    <row r="57" spans="1:97" x14ac:dyDescent="0.2">
      <c r="A57" s="9" t="s">
        <v>110</v>
      </c>
      <c r="B57" s="9">
        <f>IFERROR(VLOOKUP(A57,'Reporte Total'!$A$2:$V$157,18,FALSE),0)</f>
        <v>81344.77246076861</v>
      </c>
      <c r="C57" s="22">
        <f>IFERROR(VLOOKUP(A57,'Reporte Total'!$A$2:$V$157,22,FALSE),0)</f>
        <v>1.8269318077961094</v>
      </c>
      <c r="D57" s="9">
        <f>IFERROR(VLOOKUP(A57,'Reporte Total'!$A$2:$V$157,19,FALSE),0)</f>
        <v>94.787591218398717</v>
      </c>
      <c r="E57" s="22">
        <f>IFERROR(VLOOKUP(A57,'Reporte Total'!$A$2:$V$157,20,FALSE),0)</f>
        <v>3.3278605520630813</v>
      </c>
      <c r="F57" s="9">
        <f>+D57+E57*$B$89</f>
        <v>344.3771326231298</v>
      </c>
      <c r="G57" s="22">
        <f t="shared" si="2"/>
        <v>0.90064717777486214</v>
      </c>
      <c r="H57" s="9"/>
      <c r="I57" s="9"/>
      <c r="J57" s="22"/>
      <c r="K57" s="9"/>
      <c r="L57" s="2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</row>
    <row r="58" spans="1:97" x14ac:dyDescent="0.2">
      <c r="A58" s="9" t="s">
        <v>74</v>
      </c>
      <c r="B58" s="9">
        <f>IFERROR(VLOOKUP(A58,'Reporte Total'!$A$2:$V$157,18,FALSE),0)</f>
        <v>71531.564270880481</v>
      </c>
      <c r="C58" s="22">
        <f>IFERROR(VLOOKUP(A58,'Reporte Total'!$A$2:$V$157,22,FALSE),0)</f>
        <v>0.98380528677243861</v>
      </c>
      <c r="D58" s="9">
        <f>IFERROR(VLOOKUP(A58,'Reporte Total'!$A$2:$V$157,19,FALSE),0)</f>
        <v>178.2010192998242</v>
      </c>
      <c r="E58" s="22">
        <f>IFERROR(VLOOKUP(A58,'Reporte Total'!$A$2:$V$157,20,FALSE),0)</f>
        <v>3.0441167502177771</v>
      </c>
      <c r="F58" s="9">
        <f>+D58+E58*$B$89</f>
        <v>406.50977556615749</v>
      </c>
      <c r="G58" s="22">
        <f t="shared" si="2"/>
        <v>0.9348877180269678</v>
      </c>
      <c r="H58" s="9"/>
      <c r="I58" s="9"/>
      <c r="J58" s="22"/>
      <c r="K58" s="9"/>
      <c r="L58" s="2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</row>
    <row r="59" spans="1:97" x14ac:dyDescent="0.2">
      <c r="A59" s="9" t="s">
        <v>75</v>
      </c>
      <c r="B59" s="9">
        <f>IFERROR(VLOOKUP(A59,'Reporte Total'!$A$2:$V$157,18,FALSE),0)</f>
        <v>66487.751931847699</v>
      </c>
      <c r="C59" s="22">
        <f>IFERROR(VLOOKUP(A59,'Reporte Total'!$A$2:$V$157,22,FALSE),0)</f>
        <v>1.1583124205744944</v>
      </c>
      <c r="D59" s="9">
        <f>IFERROR(VLOOKUP(A59,'Reporte Total'!$A$2:$V$157,19,FALSE),0)</f>
        <v>177.5160767036287</v>
      </c>
      <c r="E59" s="22">
        <f>IFERROR(VLOOKUP(A59,'Reporte Total'!$A$2:$V$157,20,FALSE),0)</f>
        <v>3.4268414559381148</v>
      </c>
      <c r="F59" s="9">
        <f>+D59+E59*$B$89</f>
        <v>434.52918589898729</v>
      </c>
      <c r="G59" s="22">
        <f t="shared" si="2"/>
        <v>0.92886230550258342</v>
      </c>
      <c r="H59" s="9"/>
      <c r="I59" s="9"/>
      <c r="J59" s="22"/>
      <c r="K59" s="9"/>
      <c r="L59" s="2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</row>
    <row r="60" spans="1:97" x14ac:dyDescent="0.2">
      <c r="A60" s="9" t="s">
        <v>108</v>
      </c>
      <c r="B60" s="9">
        <f>IFERROR(VLOOKUP(A60,'Reporte Total'!$A$2:$V$157,18,FALSE),0)</f>
        <v>56340.854201609865</v>
      </c>
      <c r="C60" s="22">
        <f>IFERROR(VLOOKUP(A60,'Reporte Total'!$A$2:$V$157,22,FALSE),0)</f>
        <v>1.1636887806917455</v>
      </c>
      <c r="D60" s="9">
        <f>IFERROR(VLOOKUP(A60,'Reporte Total'!$A$2:$V$157,19,FALSE),0)</f>
        <v>160.84422800148641</v>
      </c>
      <c r="E60" s="22">
        <f>IFERROR(VLOOKUP(A60,'Reporte Total'!$A$2:$V$157,20,FALSE),0)</f>
        <v>1.0990385003092542</v>
      </c>
      <c r="F60" s="9">
        <f>+D60+E60*$B$89</f>
        <v>243.27211552468049</v>
      </c>
      <c r="G60" s="22">
        <f t="shared" si="2"/>
        <v>0.44066290906467814</v>
      </c>
      <c r="H60" s="9"/>
      <c r="I60" s="9"/>
      <c r="J60" s="22"/>
      <c r="K60" s="9"/>
      <c r="L60" s="2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</row>
    <row r="61" spans="1:97" x14ac:dyDescent="0.2">
      <c r="A61" s="9" t="s">
        <v>67</v>
      </c>
      <c r="B61" s="9">
        <f>IFERROR(VLOOKUP(A61,'Reporte Total'!$A$2:$V$157,18,FALSE),0)</f>
        <v>54766.306721084977</v>
      </c>
      <c r="C61" s="22">
        <f>IFERROR(VLOOKUP(A61,'Reporte Total'!$A$2:$V$157,22,FALSE),0)</f>
        <v>1.1907724229359413</v>
      </c>
      <c r="D61" s="9">
        <f>IFERROR(VLOOKUP(A61,'Reporte Total'!$A$2:$V$157,19,FALSE),0)</f>
        <v>192.13097253225757</v>
      </c>
      <c r="E61" s="22">
        <f>IFERROR(VLOOKUP(A61,'Reporte Total'!$A$2:$V$157,20,FALSE),0)</f>
        <v>3.2092681878758573</v>
      </c>
      <c r="F61" s="9">
        <f>+D61+E61*$B$89</f>
        <v>432.82608662294683</v>
      </c>
      <c r="G61" s="22">
        <f t="shared" si="2"/>
        <v>0.76210993029334961</v>
      </c>
      <c r="H61" s="9"/>
      <c r="I61" s="9"/>
      <c r="J61" s="22"/>
      <c r="K61" s="9"/>
      <c r="L61" s="2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</row>
    <row r="62" spans="1:97" x14ac:dyDescent="0.2">
      <c r="A62" s="9" t="s">
        <v>91</v>
      </c>
      <c r="B62" s="9">
        <f>IFERROR(VLOOKUP(A62,'Reporte Total'!$A$2:$V$157,18,FALSE),0)</f>
        <v>55521.628845336003</v>
      </c>
      <c r="C62" s="22">
        <f>IFERROR(VLOOKUP(A62,'Reporte Total'!$A$2:$V$157,22,FALSE),0)</f>
        <v>0.80428933211627129</v>
      </c>
      <c r="D62" s="9">
        <f>IFERROR(VLOOKUP(A62,'Reporte Total'!$A$2:$V$157,19,FALSE),0)</f>
        <v>61.270408016105051</v>
      </c>
      <c r="E62" s="22">
        <f>IFERROR(VLOOKUP(A62,'Reporte Total'!$A$2:$V$157,20,FALSE),0)</f>
        <v>1.2959548761866373</v>
      </c>
      <c r="F62" s="9">
        <f>+D62+E62*$B$89</f>
        <v>158.46702373010285</v>
      </c>
      <c r="G62" s="22">
        <f t="shared" si="2"/>
        <v>0.28287322249161101</v>
      </c>
      <c r="H62" s="9"/>
      <c r="I62" s="9"/>
      <c r="J62" s="22"/>
      <c r="K62" s="9"/>
      <c r="L62" s="2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</row>
    <row r="63" spans="1:97" x14ac:dyDescent="0.2">
      <c r="A63" s="9" t="s">
        <v>71</v>
      </c>
      <c r="B63" s="9">
        <f>IFERROR(VLOOKUP(A63,'Reporte Total'!$A$2:$V$157,18,FALSE),0)</f>
        <v>48540.847567863821</v>
      </c>
      <c r="C63" s="22">
        <f>IFERROR(VLOOKUP(A63,'Reporte Total'!$A$2:$V$157,22,FALSE),0)</f>
        <v>0.97056036533008772</v>
      </c>
      <c r="D63" s="9">
        <f>IFERROR(VLOOKUP(A63,'Reporte Total'!$A$2:$V$157,19,FALSE),0)</f>
        <v>62.825086482580161</v>
      </c>
      <c r="E63" s="22">
        <f>IFERROR(VLOOKUP(A63,'Reporte Total'!$A$2:$V$157,20,FALSE),0)</f>
        <v>3.9966126211066832</v>
      </c>
      <c r="F63" s="9">
        <f>+D63+E63*$B$89</f>
        <v>362.57103306558139</v>
      </c>
      <c r="G63" s="22">
        <f t="shared" si="2"/>
        <v>0.56583681092350702</v>
      </c>
      <c r="H63" s="9"/>
      <c r="I63" s="9"/>
      <c r="J63" s="22"/>
      <c r="K63" s="9"/>
      <c r="L63" s="2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</row>
    <row r="64" spans="1:97" x14ac:dyDescent="0.2">
      <c r="A64" s="9" t="s">
        <v>63</v>
      </c>
      <c r="B64" s="9">
        <f>IFERROR(VLOOKUP(A64,'Reporte Total'!$A$2:$V$157,18,FALSE),0)</f>
        <v>48278.63631835363</v>
      </c>
      <c r="C64" s="22">
        <f>IFERROR(VLOOKUP(A64,'Reporte Total'!$A$2:$V$157,22,FALSE),0)</f>
        <v>1.7359604822859298</v>
      </c>
      <c r="D64" s="9">
        <f>IFERROR(VLOOKUP(A64,'Reporte Total'!$A$2:$V$157,19,FALSE),0)</f>
        <v>130.07725306959031</v>
      </c>
      <c r="E64" s="22">
        <f>IFERROR(VLOOKUP(A64,'Reporte Total'!$A$2:$V$157,20,FALSE),0)</f>
        <v>2.2672776013762794</v>
      </c>
      <c r="F64" s="9">
        <f>+D64+E64*$B$89</f>
        <v>300.12307317281125</v>
      </c>
      <c r="G64" s="22">
        <f t="shared" si="2"/>
        <v>0.46584894627475326</v>
      </c>
      <c r="H64" s="9"/>
      <c r="I64" s="9"/>
      <c r="J64" s="22"/>
      <c r="K64" s="9"/>
      <c r="L64" s="22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</row>
    <row r="65" spans="1:97" x14ac:dyDescent="0.2">
      <c r="A65" s="9" t="s">
        <v>80</v>
      </c>
      <c r="B65" s="9">
        <f>IFERROR(VLOOKUP(A65,'Reporte Total'!$A$2:$V$157,18,FALSE),0)</f>
        <v>48225.801526619456</v>
      </c>
      <c r="C65" s="22">
        <f>IFERROR(VLOOKUP(A65,'Reporte Total'!$A$2:$V$157,22,FALSE),0)</f>
        <v>1.2217397033781279</v>
      </c>
      <c r="D65" s="9">
        <f>IFERROR(VLOOKUP(A65,'Reporte Total'!$A$2:$V$157,19,FALSE),0)</f>
        <v>155.61296808852308</v>
      </c>
      <c r="E65" s="22">
        <f>IFERROR(VLOOKUP(A65,'Reporte Total'!$A$2:$V$157,20,FALSE),0)</f>
        <v>2.0923042951211821</v>
      </c>
      <c r="F65" s="9">
        <f>+D65+E65*$B$89</f>
        <v>312.53579022261169</v>
      </c>
      <c r="G65" s="22">
        <f t="shared" si="2"/>
        <v>0.48458498205156481</v>
      </c>
      <c r="H65" s="9"/>
      <c r="I65" s="9"/>
      <c r="J65" s="22"/>
      <c r="K65" s="9"/>
      <c r="L65" s="2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</row>
    <row r="66" spans="1:97" x14ac:dyDescent="0.2">
      <c r="A66" s="9" t="s">
        <v>57</v>
      </c>
      <c r="B66" s="9">
        <f>IFERROR(VLOOKUP(A66,'Reporte Total'!$A$2:$V$157,18,FALSE),0)</f>
        <v>43811.628212439209</v>
      </c>
      <c r="C66" s="22">
        <f>IFERROR(VLOOKUP(A66,'Reporte Total'!$A$2:$V$157,22,FALSE),0)</f>
        <v>1.1975119862111174</v>
      </c>
      <c r="D66" s="9">
        <f>IFERROR(VLOOKUP(A66,'Reporte Total'!$A$2:$V$157,19,FALSE),0)</f>
        <v>99.946716112773686</v>
      </c>
      <c r="E66" s="22">
        <f>IFERROR(VLOOKUP(A66,'Reporte Total'!$A$2:$V$157,20,FALSE),0)</f>
        <v>2.1072802224508136</v>
      </c>
      <c r="F66" s="9">
        <f>+D66+E66*$B$89</f>
        <v>257.99273279658473</v>
      </c>
      <c r="G66" s="22">
        <f t="shared" si="2"/>
        <v>0.36340224382449376</v>
      </c>
      <c r="H66" s="9"/>
      <c r="I66" s="9"/>
      <c r="J66" s="22"/>
      <c r="K66" s="9"/>
      <c r="L66" s="22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</row>
    <row r="67" spans="1:97" x14ac:dyDescent="0.2">
      <c r="A67" s="9" t="s">
        <v>62</v>
      </c>
      <c r="B67" s="9">
        <f>IFERROR(VLOOKUP(A67,'Reporte Total'!$A$2:$V$157,18,FALSE),0)</f>
        <v>42002.149847089502</v>
      </c>
      <c r="C67" s="22">
        <f>IFERROR(VLOOKUP(A67,'Reporte Total'!$A$2:$V$157,22,FALSE),0)</f>
        <v>0.99759964868498563</v>
      </c>
      <c r="D67" s="9">
        <f>IFERROR(VLOOKUP(A67,'Reporte Total'!$A$2:$V$157,19,FALSE),0)</f>
        <v>102.13927965818471</v>
      </c>
      <c r="E67" s="22">
        <f>IFERROR(VLOOKUP(A67,'Reporte Total'!$A$2:$V$157,20,FALSE),0)</f>
        <v>1.9437974586146161</v>
      </c>
      <c r="F67" s="9">
        <f>+D67+E67*$B$89</f>
        <v>247.9240890542809</v>
      </c>
      <c r="G67" s="22">
        <f t="shared" si="2"/>
        <v>0.33479655791666757</v>
      </c>
      <c r="H67" s="9"/>
      <c r="I67" s="9"/>
      <c r="J67" s="22"/>
      <c r="K67" s="9"/>
      <c r="L67" s="2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</row>
    <row r="68" spans="1:97" x14ac:dyDescent="0.2">
      <c r="A68" s="9" t="s">
        <v>72</v>
      </c>
      <c r="B68" s="9">
        <f>IFERROR(VLOOKUP(A68,'Reporte Total'!$A$2:$V$157,18,FALSE),0)</f>
        <v>41213.507144064024</v>
      </c>
      <c r="C68" s="22">
        <f>IFERROR(VLOOKUP(A68,'Reporte Total'!$A$2:$V$157,22,FALSE),0)</f>
        <v>1.2252471739579824</v>
      </c>
      <c r="D68" s="9">
        <f>IFERROR(VLOOKUP(A68,'Reporte Total'!$A$2:$V$157,19,FALSE),0)</f>
        <v>97.958982002704246</v>
      </c>
      <c r="E68" s="22">
        <f>IFERROR(VLOOKUP(A68,'Reporte Total'!$A$2:$V$157,20,FALSE),0)</f>
        <v>1.0011082660118145</v>
      </c>
      <c r="F68" s="9">
        <f>+D68+E68*$B$89</f>
        <v>173.04210195359033</v>
      </c>
      <c r="G68" s="22">
        <f t="shared" si="2"/>
        <v>0.2292884050054865</v>
      </c>
      <c r="H68" s="9"/>
      <c r="I68" s="9"/>
      <c r="J68" s="22"/>
      <c r="K68" s="9"/>
      <c r="L68" s="2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</row>
    <row r="69" spans="1:97" x14ac:dyDescent="0.2">
      <c r="A69" s="9" t="s">
        <v>60</v>
      </c>
      <c r="B69" s="9">
        <f>IFERROR(VLOOKUP(A69,'Reporte Total'!$A$2:$V$157,18,FALSE),0)</f>
        <v>40065.439779524844</v>
      </c>
      <c r="C69" s="22">
        <f>IFERROR(VLOOKUP(A69,'Reporte Total'!$A$2:$V$157,22,FALSE),0)</f>
        <v>0.92602540438673719</v>
      </c>
      <c r="D69" s="9">
        <f>IFERROR(VLOOKUP(A69,'Reporte Total'!$A$2:$V$157,19,FALSE),0)</f>
        <v>77.635656761959794</v>
      </c>
      <c r="E69" s="22">
        <f>IFERROR(VLOOKUP(A69,'Reporte Total'!$A$2:$V$157,20,FALSE),0)</f>
        <v>2.7646898222116962</v>
      </c>
      <c r="F69" s="9">
        <f>+D69+E69*$B$89</f>
        <v>284.98739342783699</v>
      </c>
      <c r="G69" s="22">
        <f t="shared" si="2"/>
        <v>0.36710162037413013</v>
      </c>
      <c r="H69" s="9"/>
      <c r="I69" s="9"/>
      <c r="J69" s="22"/>
      <c r="K69" s="9"/>
      <c r="L69" s="2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</row>
    <row r="70" spans="1:97" x14ac:dyDescent="0.2">
      <c r="A70" s="9" t="s">
        <v>105</v>
      </c>
      <c r="B70" s="9">
        <f>IFERROR(VLOOKUP(A70,'Reporte Total'!$A$2:$V$157,18,FALSE),0)</f>
        <v>27823.991894543291</v>
      </c>
      <c r="C70" s="22">
        <f>IFERROR(VLOOKUP(A70,'Reporte Total'!$A$2:$V$157,22,FALSE),0)</f>
        <v>1.7616099281172</v>
      </c>
      <c r="D70" s="9">
        <f>IFERROR(VLOOKUP(A70,'Reporte Total'!$A$2:$V$157,19,FALSE),0)</f>
        <v>98.296074222820764</v>
      </c>
      <c r="E70" s="22">
        <f>IFERROR(VLOOKUP(A70,'Reporte Total'!$A$2:$V$157,20,FALSE),0)</f>
        <v>2.1717851927621559</v>
      </c>
      <c r="F70" s="9">
        <f>+D70+E70*$B$89</f>
        <v>261.17996367998245</v>
      </c>
      <c r="G70" s="22">
        <f t="shared" si="2"/>
        <v>0.23364152563052204</v>
      </c>
      <c r="H70" s="9"/>
      <c r="I70" s="9"/>
      <c r="J70" s="22"/>
      <c r="K70" s="9"/>
      <c r="L70" s="2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</row>
    <row r="71" spans="1:97" x14ac:dyDescent="0.2">
      <c r="A71" s="9" t="s">
        <v>103</v>
      </c>
      <c r="B71" s="9">
        <f>IFERROR(VLOOKUP(A71,'Reporte Total'!$A$2:$V$157,18,FALSE),0)</f>
        <v>25297.29285443763</v>
      </c>
      <c r="C71" s="22">
        <f>IFERROR(VLOOKUP(A71,'Reporte Total'!$A$2:$V$157,22,FALSE),0)</f>
        <v>0.95993498452079151</v>
      </c>
      <c r="D71" s="9">
        <f>IFERROR(VLOOKUP(A71,'Reporte Total'!$A$2:$V$157,19,FALSE),0)</f>
        <v>101.23635702258188</v>
      </c>
      <c r="E71" s="22">
        <f>IFERROR(VLOOKUP(A71,'Reporte Total'!$A$2:$V$157,20,FALSE),0)</f>
        <v>2.4730258905211731</v>
      </c>
      <c r="F71" s="9">
        <f>+D71+E71*$B$89</f>
        <v>286.71329881166986</v>
      </c>
      <c r="G71" s="22">
        <f t="shared" si="2"/>
        <v>0.23319145065027078</v>
      </c>
      <c r="H71" s="9"/>
      <c r="I71" s="9"/>
      <c r="J71" s="22"/>
      <c r="K71" s="9"/>
      <c r="L71" s="2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</row>
    <row r="72" spans="1:97" x14ac:dyDescent="0.2">
      <c r="A72" s="9" t="s">
        <v>70</v>
      </c>
      <c r="B72" s="9">
        <f>IFERROR(VLOOKUP(A72,'Reporte Total'!$A$2:$V$157,18,FALSE),0)</f>
        <v>24372.562543990651</v>
      </c>
      <c r="C72" s="22">
        <f>IFERROR(VLOOKUP(A72,'Reporte Total'!$A$2:$V$157,22,FALSE),0)</f>
        <v>1.6697186911287865</v>
      </c>
      <c r="D72" s="9">
        <f>IFERROR(VLOOKUP(A72,'Reporte Total'!$A$2:$V$157,19,FALSE),0)</f>
        <v>248.22316026208077</v>
      </c>
      <c r="E72" s="22">
        <f>IFERROR(VLOOKUP(A72,'Reporte Total'!$A$2:$V$157,20,FALSE),0)</f>
        <v>6.586423678153464</v>
      </c>
      <c r="F72" s="9">
        <f>+D72+E72*$B$89</f>
        <v>742.20493612359053</v>
      </c>
      <c r="G72" s="22">
        <f t="shared" si="2"/>
        <v>0.58158844587042602</v>
      </c>
      <c r="H72" s="9"/>
      <c r="I72" s="9"/>
      <c r="J72" s="22"/>
      <c r="K72" s="9"/>
      <c r="L72" s="2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</row>
    <row r="73" spans="1:97" x14ac:dyDescent="0.2">
      <c r="A73" s="9" t="s">
        <v>102</v>
      </c>
      <c r="B73" s="9">
        <f>IFERROR(VLOOKUP(A73,'Reporte Total'!$A$2:$V$157,18,FALSE),0)</f>
        <v>20834.039409042744</v>
      </c>
      <c r="C73" s="22">
        <f>IFERROR(VLOOKUP(A73,'Reporte Total'!$A$2:$V$157,22,FALSE),0)</f>
        <v>1.3022633169649318</v>
      </c>
      <c r="D73" s="9">
        <f>IFERROR(VLOOKUP(A73,'Reporte Total'!$A$2:$V$157,19,FALSE),0)</f>
        <v>142.75735811910258</v>
      </c>
      <c r="E73" s="22">
        <f>IFERROR(VLOOKUP(A73,'Reporte Total'!$A$2:$V$157,20,FALSE),0)</f>
        <v>2.7150534286658918</v>
      </c>
      <c r="F73" s="9">
        <f>+D73+E73*$B$89</f>
        <v>346.38636526904446</v>
      </c>
      <c r="G73" s="22">
        <f t="shared" si="2"/>
        <v>0.23201977863489145</v>
      </c>
      <c r="H73" s="9"/>
      <c r="I73" s="9"/>
      <c r="J73" s="22"/>
      <c r="K73" s="9"/>
      <c r="L73" s="2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</row>
    <row r="74" spans="1:97" x14ac:dyDescent="0.2">
      <c r="A74" s="9" t="s">
        <v>106</v>
      </c>
      <c r="B74" s="9">
        <f>IFERROR(VLOOKUP(A74,'Reporte Total'!$A$2:$V$157,18,FALSE),0)</f>
        <v>18203.412524922285</v>
      </c>
      <c r="C74" s="22">
        <f>IFERROR(VLOOKUP(A74,'Reporte Total'!$A$2:$V$157,22,FALSE),0)</f>
        <v>2.0483677722625702</v>
      </c>
      <c r="D74" s="9">
        <f>IFERROR(VLOOKUP(A74,'Reporte Total'!$A$2:$V$157,19,FALSE),0)</f>
        <v>169.03473497594285</v>
      </c>
      <c r="E74" s="22">
        <f>IFERROR(VLOOKUP(A74,'Reporte Total'!$A$2:$V$157,20,FALSE),0)</f>
        <v>4.2845101082808794</v>
      </c>
      <c r="F74" s="9">
        <f>+D74+E74*$B$89</f>
        <v>490.37299309700882</v>
      </c>
      <c r="G74" s="22">
        <f t="shared" si="2"/>
        <v>0.28699219973397594</v>
      </c>
      <c r="H74" s="9"/>
      <c r="I74" s="9"/>
      <c r="J74" s="22"/>
      <c r="K74" s="9"/>
      <c r="L74" s="2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</row>
    <row r="75" spans="1:97" x14ac:dyDescent="0.2">
      <c r="A75" s="9" t="s">
        <v>109</v>
      </c>
      <c r="B75" s="9">
        <f>IFERROR(VLOOKUP(A75,'Reporte Total'!$A$2:$V$157,18,FALSE),0)</f>
        <v>17359.80395625798</v>
      </c>
      <c r="C75" s="22">
        <f>IFERROR(VLOOKUP(A75,'Reporte Total'!$A$2:$V$157,22,FALSE),0)</f>
        <v>1.2496635444940458</v>
      </c>
      <c r="D75" s="9">
        <f>IFERROR(VLOOKUP(A75,'Reporte Total'!$A$2:$V$157,19,FALSE),0)</f>
        <v>91.894150859562629</v>
      </c>
      <c r="E75" s="22">
        <f>IFERROR(VLOOKUP(A75,'Reporte Total'!$A$2:$V$157,20,FALSE),0)</f>
        <v>2.6025647906430738</v>
      </c>
      <c r="F75" s="9">
        <f>+D75+E75*$B$89</f>
        <v>287.08651015779316</v>
      </c>
      <c r="G75" s="22">
        <f t="shared" ref="G75:G80" si="3">+B75*F75/31.1035/1000000</f>
        <v>0.16023166315127088</v>
      </c>
      <c r="H75" s="9"/>
      <c r="I75" s="9"/>
      <c r="J75" s="22"/>
      <c r="K75" s="9"/>
      <c r="L75" s="2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</row>
    <row r="76" spans="1:97" x14ac:dyDescent="0.2">
      <c r="A76" s="9" t="s">
        <v>84</v>
      </c>
      <c r="B76" s="9">
        <f>IFERROR(VLOOKUP(A76,'Reporte Total'!$A$2:$V$157,18,FALSE),0)</f>
        <v>13367.230694569429</v>
      </c>
      <c r="C76" s="22">
        <f>IFERROR(VLOOKUP(A76,'Reporte Total'!$A$2:$V$157,22,FALSE),0)</f>
        <v>1.0261704714601525</v>
      </c>
      <c r="D76" s="9">
        <f>IFERROR(VLOOKUP(A76,'Reporte Total'!$A$2:$V$157,19,FALSE),0)</f>
        <v>161.1898230664427</v>
      </c>
      <c r="E76" s="22">
        <f>IFERROR(VLOOKUP(A76,'Reporte Total'!$A$2:$V$157,20,FALSE),0)</f>
        <v>5.8663692881296612</v>
      </c>
      <c r="F76" s="9">
        <f>+D76+E76*$B$89</f>
        <v>601.16751967616733</v>
      </c>
      <c r="G76" s="22">
        <f t="shared" si="3"/>
        <v>0.25836143590250082</v>
      </c>
      <c r="H76" s="9"/>
      <c r="I76" s="9"/>
      <c r="J76" s="22"/>
      <c r="K76" s="9"/>
      <c r="L76" s="2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</row>
    <row r="77" spans="1:97" x14ac:dyDescent="0.2">
      <c r="A77" s="9" t="s">
        <v>77</v>
      </c>
      <c r="B77" s="9">
        <f>IFERROR(VLOOKUP(A77,'Reporte Total'!$A$2:$V$157,18,FALSE),0)</f>
        <v>12635.620591246505</v>
      </c>
      <c r="C77" s="22">
        <f>IFERROR(VLOOKUP(A77,'Reporte Total'!$A$2:$V$157,22,FALSE),0)</f>
        <v>1.0971692876074606</v>
      </c>
      <c r="D77" s="9">
        <f>IFERROR(VLOOKUP(A77,'Reporte Total'!$A$2:$V$157,19,FALSE),0)</f>
        <v>107.75530238151281</v>
      </c>
      <c r="E77" s="22">
        <f>IFERROR(VLOOKUP(A77,'Reporte Total'!$A$2:$V$157,20,FALSE),0)</f>
        <v>0.91597582736018512</v>
      </c>
      <c r="F77" s="9">
        <f>+D77+E77*$B$89</f>
        <v>176.45348943352667</v>
      </c>
      <c r="G77" s="22">
        <f t="shared" si="3"/>
        <v>7.1683230005741061E-2</v>
      </c>
      <c r="H77" s="9"/>
      <c r="I77" s="9"/>
      <c r="J77" s="22"/>
      <c r="K77" s="9"/>
      <c r="L77" s="2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</row>
    <row r="78" spans="1:97" x14ac:dyDescent="0.2">
      <c r="A78" s="9" t="s">
        <v>104</v>
      </c>
      <c r="B78" s="9">
        <f>IFERROR(VLOOKUP(A78,'Reporte Total'!$A$2:$V$157,18,FALSE),0)</f>
        <v>3542.9709536030132</v>
      </c>
      <c r="C78" s="22">
        <f>IFERROR(VLOOKUP(A78,'Reporte Total'!$A$2:$V$157,22,FALSE),0)</f>
        <v>1.1414644935880576</v>
      </c>
      <c r="D78" s="9">
        <f>IFERROR(VLOOKUP(A78,'Reporte Total'!$A$2:$V$157,19,FALSE),0)</f>
        <v>126.0376972566342</v>
      </c>
      <c r="E78" s="22">
        <f>IFERROR(VLOOKUP(A78,'Reporte Total'!$A$2:$V$157,20,FALSE),0)</f>
        <v>2.6764514587949324</v>
      </c>
      <c r="F78" s="9">
        <f>+D78+E78*$B$89</f>
        <v>326.77155666625413</v>
      </c>
      <c r="G78" s="22">
        <f t="shared" si="3"/>
        <v>3.7222246169472228E-2</v>
      </c>
      <c r="H78" s="9"/>
      <c r="I78" s="9"/>
      <c r="J78" s="22"/>
      <c r="K78" s="9"/>
      <c r="L78" s="22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</row>
    <row r="79" spans="1:97" x14ac:dyDescent="0.2">
      <c r="A79" s="121" t="s">
        <v>132</v>
      </c>
      <c r="B79" s="9">
        <f>IFERROR(VLOOKUP(A79,'Reporte Total'!$A$2:$V$157,18,FALSE),0)</f>
        <v>10720.374504012507</v>
      </c>
      <c r="C79" s="22">
        <f>IFERROR(VLOOKUP(A79,'Reporte Total'!$A$2:$V$157,22,FALSE),0)</f>
        <v>1.6372718058098781</v>
      </c>
      <c r="D79" s="9">
        <f>IFERROR(VLOOKUP(A79,'Reporte Total'!$A$2:$V$157,19,FALSE),0)</f>
        <v>68.38733943904586</v>
      </c>
      <c r="E79" s="22">
        <f>IFERROR(VLOOKUP(A79,'Reporte Total'!$A$2:$V$157,20,FALSE),0)</f>
        <v>2.2603530414487611</v>
      </c>
      <c r="F79" s="9">
        <f>+D79+E79*$B$89</f>
        <v>237.91381754770293</v>
      </c>
      <c r="G79" s="22">
        <f t="shared" ref="G79" si="4">+B79*F79/31.1035/1000000</f>
        <v>8.2001228922490316E-2</v>
      </c>
      <c r="H79" s="9"/>
      <c r="I79" s="9"/>
      <c r="J79" s="22"/>
      <c r="K79" s="9"/>
      <c r="L79" s="2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</row>
    <row r="80" spans="1:97" x14ac:dyDescent="0.2">
      <c r="A80" s="9" t="s">
        <v>53</v>
      </c>
      <c r="B80" s="9">
        <f>IFERROR(VLOOKUP(A80,'Reporte Total'!$A$2:$V$157,18,FALSE),0)</f>
        <v>3045.8557632214161</v>
      </c>
      <c r="C80" s="22">
        <f>IFERROR(VLOOKUP(A80,'Reporte Total'!$A$2:$V$157,22,FALSE),0)</f>
        <v>1.0148953662440121</v>
      </c>
      <c r="D80" s="9">
        <f>IFERROR(VLOOKUP(A80,'Reporte Total'!$A$2:$V$157,19,FALSE),0)</f>
        <v>68.453755253992185</v>
      </c>
      <c r="E80" s="22">
        <f>IFERROR(VLOOKUP(A80,'Reporte Total'!$A$2:$V$157,20,FALSE),0)</f>
        <v>1.3087103956714561</v>
      </c>
      <c r="F80" s="9">
        <f>+D80+E80*$B$89</f>
        <v>166.60703492935139</v>
      </c>
      <c r="G80" s="22">
        <f t="shared" si="3"/>
        <v>1.6315237755647971E-2</v>
      </c>
      <c r="H80" s="9"/>
      <c r="I80" s="9"/>
      <c r="J80" s="22"/>
      <c r="K80" s="9"/>
      <c r="L80" s="22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</row>
    <row r="81" spans="1:97" x14ac:dyDescent="0.2">
      <c r="A81" s="17" t="s">
        <v>14</v>
      </c>
      <c r="B81" s="17">
        <f>+SUM(B7:B80)</f>
        <v>16221718.269342987</v>
      </c>
      <c r="C81" s="18">
        <f>SUMPRODUCT($B$7:$B$80,C7:C80)/$B$81</f>
        <v>2.3472540112624904</v>
      </c>
      <c r="D81" s="18">
        <f t="shared" ref="D81:E81" si="5">SUMPRODUCT($B$7:$B$80,D7:D80)/$B$81</f>
        <v>126.4786756778405</v>
      </c>
      <c r="E81" s="18">
        <f t="shared" si="5"/>
        <v>3.1642013458649636</v>
      </c>
      <c r="F81" s="17">
        <f>+D81+E81*$B$89</f>
        <v>363.79377661771275</v>
      </c>
      <c r="G81" s="18">
        <f>B81*F81/31.1035/1000000</f>
        <v>189.73299314973661</v>
      </c>
      <c r="H81" s="9"/>
      <c r="I81" s="9"/>
      <c r="J81" s="22"/>
      <c r="K81" s="9"/>
      <c r="L81" s="2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</row>
    <row r="82" spans="1:97" x14ac:dyDescent="0.2">
      <c r="A82" s="23"/>
      <c r="B82" s="23"/>
      <c r="C82" s="23"/>
      <c r="D82" s="23"/>
      <c r="E82" s="23"/>
      <c r="F82" s="23"/>
      <c r="G82" s="23"/>
      <c r="H82" s="9"/>
      <c r="I82" s="9"/>
      <c r="J82" s="22"/>
      <c r="K82" s="9"/>
      <c r="L82" s="22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</row>
    <row r="83" spans="1:97" x14ac:dyDescent="0.2">
      <c r="A83" s="17"/>
      <c r="B83" s="17"/>
      <c r="C83" s="17"/>
      <c r="D83" s="17"/>
      <c r="E83" s="17"/>
      <c r="F83" s="17"/>
      <c r="G83" s="17"/>
      <c r="H83" s="9"/>
      <c r="I83" s="9"/>
      <c r="J83" s="22"/>
      <c r="K83" s="9"/>
      <c r="L83" s="2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</row>
    <row r="84" spans="1:97" x14ac:dyDescent="0.2">
      <c r="A84" s="17"/>
      <c r="B84" s="17"/>
      <c r="C84" s="17"/>
      <c r="D84" s="17"/>
      <c r="E84" s="17"/>
      <c r="F84" s="17"/>
      <c r="G84" s="17"/>
      <c r="H84" s="9"/>
      <c r="I84" s="9"/>
      <c r="J84" s="22"/>
      <c r="K84" s="9"/>
      <c r="L84" s="22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</row>
    <row r="85" spans="1:97" x14ac:dyDescent="0.2">
      <c r="A85" s="11" t="s">
        <v>23</v>
      </c>
      <c r="B85" s="11">
        <v>0.66920000000000002</v>
      </c>
      <c r="C85" s="11" t="s">
        <v>24</v>
      </c>
      <c r="D85" s="12"/>
      <c r="E85" s="9"/>
      <c r="F85" s="9"/>
      <c r="G85" s="9"/>
      <c r="H85" s="9"/>
      <c r="I85" s="9"/>
      <c r="J85" s="22"/>
      <c r="K85" s="9"/>
      <c r="L85" s="2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</row>
    <row r="86" spans="1:97" x14ac:dyDescent="0.2">
      <c r="A86" s="13" t="s">
        <v>25</v>
      </c>
      <c r="B86" s="13">
        <v>53.209000000000003</v>
      </c>
      <c r="C86" s="13" t="s">
        <v>24</v>
      </c>
      <c r="D86" s="14"/>
      <c r="E86" s="9"/>
      <c r="F86" s="9"/>
      <c r="G86" s="9"/>
      <c r="H86" s="9"/>
      <c r="I86" s="9"/>
      <c r="J86" s="22"/>
      <c r="K86" s="9"/>
      <c r="L86" s="22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</row>
    <row r="87" spans="1:97" x14ac:dyDescent="0.2">
      <c r="A87" s="11" t="s">
        <v>26</v>
      </c>
      <c r="B87" s="11">
        <v>87.7</v>
      </c>
      <c r="C87" s="11" t="s">
        <v>27</v>
      </c>
      <c r="D87" s="12"/>
      <c r="E87" s="9"/>
      <c r="F87" s="9"/>
      <c r="G87" s="9"/>
      <c r="H87" s="9"/>
      <c r="I87" s="9"/>
      <c r="J87" s="22"/>
      <c r="K87" s="9"/>
      <c r="L87" s="2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</row>
    <row r="88" spans="1:97" x14ac:dyDescent="0.2">
      <c r="A88" s="13" t="s">
        <v>26</v>
      </c>
      <c r="B88" s="13">
        <v>131</v>
      </c>
      <c r="C88" s="13" t="s">
        <v>28</v>
      </c>
      <c r="D88" s="14"/>
      <c r="E88" s="9"/>
      <c r="F88" s="9"/>
      <c r="G88" s="9"/>
      <c r="H88" s="9"/>
      <c r="I88" s="9"/>
      <c r="J88" s="22"/>
      <c r="K88" s="9"/>
      <c r="L88" s="22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</row>
    <row r="89" spans="1:97" x14ac:dyDescent="0.2">
      <c r="A89" s="15" t="s">
        <v>29</v>
      </c>
      <c r="B89" s="15">
        <v>75</v>
      </c>
      <c r="C89" s="15"/>
      <c r="D89" s="14"/>
      <c r="E89" s="9"/>
      <c r="F89" s="9"/>
      <c r="G89" s="9"/>
      <c r="H89" s="9"/>
      <c r="I89" s="9"/>
      <c r="J89" s="22"/>
      <c r="K89" s="9"/>
      <c r="L89" s="2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</row>
    <row r="90" spans="1:97" x14ac:dyDescent="0.2">
      <c r="A90" s="17"/>
      <c r="B90" s="17"/>
      <c r="C90" s="17"/>
      <c r="D90" s="17"/>
      <c r="E90" s="17"/>
      <c r="F90" s="17"/>
      <c r="G90" s="17"/>
      <c r="H90" s="9"/>
      <c r="I90" s="9"/>
      <c r="J90" s="22"/>
      <c r="K90" s="9"/>
      <c r="L90" s="22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</row>
    <row r="91" spans="1:97" x14ac:dyDescent="0.2">
      <c r="A91" s="17"/>
      <c r="B91" s="17"/>
      <c r="C91" s="17"/>
      <c r="D91" s="17"/>
      <c r="E91" s="17"/>
      <c r="F91" s="17"/>
      <c r="G91" s="17"/>
      <c r="H91" s="9"/>
      <c r="I91" s="9"/>
      <c r="J91" s="22"/>
      <c r="K91" s="9"/>
      <c r="L91" s="2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</row>
    <row r="92" spans="1:97" x14ac:dyDescent="0.2">
      <c r="A92" s="17"/>
      <c r="B92" s="17"/>
      <c r="C92" s="17"/>
      <c r="D92" s="17"/>
      <c r="E92" s="17"/>
      <c r="F92" s="17"/>
      <c r="G92" s="17"/>
      <c r="H92" s="9"/>
      <c r="I92" s="9"/>
      <c r="J92" s="22"/>
      <c r="K92" s="9"/>
      <c r="L92" s="22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</row>
    <row r="93" spans="1:97" x14ac:dyDescent="0.2">
      <c r="A93" s="17"/>
      <c r="B93" s="17"/>
      <c r="C93" s="17"/>
      <c r="D93" s="17"/>
      <c r="E93" s="17"/>
      <c r="F93" s="17"/>
      <c r="G93" s="17"/>
      <c r="H93" s="9"/>
      <c r="I93" s="9"/>
      <c r="J93" s="22"/>
      <c r="K93" s="9"/>
      <c r="L93" s="2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</row>
    <row r="94" spans="1:97" x14ac:dyDescent="0.2">
      <c r="A94" s="17"/>
      <c r="B94" s="17"/>
      <c r="C94" s="17"/>
      <c r="D94" s="17"/>
      <c r="E94" s="17"/>
      <c r="F94" s="17"/>
      <c r="G94" s="17"/>
      <c r="H94" s="9"/>
      <c r="I94" s="9"/>
      <c r="J94" s="22"/>
      <c r="K94" s="9"/>
      <c r="L94" s="22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</row>
    <row r="95" spans="1:97" x14ac:dyDescent="0.2">
      <c r="A95" s="17"/>
      <c r="B95" s="17"/>
      <c r="C95" s="17"/>
      <c r="D95" s="17"/>
      <c r="E95" s="17"/>
      <c r="F95" s="17"/>
      <c r="G95" s="17"/>
      <c r="H95" s="9"/>
      <c r="I95" s="9"/>
      <c r="J95" s="22"/>
      <c r="K95" s="9"/>
      <c r="L95" s="2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</row>
    <row r="96" spans="1:97" x14ac:dyDescent="0.2">
      <c r="A96" s="17"/>
      <c r="B96" s="17"/>
      <c r="C96" s="17"/>
      <c r="D96" s="17"/>
      <c r="E96" s="17"/>
      <c r="F96" s="17"/>
      <c r="G96" s="17"/>
      <c r="H96" s="9"/>
      <c r="I96" s="9"/>
      <c r="J96" s="22"/>
      <c r="K96" s="9"/>
      <c r="L96" s="22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</row>
    <row r="97" spans="1:97" x14ac:dyDescent="0.2">
      <c r="A97" s="9"/>
      <c r="B97" s="9"/>
      <c r="C97" s="9"/>
      <c r="D97" s="22"/>
      <c r="E97" s="9"/>
      <c r="F97" s="22"/>
      <c r="G97" s="9"/>
      <c r="H97" s="9"/>
      <c r="I97" s="9"/>
      <c r="J97" s="22"/>
      <c r="K97" s="9"/>
      <c r="L97" s="2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</row>
    <row r="98" spans="1:97" x14ac:dyDescent="0.2">
      <c r="A98" s="9"/>
      <c r="B98" s="9"/>
      <c r="C98" s="9"/>
      <c r="D98" s="22"/>
      <c r="E98" s="9"/>
      <c r="F98" s="22"/>
      <c r="G98" s="9"/>
      <c r="H98" s="9"/>
      <c r="I98" s="9"/>
      <c r="J98" s="22"/>
      <c r="K98" s="9"/>
      <c r="L98" s="22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</row>
    <row r="99" spans="1:97" x14ac:dyDescent="0.2">
      <c r="A99" s="9"/>
      <c r="B99" s="9"/>
      <c r="C99" s="9"/>
      <c r="D99" s="22"/>
      <c r="E99" s="9"/>
      <c r="F99" s="22"/>
      <c r="G99" s="9"/>
      <c r="H99" s="9"/>
      <c r="I99" s="9"/>
      <c r="J99" s="22"/>
      <c r="K99" s="9"/>
      <c r="L99" s="2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</row>
    <row r="100" spans="1:97" x14ac:dyDescent="0.2">
      <c r="A100" s="9"/>
      <c r="B100" s="9"/>
      <c r="C100" s="9"/>
      <c r="D100" s="22"/>
      <c r="E100" s="9"/>
      <c r="F100" s="22"/>
      <c r="G100" s="9"/>
      <c r="H100" s="9"/>
      <c r="I100" s="9"/>
      <c r="J100" s="22"/>
      <c r="K100" s="9"/>
      <c r="L100" s="22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</row>
    <row r="101" spans="1:97" x14ac:dyDescent="0.2">
      <c r="A101" s="9"/>
      <c r="B101" s="9"/>
      <c r="C101" s="9"/>
      <c r="D101" s="22"/>
      <c r="E101" s="9"/>
      <c r="F101" s="22"/>
      <c r="G101" s="9"/>
      <c r="H101" s="9"/>
      <c r="I101" s="9"/>
      <c r="J101" s="22"/>
      <c r="K101" s="9"/>
      <c r="L101" s="2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</row>
    <row r="102" spans="1:97" x14ac:dyDescent="0.2">
      <c r="A102" s="9"/>
      <c r="B102" s="9"/>
      <c r="C102" s="9"/>
      <c r="D102" s="22"/>
      <c r="E102" s="9"/>
      <c r="F102" s="22"/>
      <c r="G102" s="9"/>
      <c r="H102" s="9"/>
      <c r="I102" s="9"/>
      <c r="J102" s="22"/>
      <c r="K102" s="9"/>
      <c r="L102" s="22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</row>
    <row r="103" spans="1:97" x14ac:dyDescent="0.2">
      <c r="A103" s="9"/>
      <c r="B103" s="9"/>
      <c r="C103" s="9"/>
      <c r="D103" s="22"/>
      <c r="E103" s="9"/>
      <c r="F103" s="22"/>
      <c r="G103" s="9"/>
      <c r="H103" s="9"/>
      <c r="I103" s="9"/>
      <c r="J103" s="22"/>
      <c r="K103" s="9"/>
      <c r="L103" s="2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</row>
    <row r="104" spans="1:97" x14ac:dyDescent="0.2">
      <c r="A104" s="9"/>
      <c r="B104" s="9"/>
      <c r="C104" s="9"/>
      <c r="D104" s="22"/>
      <c r="E104" s="9"/>
      <c r="F104" s="22"/>
      <c r="G104" s="9"/>
      <c r="H104" s="9"/>
      <c r="I104" s="9"/>
      <c r="J104" s="22"/>
      <c r="K104" s="9"/>
      <c r="L104" s="22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</row>
    <row r="105" spans="1:97" x14ac:dyDescent="0.2">
      <c r="A105" s="9"/>
      <c r="B105" s="9"/>
      <c r="C105" s="9"/>
      <c r="D105" s="22"/>
      <c r="E105" s="9"/>
      <c r="F105" s="22"/>
      <c r="G105" s="9"/>
      <c r="H105" s="9"/>
      <c r="I105" s="9"/>
      <c r="J105" s="22"/>
      <c r="K105" s="9"/>
      <c r="L105" s="2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</row>
    <row r="106" spans="1:97" x14ac:dyDescent="0.2">
      <c r="A106" s="9"/>
      <c r="B106" s="9"/>
      <c r="C106" s="9"/>
      <c r="D106" s="22"/>
      <c r="E106" s="9"/>
      <c r="F106" s="22"/>
      <c r="G106" s="9"/>
      <c r="H106" s="9"/>
      <c r="I106" s="9"/>
      <c r="J106" s="22"/>
      <c r="K106" s="9"/>
      <c r="L106" s="22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</row>
    <row r="107" spans="1:97" x14ac:dyDescent="0.2">
      <c r="A107" s="9"/>
      <c r="B107" s="9"/>
      <c r="C107" s="9"/>
      <c r="D107" s="22"/>
      <c r="E107" s="9"/>
      <c r="F107" s="22"/>
      <c r="G107" s="9"/>
      <c r="H107" s="9"/>
      <c r="I107" s="9"/>
      <c r="J107" s="22"/>
      <c r="K107" s="9"/>
      <c r="L107" s="2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</row>
    <row r="108" spans="1:97" x14ac:dyDescent="0.2">
      <c r="A108" s="9"/>
      <c r="B108" s="9"/>
      <c r="C108" s="9"/>
      <c r="D108" s="22"/>
      <c r="E108" s="9"/>
      <c r="F108" s="22"/>
      <c r="G108" s="9"/>
      <c r="H108" s="9"/>
      <c r="I108" s="9"/>
      <c r="J108" s="22"/>
      <c r="K108" s="9"/>
      <c r="L108" s="22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</row>
    <row r="109" spans="1:97" x14ac:dyDescent="0.2">
      <c r="A109" s="9"/>
      <c r="B109" s="9"/>
      <c r="C109" s="9"/>
      <c r="D109" s="22"/>
      <c r="E109" s="9"/>
      <c r="F109" s="22"/>
      <c r="G109" s="9"/>
      <c r="H109" s="9"/>
      <c r="I109" s="9"/>
      <c r="J109" s="22"/>
      <c r="K109" s="9"/>
      <c r="L109" s="2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</row>
    <row r="110" spans="1:97" x14ac:dyDescent="0.2">
      <c r="A110" s="9"/>
      <c r="B110" s="9"/>
      <c r="C110" s="9"/>
      <c r="D110" s="22"/>
      <c r="E110" s="9"/>
      <c r="F110" s="22"/>
      <c r="G110" s="9"/>
      <c r="H110" s="9"/>
      <c r="I110" s="9"/>
      <c r="J110" s="22"/>
      <c r="K110" s="9"/>
      <c r="L110" s="22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</row>
    <row r="111" spans="1:97" x14ac:dyDescent="0.2">
      <c r="A111" s="9"/>
      <c r="B111" s="9"/>
      <c r="C111" s="9"/>
      <c r="D111" s="22"/>
      <c r="E111" s="9"/>
      <c r="F111" s="22"/>
      <c r="G111" s="9"/>
      <c r="H111" s="9"/>
      <c r="I111" s="9"/>
      <c r="J111" s="22"/>
      <c r="K111" s="9"/>
      <c r="L111" s="2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</row>
    <row r="112" spans="1:97" x14ac:dyDescent="0.2">
      <c r="A112" s="9"/>
      <c r="B112" s="9"/>
      <c r="C112" s="9"/>
      <c r="D112" s="22"/>
      <c r="E112" s="9"/>
      <c r="F112" s="22"/>
      <c r="G112" s="9"/>
      <c r="H112" s="9"/>
      <c r="I112" s="9"/>
      <c r="J112" s="22"/>
      <c r="K112" s="9"/>
      <c r="L112" s="22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</row>
    <row r="113" spans="1:97" x14ac:dyDescent="0.2">
      <c r="A113" s="9"/>
      <c r="B113" s="9"/>
      <c r="C113" s="9"/>
      <c r="D113" s="22"/>
      <c r="E113" s="9"/>
      <c r="F113" s="22"/>
      <c r="G113" s="9"/>
      <c r="H113" s="9"/>
      <c r="I113" s="9"/>
      <c r="J113" s="22"/>
      <c r="K113" s="9"/>
      <c r="L113" s="2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</row>
    <row r="114" spans="1:97" x14ac:dyDescent="0.2">
      <c r="A114" s="9"/>
      <c r="B114" s="9"/>
      <c r="C114" s="9"/>
      <c r="D114" s="22"/>
      <c r="E114" s="9"/>
      <c r="F114" s="22"/>
      <c r="G114" s="9"/>
      <c r="H114" s="9"/>
      <c r="I114" s="9"/>
      <c r="J114" s="22"/>
      <c r="K114" s="9"/>
      <c r="L114" s="22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</row>
    <row r="115" spans="1:97" x14ac:dyDescent="0.2">
      <c r="A115" s="9"/>
      <c r="B115" s="9"/>
      <c r="C115" s="9"/>
      <c r="D115" s="22"/>
      <c r="E115" s="9"/>
      <c r="F115" s="22"/>
      <c r="G115" s="9"/>
      <c r="H115" s="9"/>
      <c r="I115" s="9"/>
      <c r="J115" s="22"/>
      <c r="K115" s="9"/>
      <c r="L115" s="2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</row>
    <row r="116" spans="1:97" x14ac:dyDescent="0.2">
      <c r="A116" s="9"/>
      <c r="B116" s="9"/>
      <c r="C116" s="9"/>
      <c r="D116" s="22"/>
      <c r="E116" s="9"/>
      <c r="F116" s="22"/>
      <c r="G116" s="9"/>
      <c r="H116" s="9"/>
      <c r="I116" s="9"/>
      <c r="J116" s="22"/>
      <c r="K116" s="9"/>
      <c r="L116" s="22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</row>
    <row r="117" spans="1:97" x14ac:dyDescent="0.2">
      <c r="A117" s="9"/>
      <c r="B117" s="9"/>
      <c r="C117" s="9"/>
      <c r="D117" s="22"/>
      <c r="E117" s="9"/>
      <c r="F117" s="22"/>
      <c r="G117" s="9"/>
      <c r="H117" s="9"/>
      <c r="I117" s="9"/>
      <c r="J117" s="22"/>
      <c r="K117" s="9"/>
      <c r="L117" s="2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</row>
    <row r="118" spans="1:97" x14ac:dyDescent="0.2">
      <c r="A118" s="9"/>
      <c r="B118" s="9"/>
      <c r="C118" s="9"/>
      <c r="D118" s="22"/>
      <c r="E118" s="9"/>
      <c r="F118" s="22"/>
      <c r="G118" s="9"/>
      <c r="H118" s="9"/>
      <c r="I118" s="9"/>
      <c r="J118" s="22"/>
      <c r="K118" s="9"/>
      <c r="L118" s="22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</row>
    <row r="119" spans="1:97" x14ac:dyDescent="0.2">
      <c r="A119" s="9"/>
      <c r="B119" s="9"/>
      <c r="C119" s="9"/>
      <c r="D119" s="22"/>
      <c r="E119" s="9"/>
      <c r="F119" s="22"/>
      <c r="G119" s="9"/>
      <c r="H119" s="9"/>
      <c r="I119" s="9"/>
      <c r="J119" s="22"/>
      <c r="K119" s="9"/>
      <c r="L119" s="2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</row>
    <row r="120" spans="1:97" x14ac:dyDescent="0.2">
      <c r="A120" s="9"/>
      <c r="B120" s="9"/>
      <c r="C120" s="9"/>
      <c r="D120" s="22"/>
      <c r="E120" s="9"/>
      <c r="F120" s="22"/>
      <c r="G120" s="9"/>
      <c r="H120" s="9"/>
      <c r="I120" s="9"/>
      <c r="J120" s="22"/>
      <c r="K120" s="9"/>
      <c r="L120" s="2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</row>
    <row r="121" spans="1:97" x14ac:dyDescent="0.2">
      <c r="A121" s="9"/>
      <c r="B121" s="9"/>
      <c r="C121" s="9"/>
      <c r="D121" s="22"/>
      <c r="E121" s="9"/>
      <c r="F121" s="22"/>
      <c r="G121" s="9"/>
      <c r="H121" s="9"/>
      <c r="I121" s="9"/>
      <c r="J121" s="22"/>
      <c r="K121" s="9"/>
      <c r="L121" s="2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</row>
    <row r="122" spans="1:97" x14ac:dyDescent="0.2">
      <c r="A122" s="9"/>
      <c r="B122" s="9"/>
      <c r="C122" s="9"/>
      <c r="D122" s="22"/>
      <c r="E122" s="9"/>
      <c r="F122" s="22"/>
      <c r="G122" s="9"/>
      <c r="H122" s="9"/>
      <c r="I122" s="9"/>
      <c r="J122" s="22"/>
      <c r="K122" s="9"/>
      <c r="L122" s="2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</row>
    <row r="123" spans="1:97" x14ac:dyDescent="0.2">
      <c r="A123" s="9"/>
      <c r="B123" s="9"/>
      <c r="C123" s="9"/>
      <c r="D123" s="22"/>
      <c r="E123" s="9"/>
      <c r="F123" s="22"/>
      <c r="G123" s="9"/>
      <c r="H123" s="9"/>
      <c r="I123" s="9"/>
      <c r="J123" s="22"/>
      <c r="K123" s="9"/>
      <c r="L123" s="2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</row>
    <row r="124" spans="1:97" x14ac:dyDescent="0.2">
      <c r="A124" s="9"/>
      <c r="B124" s="9"/>
      <c r="C124" s="9"/>
      <c r="D124" s="22"/>
      <c r="E124" s="9"/>
      <c r="F124" s="22"/>
      <c r="G124" s="9"/>
      <c r="H124" s="9"/>
      <c r="I124" s="9"/>
      <c r="J124" s="22"/>
      <c r="K124" s="9"/>
      <c r="L124" s="2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</row>
    <row r="125" spans="1:97" x14ac:dyDescent="0.2">
      <c r="A125" s="9"/>
      <c r="B125" s="9"/>
      <c r="C125" s="9"/>
      <c r="D125" s="22"/>
      <c r="E125" s="9"/>
      <c r="F125" s="22"/>
      <c r="G125" s="9"/>
      <c r="H125" s="9"/>
      <c r="I125" s="9"/>
      <c r="J125" s="22"/>
      <c r="K125" s="9"/>
      <c r="L125" s="2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</row>
    <row r="126" spans="1:97" x14ac:dyDescent="0.2">
      <c r="A126" s="9"/>
      <c r="B126" s="9"/>
      <c r="C126" s="9"/>
      <c r="D126" s="22"/>
      <c r="E126" s="9"/>
      <c r="F126" s="22"/>
      <c r="G126" s="9"/>
      <c r="H126" s="9"/>
      <c r="I126" s="9"/>
      <c r="J126" s="22"/>
      <c r="K126" s="9"/>
      <c r="L126" s="2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</row>
    <row r="127" spans="1:97" x14ac:dyDescent="0.2">
      <c r="A127" s="9"/>
      <c r="B127" s="9"/>
      <c r="C127" s="9"/>
      <c r="D127" s="22"/>
      <c r="E127" s="9"/>
      <c r="F127" s="22"/>
      <c r="G127" s="9"/>
      <c r="H127" s="9"/>
      <c r="I127" s="9"/>
      <c r="J127" s="22"/>
      <c r="K127" s="9"/>
      <c r="L127" s="2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</row>
    <row r="128" spans="1:97" x14ac:dyDescent="0.2">
      <c r="A128" s="9"/>
      <c r="B128" s="9"/>
      <c r="C128" s="9"/>
      <c r="D128" s="22"/>
      <c r="E128" s="9"/>
      <c r="F128" s="22"/>
      <c r="G128" s="9"/>
      <c r="H128" s="9"/>
      <c r="I128" s="9"/>
      <c r="J128" s="22"/>
      <c r="K128" s="9"/>
      <c r="L128" s="22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</row>
    <row r="129" spans="1:97" x14ac:dyDescent="0.2">
      <c r="A129" s="9"/>
      <c r="B129" s="9"/>
      <c r="C129" s="9"/>
      <c r="D129" s="22"/>
      <c r="E129" s="9"/>
      <c r="F129" s="22"/>
      <c r="G129" s="9"/>
      <c r="H129" s="9"/>
      <c r="I129" s="9"/>
      <c r="J129" s="22"/>
      <c r="K129" s="9"/>
      <c r="L129" s="2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</row>
    <row r="130" spans="1:97" x14ac:dyDescent="0.2">
      <c r="A130" s="9"/>
      <c r="B130" s="9"/>
      <c r="C130" s="9"/>
      <c r="D130" s="22"/>
      <c r="E130" s="9"/>
      <c r="F130" s="22"/>
      <c r="G130" s="9"/>
      <c r="H130" s="9"/>
      <c r="I130" s="9"/>
      <c r="J130" s="22"/>
      <c r="K130" s="9"/>
      <c r="L130" s="22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</row>
    <row r="131" spans="1:97" x14ac:dyDescent="0.2">
      <c r="A131" s="9"/>
      <c r="B131" s="9"/>
      <c r="C131" s="9"/>
      <c r="D131" s="22"/>
      <c r="E131" s="9"/>
      <c r="F131" s="22"/>
      <c r="G131" s="9"/>
      <c r="H131" s="9"/>
      <c r="I131" s="9"/>
      <c r="J131" s="22"/>
      <c r="K131" s="9"/>
      <c r="L131" s="2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</row>
    <row r="132" spans="1:97" x14ac:dyDescent="0.2">
      <c r="A132" s="9"/>
      <c r="B132" s="9"/>
      <c r="C132" s="9"/>
      <c r="D132" s="22"/>
      <c r="E132" s="9"/>
      <c r="F132" s="22"/>
      <c r="G132" s="9"/>
      <c r="H132" s="9"/>
      <c r="I132" s="9"/>
      <c r="J132" s="22"/>
      <c r="K132" s="9"/>
      <c r="L132" s="22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</row>
    <row r="133" spans="1:97" x14ac:dyDescent="0.2">
      <c r="A133" s="9"/>
      <c r="B133" s="9"/>
      <c r="C133" s="9"/>
      <c r="D133" s="22"/>
      <c r="E133" s="9"/>
      <c r="F133" s="22"/>
      <c r="G133" s="9"/>
      <c r="H133" s="9"/>
      <c r="I133" s="9"/>
      <c r="J133" s="22"/>
      <c r="K133" s="9"/>
      <c r="L133" s="2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</row>
    <row r="134" spans="1:97" x14ac:dyDescent="0.2">
      <c r="A134" s="9"/>
      <c r="B134" s="9"/>
      <c r="C134" s="9"/>
      <c r="D134" s="22"/>
      <c r="E134" s="9"/>
      <c r="F134" s="22"/>
      <c r="G134" s="9"/>
      <c r="H134" s="9"/>
      <c r="I134" s="9"/>
      <c r="J134" s="22"/>
      <c r="K134" s="9"/>
      <c r="L134" s="22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</row>
    <row r="135" spans="1:97" x14ac:dyDescent="0.2">
      <c r="A135" s="9"/>
      <c r="B135" s="9"/>
      <c r="C135" s="9"/>
      <c r="D135" s="22"/>
      <c r="E135" s="9"/>
      <c r="F135" s="22"/>
      <c r="G135" s="9"/>
      <c r="H135" s="9"/>
      <c r="I135" s="9"/>
      <c r="J135" s="22"/>
      <c r="K135" s="9"/>
      <c r="L135" s="2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</row>
    <row r="136" spans="1:97" x14ac:dyDescent="0.2">
      <c r="A136" s="9"/>
      <c r="B136" s="9"/>
      <c r="C136" s="9"/>
      <c r="D136" s="22"/>
      <c r="E136" s="9"/>
      <c r="F136" s="22"/>
      <c r="G136" s="9"/>
      <c r="H136" s="9"/>
      <c r="I136" s="9"/>
      <c r="J136" s="22"/>
      <c r="K136" s="9"/>
      <c r="L136" s="22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</row>
    <row r="137" spans="1:97" x14ac:dyDescent="0.2">
      <c r="A137" s="9"/>
      <c r="B137" s="9"/>
      <c r="C137" s="9"/>
      <c r="D137" s="22"/>
      <c r="E137" s="9"/>
      <c r="F137" s="22"/>
      <c r="G137" s="9"/>
      <c r="H137" s="9"/>
      <c r="I137" s="9"/>
      <c r="J137" s="22"/>
      <c r="K137" s="9"/>
      <c r="L137" s="2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</row>
    <row r="138" spans="1:97" x14ac:dyDescent="0.2">
      <c r="A138" s="9"/>
      <c r="B138" s="9"/>
      <c r="C138" s="9"/>
      <c r="D138" s="22"/>
      <c r="E138" s="9"/>
      <c r="F138" s="22"/>
      <c r="G138" s="9"/>
      <c r="H138" s="9"/>
      <c r="I138" s="9"/>
      <c r="J138" s="22"/>
      <c r="K138" s="9"/>
      <c r="L138" s="22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</row>
    <row r="139" spans="1:97" x14ac:dyDescent="0.2">
      <c r="A139" s="9"/>
      <c r="B139" s="9"/>
      <c r="C139" s="9"/>
      <c r="D139" s="22"/>
      <c r="E139" s="9"/>
      <c r="F139" s="22"/>
      <c r="G139" s="9"/>
      <c r="H139" s="9"/>
      <c r="I139" s="9"/>
      <c r="J139" s="22"/>
      <c r="K139" s="9"/>
      <c r="L139" s="2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</row>
    <row r="140" spans="1:97" x14ac:dyDescent="0.2">
      <c r="A140" s="9"/>
      <c r="B140" s="9"/>
      <c r="C140" s="9"/>
      <c r="D140" s="22"/>
      <c r="E140" s="9"/>
      <c r="F140" s="22"/>
      <c r="G140" s="9"/>
      <c r="H140" s="9"/>
      <c r="I140" s="9"/>
      <c r="J140" s="22"/>
      <c r="K140" s="9"/>
      <c r="L140" s="22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</row>
    <row r="141" spans="1:97" x14ac:dyDescent="0.2">
      <c r="A141" s="9"/>
      <c r="B141" s="9"/>
      <c r="C141" s="9"/>
      <c r="D141" s="22"/>
      <c r="E141" s="9"/>
      <c r="F141" s="22"/>
      <c r="G141" s="9"/>
      <c r="H141" s="9"/>
      <c r="I141" s="9"/>
      <c r="J141" s="22"/>
      <c r="K141" s="9"/>
      <c r="L141" s="2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</row>
    <row r="142" spans="1:97" x14ac:dyDescent="0.2">
      <c r="A142" s="9"/>
      <c r="B142" s="9"/>
      <c r="C142" s="9"/>
      <c r="D142" s="22"/>
      <c r="E142" s="9"/>
      <c r="F142" s="22"/>
      <c r="G142" s="9"/>
      <c r="H142" s="9"/>
      <c r="I142" s="9"/>
      <c r="J142" s="22"/>
      <c r="K142" s="9"/>
      <c r="L142" s="22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</row>
    <row r="143" spans="1:97" x14ac:dyDescent="0.2">
      <c r="A143" s="9"/>
      <c r="B143" s="9"/>
      <c r="C143" s="9"/>
      <c r="D143" s="22"/>
      <c r="E143" s="9"/>
      <c r="F143" s="22"/>
      <c r="G143" s="9"/>
      <c r="H143" s="9"/>
      <c r="I143" s="9"/>
      <c r="J143" s="22"/>
      <c r="K143" s="9"/>
      <c r="L143" s="2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</row>
    <row r="144" spans="1:97" x14ac:dyDescent="0.2">
      <c r="A144" s="9"/>
      <c r="B144" s="9"/>
      <c r="C144" s="9"/>
      <c r="D144" s="22"/>
      <c r="E144" s="9"/>
      <c r="F144" s="22"/>
      <c r="G144" s="9"/>
      <c r="H144" s="9"/>
      <c r="I144" s="9"/>
      <c r="J144" s="22"/>
      <c r="K144" s="9"/>
      <c r="L144" s="22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</row>
    <row r="145" spans="1:97" x14ac:dyDescent="0.2">
      <c r="A145" s="9"/>
      <c r="B145" s="9"/>
      <c r="C145" s="9"/>
      <c r="D145" s="22"/>
      <c r="E145" s="9"/>
      <c r="F145" s="22"/>
      <c r="G145" s="9"/>
      <c r="H145" s="9"/>
      <c r="I145" s="9"/>
      <c r="J145" s="22"/>
      <c r="K145" s="9"/>
      <c r="L145" s="2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</row>
    <row r="146" spans="1:97" x14ac:dyDescent="0.2">
      <c r="A146" s="9"/>
      <c r="B146" s="9"/>
      <c r="C146" s="9"/>
      <c r="D146" s="22"/>
      <c r="E146" s="9"/>
      <c r="F146" s="22"/>
      <c r="G146" s="9"/>
      <c r="H146" s="9"/>
      <c r="I146" s="9"/>
      <c r="J146" s="22"/>
      <c r="K146" s="9"/>
      <c r="L146" s="22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</row>
    <row r="147" spans="1:97" x14ac:dyDescent="0.2">
      <c r="A147" s="9"/>
      <c r="B147" s="9"/>
      <c r="C147" s="9"/>
      <c r="D147" s="22"/>
      <c r="E147" s="9"/>
      <c r="F147" s="22"/>
      <c r="G147" s="9"/>
      <c r="H147" s="9"/>
      <c r="I147" s="9"/>
      <c r="J147" s="22"/>
      <c r="K147" s="9"/>
      <c r="L147" s="2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</row>
    <row r="148" spans="1:97" x14ac:dyDescent="0.2">
      <c r="A148" s="9"/>
      <c r="B148" s="9"/>
      <c r="C148" s="9"/>
      <c r="D148" s="22"/>
      <c r="E148" s="9"/>
      <c r="F148" s="22"/>
      <c r="G148" s="9"/>
      <c r="H148" s="9"/>
      <c r="I148" s="9"/>
      <c r="J148" s="22"/>
      <c r="K148" s="9"/>
      <c r="L148" s="22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</row>
    <row r="149" spans="1:97" x14ac:dyDescent="0.2">
      <c r="A149" s="9"/>
      <c r="B149" s="9"/>
      <c r="C149" s="9"/>
      <c r="D149" s="22"/>
      <c r="E149" s="9"/>
      <c r="F149" s="22"/>
      <c r="G149" s="9"/>
      <c r="H149" s="9"/>
      <c r="I149" s="9"/>
      <c r="J149" s="22"/>
      <c r="K149" s="9"/>
      <c r="L149" s="2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</row>
    <row r="150" spans="1:97" x14ac:dyDescent="0.2">
      <c r="A150" s="9"/>
      <c r="B150" s="9"/>
      <c r="C150" s="9"/>
      <c r="D150" s="22"/>
      <c r="E150" s="9"/>
      <c r="F150" s="22"/>
      <c r="G150" s="9"/>
      <c r="H150" s="9"/>
      <c r="I150" s="9"/>
      <c r="J150" s="22"/>
      <c r="K150" s="9"/>
      <c r="L150" s="2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</row>
    <row r="151" spans="1:97" x14ac:dyDescent="0.2">
      <c r="A151" s="9"/>
      <c r="B151" s="9"/>
      <c r="C151" s="9"/>
      <c r="D151" s="22"/>
      <c r="E151" s="9"/>
      <c r="F151" s="22"/>
      <c r="G151" s="9"/>
      <c r="H151" s="9"/>
      <c r="I151" s="9"/>
      <c r="J151" s="22"/>
      <c r="K151" s="9"/>
      <c r="L151" s="2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</row>
    <row r="152" spans="1:97" x14ac:dyDescent="0.2">
      <c r="A152" s="9"/>
      <c r="B152" s="9"/>
      <c r="C152" s="9"/>
      <c r="D152" s="22"/>
      <c r="E152" s="9"/>
      <c r="F152" s="22"/>
      <c r="G152" s="9"/>
      <c r="H152" s="9"/>
      <c r="I152" s="9"/>
      <c r="J152" s="22"/>
      <c r="K152" s="9"/>
      <c r="L152" s="22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</row>
    <row r="153" spans="1:97" x14ac:dyDescent="0.2">
      <c r="A153" s="9"/>
      <c r="B153" s="9"/>
      <c r="C153" s="9"/>
      <c r="D153" s="22"/>
      <c r="E153" s="9"/>
      <c r="F153" s="22"/>
      <c r="G153" s="9"/>
      <c r="H153" s="9"/>
      <c r="I153" s="9"/>
      <c r="J153" s="22"/>
      <c r="K153" s="9"/>
      <c r="L153" s="2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</row>
    <row r="154" spans="1:97" x14ac:dyDescent="0.2">
      <c r="A154" s="9"/>
      <c r="B154" s="9"/>
      <c r="C154" s="9"/>
      <c r="D154" s="22"/>
      <c r="E154" s="9"/>
      <c r="F154" s="22"/>
      <c r="G154" s="9"/>
      <c r="H154" s="9"/>
      <c r="I154" s="9"/>
      <c r="J154" s="22"/>
      <c r="K154" s="9"/>
      <c r="L154" s="2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</row>
    <row r="155" spans="1:97" x14ac:dyDescent="0.2">
      <c r="A155" s="9"/>
      <c r="B155" s="9"/>
      <c r="C155" s="9"/>
      <c r="D155" s="22"/>
      <c r="E155" s="9"/>
      <c r="F155" s="22"/>
      <c r="G155" s="9"/>
      <c r="H155" s="9"/>
      <c r="I155" s="9"/>
      <c r="J155" s="22"/>
      <c r="K155" s="9"/>
      <c r="L155" s="2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</row>
    <row r="156" spans="1:97" x14ac:dyDescent="0.2">
      <c r="A156" s="9"/>
      <c r="B156" s="9"/>
      <c r="C156" s="9"/>
      <c r="D156" s="22"/>
      <c r="E156" s="9"/>
      <c r="F156" s="22"/>
      <c r="G156" s="9"/>
      <c r="H156" s="9"/>
      <c r="I156" s="9"/>
      <c r="J156" s="22"/>
      <c r="K156" s="9"/>
      <c r="L156" s="22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</row>
    <row r="157" spans="1:97" x14ac:dyDescent="0.2">
      <c r="A157" s="9"/>
      <c r="B157" s="9"/>
      <c r="C157" s="9"/>
      <c r="D157" s="22"/>
      <c r="E157" s="9"/>
      <c r="F157" s="22"/>
      <c r="G157" s="9"/>
      <c r="H157" s="9"/>
      <c r="I157" s="9"/>
      <c r="J157" s="22"/>
      <c r="K157" s="9"/>
      <c r="L157" s="2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</row>
    <row r="158" spans="1:97" x14ac:dyDescent="0.2">
      <c r="A158" s="9"/>
      <c r="B158" s="9"/>
      <c r="C158" s="9"/>
      <c r="D158" s="22"/>
      <c r="E158" s="9"/>
      <c r="F158" s="22"/>
      <c r="G158" s="9"/>
      <c r="H158" s="9"/>
      <c r="I158" s="9"/>
      <c r="J158" s="22"/>
      <c r="K158" s="9"/>
      <c r="L158" s="22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</row>
    <row r="159" spans="1:97" x14ac:dyDescent="0.2">
      <c r="A159" s="9"/>
      <c r="B159" s="9"/>
      <c r="C159" s="9"/>
      <c r="D159" s="22"/>
      <c r="E159" s="9"/>
      <c r="F159" s="22"/>
      <c r="G159" s="9"/>
      <c r="H159" s="9"/>
      <c r="I159" s="9"/>
      <c r="J159" s="22"/>
      <c r="K159" s="9"/>
      <c r="L159" s="2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</row>
    <row r="160" spans="1:97" x14ac:dyDescent="0.2">
      <c r="A160" s="9"/>
      <c r="B160" s="9"/>
      <c r="C160" s="9"/>
      <c r="D160" s="22"/>
      <c r="E160" s="9"/>
      <c r="F160" s="22"/>
      <c r="G160" s="9"/>
      <c r="H160" s="9"/>
      <c r="I160" s="9"/>
      <c r="J160" s="22"/>
      <c r="K160" s="9"/>
      <c r="L160" s="22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</row>
    <row r="161" spans="1:97" x14ac:dyDescent="0.2">
      <c r="A161" s="9"/>
      <c r="B161" s="9"/>
      <c r="C161" s="9"/>
      <c r="D161" s="22"/>
      <c r="E161" s="9"/>
      <c r="F161" s="22"/>
      <c r="G161" s="9"/>
      <c r="H161" s="9"/>
      <c r="I161" s="9"/>
      <c r="J161" s="22"/>
      <c r="K161" s="9"/>
      <c r="L161" s="2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</row>
    <row r="162" spans="1:97" x14ac:dyDescent="0.2">
      <c r="A162" s="9"/>
      <c r="B162" s="9"/>
      <c r="C162" s="9"/>
      <c r="D162" s="22"/>
      <c r="E162" s="9"/>
      <c r="F162" s="22"/>
      <c r="G162" s="9"/>
      <c r="H162" s="9"/>
      <c r="I162" s="9"/>
      <c r="J162" s="22"/>
      <c r="K162" s="9"/>
      <c r="L162" s="22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</row>
    <row r="163" spans="1:97" x14ac:dyDescent="0.2">
      <c r="A163" s="9"/>
      <c r="B163" s="9"/>
      <c r="C163" s="9"/>
      <c r="D163" s="22"/>
      <c r="E163" s="9"/>
      <c r="F163" s="22"/>
      <c r="G163" s="9"/>
      <c r="H163" s="9"/>
      <c r="I163" s="9"/>
      <c r="J163" s="22"/>
      <c r="K163" s="9"/>
      <c r="L163" s="2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</row>
    <row r="164" spans="1:97" x14ac:dyDescent="0.2">
      <c r="A164" s="9"/>
      <c r="B164" s="9"/>
      <c r="C164" s="9"/>
      <c r="D164" s="22"/>
      <c r="E164" s="9"/>
      <c r="F164" s="22"/>
      <c r="G164" s="9"/>
      <c r="H164" s="9"/>
      <c r="I164" s="9"/>
      <c r="J164" s="22"/>
      <c r="K164" s="9"/>
      <c r="L164" s="22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</row>
    <row r="165" spans="1:97" x14ac:dyDescent="0.2">
      <c r="A165" s="9"/>
      <c r="B165" s="9"/>
      <c r="C165" s="9"/>
      <c r="D165" s="22"/>
      <c r="E165" s="9"/>
      <c r="F165" s="22"/>
      <c r="G165" s="9"/>
      <c r="H165" s="9"/>
      <c r="I165" s="9"/>
      <c r="J165" s="22"/>
      <c r="K165" s="9"/>
      <c r="L165" s="2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</row>
    <row r="166" spans="1:97" x14ac:dyDescent="0.2">
      <c r="A166" s="9"/>
      <c r="B166" s="9"/>
      <c r="C166" s="9"/>
      <c r="D166" s="22"/>
      <c r="E166" s="9"/>
      <c r="F166" s="22"/>
      <c r="G166" s="9"/>
      <c r="H166" s="9"/>
      <c r="I166" s="9"/>
      <c r="J166" s="22"/>
      <c r="K166" s="9"/>
      <c r="L166" s="22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</row>
    <row r="167" spans="1:97" x14ac:dyDescent="0.2">
      <c r="A167" s="9"/>
      <c r="B167" s="9"/>
      <c r="C167" s="9"/>
      <c r="D167" s="22"/>
      <c r="E167" s="9"/>
      <c r="F167" s="22"/>
      <c r="G167" s="9"/>
      <c r="H167" s="9"/>
      <c r="I167" s="9"/>
      <c r="J167" s="22"/>
      <c r="K167" s="9"/>
      <c r="L167" s="2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</row>
    <row r="168" spans="1:97" x14ac:dyDescent="0.2">
      <c r="A168" s="9"/>
      <c r="B168" s="9"/>
      <c r="C168" s="9"/>
      <c r="D168" s="22"/>
      <c r="E168" s="9"/>
      <c r="F168" s="22"/>
      <c r="G168" s="9"/>
      <c r="H168" s="9"/>
      <c r="I168" s="9"/>
      <c r="J168" s="22"/>
      <c r="K168" s="9"/>
      <c r="L168" s="22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</row>
    <row r="169" spans="1:97" x14ac:dyDescent="0.2">
      <c r="A169" s="9"/>
      <c r="B169" s="9"/>
      <c r="C169" s="9"/>
      <c r="D169" s="22"/>
      <c r="E169" s="9"/>
      <c r="F169" s="22"/>
      <c r="G169" s="9"/>
      <c r="H169" s="9"/>
      <c r="I169" s="9"/>
      <c r="J169" s="22"/>
      <c r="K169" s="9"/>
      <c r="L169" s="2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</row>
    <row r="170" spans="1:97" x14ac:dyDescent="0.2">
      <c r="A170" s="9"/>
      <c r="B170" s="9"/>
      <c r="C170" s="9"/>
      <c r="D170" s="22"/>
      <c r="E170" s="9"/>
      <c r="F170" s="22"/>
      <c r="G170" s="9"/>
      <c r="H170" s="9"/>
      <c r="I170" s="9"/>
      <c r="J170" s="22"/>
      <c r="K170" s="9"/>
      <c r="L170" s="22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</row>
    <row r="171" spans="1:97" x14ac:dyDescent="0.2">
      <c r="A171" s="9"/>
      <c r="B171" s="9"/>
      <c r="C171" s="9"/>
      <c r="D171" s="22"/>
      <c r="E171" s="9"/>
      <c r="F171" s="22"/>
      <c r="G171" s="9"/>
      <c r="H171" s="9"/>
      <c r="I171" s="9"/>
      <c r="J171" s="22"/>
      <c r="K171" s="9"/>
      <c r="L171" s="2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</row>
    <row r="172" spans="1:97" x14ac:dyDescent="0.2">
      <c r="A172" s="9"/>
      <c r="B172" s="9"/>
      <c r="C172" s="9"/>
      <c r="D172" s="22"/>
      <c r="E172" s="9"/>
      <c r="F172" s="22"/>
      <c r="G172" s="9"/>
      <c r="H172" s="9"/>
      <c r="I172" s="9"/>
      <c r="J172" s="22"/>
      <c r="K172" s="9"/>
      <c r="L172" s="2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</row>
    <row r="173" spans="1:97" x14ac:dyDescent="0.2">
      <c r="A173" s="9"/>
      <c r="B173" s="9"/>
      <c r="C173" s="9"/>
      <c r="D173" s="22"/>
      <c r="E173" s="9"/>
      <c r="F173" s="22"/>
      <c r="G173" s="9"/>
      <c r="H173" s="9"/>
      <c r="I173" s="9"/>
      <c r="J173" s="22"/>
      <c r="K173" s="9"/>
      <c r="L173" s="2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</row>
    <row r="174" spans="1:97" x14ac:dyDescent="0.2">
      <c r="A174" s="9"/>
      <c r="B174" s="9"/>
      <c r="C174" s="9"/>
      <c r="D174" s="22"/>
      <c r="E174" s="9"/>
      <c r="F174" s="22"/>
      <c r="G174" s="9"/>
      <c r="H174" s="9"/>
      <c r="I174" s="9"/>
      <c r="J174" s="22"/>
      <c r="K174" s="9"/>
      <c r="L174" s="22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</row>
    <row r="175" spans="1:97" x14ac:dyDescent="0.2">
      <c r="A175" s="9"/>
      <c r="B175" s="9"/>
      <c r="C175" s="9"/>
      <c r="D175" s="22"/>
      <c r="E175" s="9"/>
      <c r="F175" s="22"/>
      <c r="G175" s="9"/>
      <c r="H175" s="9"/>
      <c r="I175" s="9"/>
      <c r="J175" s="22"/>
      <c r="K175" s="9"/>
      <c r="L175" s="2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</row>
    <row r="176" spans="1:97" x14ac:dyDescent="0.2">
      <c r="A176" s="9"/>
      <c r="B176" s="9"/>
      <c r="C176" s="9"/>
      <c r="D176" s="22"/>
      <c r="E176" s="9"/>
      <c r="F176" s="22"/>
      <c r="G176" s="9"/>
      <c r="H176" s="9"/>
      <c r="I176" s="9"/>
      <c r="J176" s="22"/>
      <c r="K176" s="9"/>
      <c r="L176" s="2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</row>
    <row r="177" spans="1:97" x14ac:dyDescent="0.2">
      <c r="A177" s="9"/>
      <c r="B177" s="9"/>
      <c r="C177" s="9"/>
      <c r="D177" s="22"/>
      <c r="E177" s="9"/>
      <c r="F177" s="22"/>
      <c r="G177" s="9"/>
      <c r="H177" s="9"/>
      <c r="I177" s="9"/>
      <c r="J177" s="22"/>
      <c r="K177" s="9"/>
      <c r="L177" s="2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</row>
    <row r="178" spans="1:97" x14ac:dyDescent="0.2">
      <c r="A178" s="9"/>
      <c r="B178" s="9"/>
      <c r="C178" s="9"/>
      <c r="D178" s="22"/>
      <c r="E178" s="9"/>
      <c r="F178" s="22"/>
      <c r="G178" s="9"/>
      <c r="H178" s="9"/>
      <c r="I178" s="9"/>
      <c r="J178" s="22"/>
      <c r="K178" s="9"/>
      <c r="L178" s="22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</row>
    <row r="179" spans="1:97" x14ac:dyDescent="0.2">
      <c r="A179" s="9"/>
      <c r="B179" s="9"/>
      <c r="C179" s="9"/>
      <c r="D179" s="22"/>
      <c r="E179" s="9"/>
      <c r="F179" s="22"/>
      <c r="G179" s="9"/>
      <c r="H179" s="9"/>
      <c r="I179" s="9"/>
      <c r="J179" s="22"/>
      <c r="K179" s="9"/>
      <c r="L179" s="2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</row>
    <row r="180" spans="1:97" x14ac:dyDescent="0.2">
      <c r="A180" s="9"/>
      <c r="B180" s="9"/>
      <c r="C180" s="9"/>
      <c r="D180" s="22"/>
      <c r="E180" s="9"/>
      <c r="F180" s="22"/>
      <c r="G180" s="9"/>
      <c r="H180" s="9"/>
      <c r="I180" s="9"/>
      <c r="J180" s="22"/>
      <c r="K180" s="9"/>
      <c r="L180" s="22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</row>
    <row r="181" spans="1:97" x14ac:dyDescent="0.2">
      <c r="A181" s="9"/>
      <c r="B181" s="9"/>
      <c r="C181" s="9"/>
      <c r="D181" s="22"/>
      <c r="E181" s="9"/>
      <c r="F181" s="22"/>
      <c r="G181" s="9"/>
      <c r="H181" s="9"/>
      <c r="I181" s="9"/>
      <c r="J181" s="22"/>
      <c r="K181" s="9"/>
      <c r="L181" s="22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</row>
    <row r="182" spans="1:97" x14ac:dyDescent="0.2">
      <c r="A182" s="9"/>
      <c r="B182" s="9"/>
      <c r="C182" s="9"/>
      <c r="D182" s="22"/>
      <c r="E182" s="9"/>
      <c r="F182" s="22"/>
      <c r="G182" s="9"/>
      <c r="H182" s="9"/>
      <c r="I182" s="9"/>
      <c r="J182" s="22"/>
      <c r="K182" s="9"/>
      <c r="L182" s="22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</row>
    <row r="183" spans="1:97" x14ac:dyDescent="0.2">
      <c r="A183" s="9"/>
      <c r="B183" s="9"/>
      <c r="C183" s="9"/>
      <c r="D183" s="22"/>
      <c r="E183" s="9"/>
      <c r="F183" s="22"/>
      <c r="G183" s="9"/>
      <c r="H183" s="9"/>
      <c r="I183" s="9"/>
      <c r="J183" s="22"/>
      <c r="K183" s="9"/>
      <c r="L183" s="22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</row>
    <row r="184" spans="1:97" x14ac:dyDescent="0.2">
      <c r="A184" s="9"/>
      <c r="B184" s="9"/>
      <c r="C184" s="9"/>
      <c r="D184" s="22"/>
      <c r="E184" s="9"/>
      <c r="F184" s="22"/>
      <c r="G184" s="9"/>
      <c r="H184" s="9"/>
      <c r="I184" s="9"/>
      <c r="J184" s="22"/>
      <c r="K184" s="9"/>
      <c r="L184" s="22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</row>
    <row r="185" spans="1:97" x14ac:dyDescent="0.2">
      <c r="A185" s="9"/>
      <c r="B185" s="9"/>
      <c r="C185" s="9"/>
      <c r="D185" s="22"/>
      <c r="E185" s="9"/>
      <c r="F185" s="22"/>
      <c r="G185" s="9"/>
      <c r="H185" s="9"/>
      <c r="I185" s="9"/>
      <c r="J185" s="22"/>
      <c r="K185" s="9"/>
      <c r="L185" s="22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</row>
    <row r="186" spans="1:97" x14ac:dyDescent="0.2">
      <c r="A186" s="9"/>
      <c r="B186" s="9"/>
      <c r="C186" s="9"/>
      <c r="D186" s="22"/>
      <c r="E186" s="9"/>
      <c r="F186" s="22"/>
      <c r="G186" s="9"/>
      <c r="H186" s="9"/>
      <c r="I186" s="9"/>
      <c r="J186" s="22"/>
      <c r="K186" s="9"/>
      <c r="L186" s="22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</row>
    <row r="187" spans="1:97" x14ac:dyDescent="0.2">
      <c r="A187" s="9"/>
      <c r="B187" s="9"/>
      <c r="C187" s="9"/>
      <c r="D187" s="22"/>
      <c r="E187" s="9"/>
      <c r="F187" s="22"/>
      <c r="G187" s="9"/>
      <c r="H187" s="9"/>
      <c r="I187" s="9"/>
      <c r="J187" s="22"/>
      <c r="K187" s="9"/>
      <c r="L187" s="2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</row>
    <row r="188" spans="1:97" x14ac:dyDescent="0.2">
      <c r="A188" s="9"/>
      <c r="B188" s="9"/>
      <c r="C188" s="9"/>
      <c r="D188" s="22"/>
      <c r="E188" s="9"/>
      <c r="F188" s="22"/>
      <c r="G188" s="9"/>
      <c r="H188" s="9"/>
      <c r="I188" s="9"/>
      <c r="J188" s="22"/>
      <c r="K188" s="9"/>
      <c r="L188" s="22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</row>
    <row r="189" spans="1:97" x14ac:dyDescent="0.2">
      <c r="A189" s="9"/>
      <c r="B189" s="9"/>
      <c r="C189" s="9"/>
      <c r="D189" s="22"/>
      <c r="E189" s="9"/>
      <c r="F189" s="22"/>
      <c r="G189" s="9"/>
      <c r="H189" s="9"/>
      <c r="I189" s="9"/>
      <c r="J189" s="22"/>
      <c r="K189" s="9"/>
      <c r="L189" s="2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</row>
    <row r="190" spans="1:97" x14ac:dyDescent="0.2">
      <c r="A190" s="9"/>
      <c r="B190" s="9"/>
      <c r="C190" s="9"/>
      <c r="D190" s="22"/>
      <c r="E190" s="9"/>
      <c r="F190" s="22"/>
      <c r="G190" s="9"/>
      <c r="H190" s="9"/>
      <c r="I190" s="9"/>
      <c r="J190" s="22"/>
      <c r="K190" s="9"/>
      <c r="L190" s="22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</row>
    <row r="191" spans="1:97" x14ac:dyDescent="0.2">
      <c r="A191" s="9"/>
      <c r="B191" s="9"/>
      <c r="C191" s="9"/>
      <c r="D191" s="22"/>
      <c r="E191" s="9"/>
      <c r="F191" s="22"/>
      <c r="G191" s="9"/>
      <c r="H191" s="9"/>
      <c r="I191" s="9"/>
      <c r="J191" s="22"/>
      <c r="K191" s="9"/>
      <c r="L191" s="2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</row>
    <row r="192" spans="1:97" x14ac:dyDescent="0.2">
      <c r="A192" s="9"/>
      <c r="B192" s="9"/>
      <c r="C192" s="9"/>
      <c r="D192" s="22"/>
      <c r="E192" s="9"/>
      <c r="F192" s="22"/>
      <c r="G192" s="9"/>
      <c r="H192" s="9"/>
      <c r="I192" s="9"/>
      <c r="J192" s="22"/>
      <c r="K192" s="9"/>
      <c r="L192" s="22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</row>
    <row r="193" spans="1:97" x14ac:dyDescent="0.2">
      <c r="A193" s="9"/>
      <c r="B193" s="9"/>
      <c r="C193" s="9"/>
      <c r="D193" s="22"/>
      <c r="E193" s="9"/>
      <c r="F193" s="22"/>
      <c r="G193" s="9"/>
      <c r="H193" s="9"/>
      <c r="I193" s="9"/>
      <c r="J193" s="22"/>
      <c r="K193" s="9"/>
      <c r="L193" s="22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</row>
    <row r="194" spans="1:97" x14ac:dyDescent="0.2">
      <c r="A194" s="9"/>
      <c r="B194" s="9"/>
      <c r="C194" s="9"/>
      <c r="D194" s="22"/>
      <c r="E194" s="9"/>
      <c r="F194" s="22"/>
      <c r="G194" s="9"/>
      <c r="H194" s="9"/>
      <c r="I194" s="9"/>
      <c r="J194" s="22"/>
      <c r="K194" s="9"/>
      <c r="L194" s="22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</row>
    <row r="195" spans="1:97" x14ac:dyDescent="0.2">
      <c r="A195" s="9"/>
      <c r="B195" s="9"/>
      <c r="C195" s="9"/>
      <c r="D195" s="22"/>
      <c r="E195" s="9"/>
      <c r="F195" s="22"/>
      <c r="G195" s="9"/>
      <c r="H195" s="9"/>
      <c r="I195" s="9"/>
      <c r="J195" s="22"/>
      <c r="K195" s="9"/>
      <c r="L195" s="22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</row>
    <row r="196" spans="1:97" x14ac:dyDescent="0.2">
      <c r="A196" s="9"/>
      <c r="B196" s="9"/>
      <c r="C196" s="9"/>
      <c r="D196" s="22"/>
      <c r="E196" s="9"/>
      <c r="F196" s="22"/>
      <c r="G196" s="9"/>
      <c r="H196" s="9"/>
      <c r="I196" s="9"/>
      <c r="J196" s="22"/>
      <c r="K196" s="9"/>
      <c r="L196" s="22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F96" sqref="F96"/>
    </sheetView>
  </sheetViews>
  <sheetFormatPr baseColWidth="10" defaultRowHeight="12.75" x14ac:dyDescent="0.2"/>
  <cols>
    <col min="2" max="2" width="13.140625" customWidth="1"/>
  </cols>
  <sheetData>
    <row r="1" spans="1:13" x14ac:dyDescent="0.2">
      <c r="A1" s="5" t="s">
        <v>30</v>
      </c>
    </row>
    <row r="2" spans="1:13" ht="15" x14ac:dyDescent="0.2">
      <c r="A2" s="41" t="s">
        <v>5</v>
      </c>
      <c r="B2" s="41" t="s">
        <v>31</v>
      </c>
      <c r="C2" s="41" t="s">
        <v>50</v>
      </c>
      <c r="D2" s="41" t="s">
        <v>32</v>
      </c>
      <c r="E2" s="41" t="s">
        <v>123</v>
      </c>
      <c r="F2" s="41" t="s">
        <v>51</v>
      </c>
      <c r="G2" s="41" t="s">
        <v>124</v>
      </c>
      <c r="H2" s="41" t="s">
        <v>125</v>
      </c>
      <c r="I2" s="41" t="s">
        <v>52</v>
      </c>
      <c r="J2" s="41" t="s">
        <v>126</v>
      </c>
      <c r="K2" s="41" t="s">
        <v>127</v>
      </c>
      <c r="L2" s="41" t="s">
        <v>122</v>
      </c>
      <c r="M2" s="41" t="s">
        <v>128</v>
      </c>
    </row>
    <row r="3" spans="1:13" ht="15" x14ac:dyDescent="0.25">
      <c r="A3" s="40">
        <v>0</v>
      </c>
      <c r="B3" s="40">
        <v>192099.8</v>
      </c>
      <c r="C3" s="40">
        <v>176.86</v>
      </c>
      <c r="D3" s="40">
        <v>93.61</v>
      </c>
      <c r="E3" s="40">
        <v>189014.7</v>
      </c>
      <c r="F3" s="40">
        <v>56.33</v>
      </c>
      <c r="G3" s="40">
        <v>27.46</v>
      </c>
      <c r="H3" s="40">
        <v>189014.7</v>
      </c>
      <c r="I3" s="40">
        <v>2.67</v>
      </c>
      <c r="J3" s="40">
        <v>1.5289999999999999</v>
      </c>
      <c r="K3" s="40">
        <v>192099.8</v>
      </c>
      <c r="L3" s="40">
        <v>2.4209999999999998</v>
      </c>
      <c r="M3" s="40">
        <v>1.6379999999999999</v>
      </c>
    </row>
    <row r="4" spans="1:13" ht="15" x14ac:dyDescent="0.25">
      <c r="A4" s="40">
        <v>20</v>
      </c>
      <c r="B4" s="40">
        <v>188565.2</v>
      </c>
      <c r="C4" s="40">
        <v>180.14</v>
      </c>
      <c r="D4" s="40">
        <v>91.33</v>
      </c>
      <c r="E4" s="40">
        <v>188565.2</v>
      </c>
      <c r="F4" s="40">
        <v>56.45</v>
      </c>
      <c r="G4" s="40">
        <v>27.37</v>
      </c>
      <c r="H4" s="40">
        <v>188565.2</v>
      </c>
      <c r="I4" s="40">
        <v>2.6760000000000002</v>
      </c>
      <c r="J4" s="40">
        <v>1.526</v>
      </c>
      <c r="K4" s="40">
        <v>188565.2</v>
      </c>
      <c r="L4" s="40">
        <v>2.4500000000000002</v>
      </c>
      <c r="M4" s="40">
        <v>1.639</v>
      </c>
    </row>
    <row r="5" spans="1:13" ht="15" x14ac:dyDescent="0.25">
      <c r="A5" s="40">
        <v>40</v>
      </c>
      <c r="B5" s="40">
        <v>187010</v>
      </c>
      <c r="C5" s="40">
        <v>181.37</v>
      </c>
      <c r="D5" s="40">
        <v>90.71</v>
      </c>
      <c r="E5" s="40">
        <v>187010</v>
      </c>
      <c r="F5" s="40">
        <v>56.81</v>
      </c>
      <c r="G5" s="40">
        <v>27.18</v>
      </c>
      <c r="H5" s="40">
        <v>187010</v>
      </c>
      <c r="I5" s="40">
        <v>2.694</v>
      </c>
      <c r="J5" s="40">
        <v>1.5189999999999999</v>
      </c>
      <c r="K5" s="40">
        <v>187010</v>
      </c>
      <c r="L5" s="40">
        <v>2.464</v>
      </c>
      <c r="M5" s="40">
        <v>1.6379999999999999</v>
      </c>
    </row>
    <row r="6" spans="1:13" ht="15" x14ac:dyDescent="0.25">
      <c r="A6" s="40">
        <v>60</v>
      </c>
      <c r="B6" s="40">
        <v>181600.1</v>
      </c>
      <c r="C6" s="40">
        <v>185.25</v>
      </c>
      <c r="D6" s="40">
        <v>89.17</v>
      </c>
      <c r="E6" s="40">
        <v>181600.1</v>
      </c>
      <c r="F6" s="40">
        <v>57.96</v>
      </c>
      <c r="G6" s="40">
        <v>26.72</v>
      </c>
      <c r="H6" s="40">
        <v>181600.1</v>
      </c>
      <c r="I6" s="40">
        <v>2.7530000000000001</v>
      </c>
      <c r="J6" s="40">
        <v>1.502</v>
      </c>
      <c r="K6" s="40">
        <v>181600.1</v>
      </c>
      <c r="L6" s="40">
        <v>2.5139999999999998</v>
      </c>
      <c r="M6" s="40">
        <v>1.637</v>
      </c>
    </row>
    <row r="7" spans="1:13" ht="15" x14ac:dyDescent="0.25">
      <c r="A7" s="40">
        <v>87.7</v>
      </c>
      <c r="B7" s="40">
        <v>171839.7</v>
      </c>
      <c r="C7" s="40">
        <v>191.52</v>
      </c>
      <c r="D7" s="40">
        <v>87.57</v>
      </c>
      <c r="E7" s="40">
        <v>171839.7</v>
      </c>
      <c r="F7" s="40">
        <v>59.61</v>
      </c>
      <c r="G7" s="40">
        <v>26.33</v>
      </c>
      <c r="H7" s="40">
        <v>171839.7</v>
      </c>
      <c r="I7" s="40">
        <v>2.85</v>
      </c>
      <c r="J7" s="40">
        <v>1.486</v>
      </c>
      <c r="K7" s="40">
        <v>171839.7</v>
      </c>
      <c r="L7" s="40">
        <v>2.6019999999999999</v>
      </c>
      <c r="M7" s="40">
        <v>1.6359999999999999</v>
      </c>
    </row>
    <row r="8" spans="1:13" ht="15" x14ac:dyDescent="0.25">
      <c r="A8" s="40">
        <v>90</v>
      </c>
      <c r="B8" s="40">
        <v>170792.9</v>
      </c>
      <c r="C8" s="40">
        <v>192.15</v>
      </c>
      <c r="D8" s="40">
        <v>87.47</v>
      </c>
      <c r="E8" s="40">
        <v>170792.9</v>
      </c>
      <c r="F8" s="40">
        <v>59.78</v>
      </c>
      <c r="G8" s="40">
        <v>26.31</v>
      </c>
      <c r="H8" s="40">
        <v>170792.9</v>
      </c>
      <c r="I8" s="40">
        <v>2.859</v>
      </c>
      <c r="J8" s="40">
        <v>1.4850000000000001</v>
      </c>
      <c r="K8" s="40">
        <v>170792.9</v>
      </c>
      <c r="L8" s="40">
        <v>2.6120000000000001</v>
      </c>
      <c r="M8" s="40">
        <v>1.6359999999999999</v>
      </c>
    </row>
    <row r="9" spans="1:13" ht="15" x14ac:dyDescent="0.25">
      <c r="A9" s="40">
        <v>100</v>
      </c>
      <c r="B9" s="40">
        <v>163418.4</v>
      </c>
      <c r="C9" s="40">
        <v>196.51</v>
      </c>
      <c r="D9" s="40">
        <v>86.91</v>
      </c>
      <c r="E9" s="40">
        <v>163418.4</v>
      </c>
      <c r="F9" s="40">
        <v>60.84</v>
      </c>
      <c r="G9" s="40">
        <v>26.27</v>
      </c>
      <c r="H9" s="40">
        <v>163418.4</v>
      </c>
      <c r="I9" s="40">
        <v>2.9279999999999999</v>
      </c>
      <c r="J9" s="40">
        <v>1.482</v>
      </c>
      <c r="K9" s="40">
        <v>163418.4</v>
      </c>
      <c r="L9" s="40">
        <v>2.6789999999999998</v>
      </c>
      <c r="M9" s="40">
        <v>1.639</v>
      </c>
    </row>
    <row r="10" spans="1:13" ht="15" x14ac:dyDescent="0.25">
      <c r="A10" s="40">
        <v>200</v>
      </c>
      <c r="B10" s="40">
        <v>54391.6</v>
      </c>
      <c r="C10" s="40">
        <v>292.19</v>
      </c>
      <c r="D10" s="40">
        <v>87.14</v>
      </c>
      <c r="E10" s="40">
        <v>54391.6</v>
      </c>
      <c r="F10" s="40">
        <v>77.98</v>
      </c>
      <c r="G10" s="40">
        <v>27.27</v>
      </c>
      <c r="H10" s="40">
        <v>54391.6</v>
      </c>
      <c r="I10" s="40">
        <v>4.5110000000000001</v>
      </c>
      <c r="J10" s="40">
        <v>1.534</v>
      </c>
      <c r="K10" s="40">
        <v>54391.6</v>
      </c>
      <c r="L10" s="40">
        <v>3.661</v>
      </c>
      <c r="M10" s="40">
        <v>1.5580000000000001</v>
      </c>
    </row>
    <row r="11" spans="1:13" ht="15" x14ac:dyDescent="0.25">
      <c r="A11" s="40">
        <v>300</v>
      </c>
      <c r="B11" s="40">
        <v>20673.900000000001</v>
      </c>
      <c r="C11" s="40">
        <v>378.78</v>
      </c>
      <c r="D11" s="40">
        <v>81.52</v>
      </c>
      <c r="E11" s="40">
        <v>20673.900000000001</v>
      </c>
      <c r="F11" s="40">
        <v>93.94</v>
      </c>
      <c r="G11" s="40">
        <v>25.66</v>
      </c>
      <c r="H11" s="40">
        <v>20673.900000000001</v>
      </c>
      <c r="I11" s="40">
        <v>5.9370000000000003</v>
      </c>
      <c r="J11" s="40">
        <v>1.5649999999999999</v>
      </c>
      <c r="K11" s="40">
        <v>20673.900000000001</v>
      </c>
      <c r="L11" s="40">
        <v>3.8180000000000001</v>
      </c>
      <c r="M11" s="40">
        <v>1.3740000000000001</v>
      </c>
    </row>
    <row r="12" spans="1:13" ht="15" x14ac:dyDescent="0.25">
      <c r="A12" s="40">
        <v>400</v>
      </c>
      <c r="B12" s="40">
        <v>4757.8999999999996</v>
      </c>
      <c r="C12" s="40">
        <v>493.77</v>
      </c>
      <c r="D12" s="40">
        <v>94.83</v>
      </c>
      <c r="E12" s="40">
        <v>4757.8999999999996</v>
      </c>
      <c r="F12" s="40">
        <v>99.26</v>
      </c>
      <c r="G12" s="40">
        <v>32</v>
      </c>
      <c r="H12" s="40">
        <v>4757.8999999999996</v>
      </c>
      <c r="I12" s="40">
        <v>8.0310000000000006</v>
      </c>
      <c r="J12" s="40">
        <v>1.9359999999999999</v>
      </c>
      <c r="K12" s="40">
        <v>4757.8999999999996</v>
      </c>
      <c r="L12" s="40">
        <v>3.0059999999999998</v>
      </c>
      <c r="M12" s="40">
        <v>1.135</v>
      </c>
    </row>
    <row r="14" spans="1:13" x14ac:dyDescent="0.2">
      <c r="A14" s="5" t="s">
        <v>33</v>
      </c>
    </row>
    <row r="15" spans="1:13" ht="15" x14ac:dyDescent="0.2">
      <c r="A15" s="43" t="s">
        <v>5</v>
      </c>
      <c r="B15" s="43" t="s">
        <v>31</v>
      </c>
      <c r="C15" s="43" t="s">
        <v>50</v>
      </c>
      <c r="D15" s="43" t="s">
        <v>32</v>
      </c>
      <c r="E15" s="43" t="s">
        <v>123</v>
      </c>
      <c r="F15" s="43" t="s">
        <v>51</v>
      </c>
      <c r="G15" s="43" t="s">
        <v>124</v>
      </c>
      <c r="H15" s="43" t="s">
        <v>125</v>
      </c>
      <c r="I15" s="43" t="s">
        <v>52</v>
      </c>
      <c r="J15" s="43" t="s">
        <v>126</v>
      </c>
      <c r="K15" s="43" t="s">
        <v>127</v>
      </c>
      <c r="L15" s="43" t="s">
        <v>122</v>
      </c>
      <c r="M15" s="43" t="s">
        <v>128</v>
      </c>
    </row>
    <row r="16" spans="1:13" ht="15" x14ac:dyDescent="0.25">
      <c r="A16" s="42">
        <v>0</v>
      </c>
      <c r="B16" s="42">
        <v>621060.30000000005</v>
      </c>
      <c r="C16" s="42">
        <v>152.25</v>
      </c>
      <c r="D16" s="42">
        <v>84.66</v>
      </c>
      <c r="E16" s="42">
        <v>603833.80000000005</v>
      </c>
      <c r="F16" s="42">
        <v>45.37</v>
      </c>
      <c r="G16" s="42">
        <v>27.67</v>
      </c>
      <c r="H16" s="42">
        <v>603838.4</v>
      </c>
      <c r="I16" s="42">
        <v>2.3719999999999999</v>
      </c>
      <c r="J16" s="42">
        <v>1.413</v>
      </c>
      <c r="K16" s="42">
        <v>621060.19999999995</v>
      </c>
      <c r="L16" s="42">
        <v>1.671</v>
      </c>
      <c r="M16" s="42">
        <v>1.1879999999999999</v>
      </c>
    </row>
    <row r="17" spans="1:13" ht="15" x14ac:dyDescent="0.25">
      <c r="A17" s="42">
        <v>20</v>
      </c>
      <c r="B17" s="42">
        <v>602547.4</v>
      </c>
      <c r="C17" s="42">
        <v>156.9</v>
      </c>
      <c r="D17" s="42">
        <v>81.62</v>
      </c>
      <c r="E17" s="42">
        <v>602542.80000000005</v>
      </c>
      <c r="F17" s="42">
        <v>45.45</v>
      </c>
      <c r="G17" s="42">
        <v>27.63</v>
      </c>
      <c r="H17" s="42">
        <v>602547.4</v>
      </c>
      <c r="I17" s="42">
        <v>2.3769999999999998</v>
      </c>
      <c r="J17" s="42">
        <v>1.411</v>
      </c>
      <c r="K17" s="42">
        <v>602547.4</v>
      </c>
      <c r="L17" s="42">
        <v>1.698</v>
      </c>
      <c r="M17" s="42">
        <v>1.1970000000000001</v>
      </c>
    </row>
    <row r="18" spans="1:13" ht="15" x14ac:dyDescent="0.25">
      <c r="A18" s="42">
        <v>40</v>
      </c>
      <c r="B18" s="42">
        <v>592150.19999999995</v>
      </c>
      <c r="C18" s="42">
        <v>159.08000000000001</v>
      </c>
      <c r="D18" s="42">
        <v>80.650000000000006</v>
      </c>
      <c r="E18" s="42">
        <v>592145.6</v>
      </c>
      <c r="F18" s="42">
        <v>46.02</v>
      </c>
      <c r="G18" s="42">
        <v>27.53</v>
      </c>
      <c r="H18" s="42">
        <v>592150.19999999995</v>
      </c>
      <c r="I18" s="42">
        <v>2.411</v>
      </c>
      <c r="J18" s="42">
        <v>1.4</v>
      </c>
      <c r="K18" s="42">
        <v>592150.19999999995</v>
      </c>
      <c r="L18" s="42">
        <v>1.7130000000000001</v>
      </c>
      <c r="M18" s="42">
        <v>1.2010000000000001</v>
      </c>
    </row>
    <row r="19" spans="1:13" ht="15" x14ac:dyDescent="0.25">
      <c r="A19" s="42">
        <v>60</v>
      </c>
      <c r="B19" s="42">
        <v>567533.1</v>
      </c>
      <c r="C19" s="42">
        <v>163.79</v>
      </c>
      <c r="D19" s="42">
        <v>79.069999999999993</v>
      </c>
      <c r="E19" s="42">
        <v>567528.4</v>
      </c>
      <c r="F19" s="42">
        <v>47.2</v>
      </c>
      <c r="G19" s="42">
        <v>27.45</v>
      </c>
      <c r="H19" s="42">
        <v>567533.1</v>
      </c>
      <c r="I19" s="42">
        <v>2.4849999999999999</v>
      </c>
      <c r="J19" s="42">
        <v>1.383</v>
      </c>
      <c r="K19" s="42">
        <v>567533.1</v>
      </c>
      <c r="L19" s="42">
        <v>1.7509999999999999</v>
      </c>
      <c r="M19" s="42">
        <v>1.212</v>
      </c>
    </row>
    <row r="20" spans="1:13" ht="15" x14ac:dyDescent="0.25">
      <c r="A20" s="42">
        <v>87.7</v>
      </c>
      <c r="B20" s="42">
        <v>509826</v>
      </c>
      <c r="C20" s="42">
        <v>173.72</v>
      </c>
      <c r="D20" s="42">
        <v>77.33</v>
      </c>
      <c r="E20" s="42">
        <v>509821.4</v>
      </c>
      <c r="F20" s="42">
        <v>49.37</v>
      </c>
      <c r="G20" s="42">
        <v>27.69</v>
      </c>
      <c r="H20" s="42">
        <v>509826</v>
      </c>
      <c r="I20" s="42">
        <v>2.6440000000000001</v>
      </c>
      <c r="J20" s="42">
        <v>1.369</v>
      </c>
      <c r="K20" s="42">
        <v>509826</v>
      </c>
      <c r="L20" s="42">
        <v>1.8340000000000001</v>
      </c>
      <c r="M20" s="42">
        <v>1.2390000000000001</v>
      </c>
    </row>
    <row r="21" spans="1:13" ht="15" x14ac:dyDescent="0.25">
      <c r="A21" s="42">
        <v>90</v>
      </c>
      <c r="B21" s="42">
        <v>502776.4</v>
      </c>
      <c r="C21" s="42">
        <v>174.91</v>
      </c>
      <c r="D21" s="42">
        <v>77.209999999999994</v>
      </c>
      <c r="E21" s="42">
        <v>502771.8</v>
      </c>
      <c r="F21" s="42">
        <v>49.62</v>
      </c>
      <c r="G21" s="42">
        <v>27.73</v>
      </c>
      <c r="H21" s="42">
        <v>502776.4</v>
      </c>
      <c r="I21" s="42">
        <v>2.6629999999999998</v>
      </c>
      <c r="J21" s="42">
        <v>1.369</v>
      </c>
      <c r="K21" s="42">
        <v>502776.4</v>
      </c>
      <c r="L21" s="42">
        <v>1.8420000000000001</v>
      </c>
      <c r="M21" s="42">
        <v>1.2430000000000001</v>
      </c>
    </row>
    <row r="22" spans="1:13" ht="15" x14ac:dyDescent="0.25">
      <c r="A22" s="42">
        <v>100</v>
      </c>
      <c r="B22" s="42">
        <v>457997.1</v>
      </c>
      <c r="C22" s="42">
        <v>182.7</v>
      </c>
      <c r="D22" s="42">
        <v>76.58</v>
      </c>
      <c r="E22" s="42">
        <v>457992.5</v>
      </c>
      <c r="F22" s="42">
        <v>51.09</v>
      </c>
      <c r="G22" s="42">
        <v>28.24</v>
      </c>
      <c r="H22" s="42">
        <v>457997.1</v>
      </c>
      <c r="I22" s="42">
        <v>2.7909999999999999</v>
      </c>
      <c r="J22" s="42">
        <v>1.367</v>
      </c>
      <c r="K22" s="42">
        <v>457997.1</v>
      </c>
      <c r="L22" s="42">
        <v>1.8779999999999999</v>
      </c>
      <c r="M22" s="42">
        <v>1.278</v>
      </c>
    </row>
    <row r="23" spans="1:13" ht="15" x14ac:dyDescent="0.25">
      <c r="A23" s="42">
        <v>200</v>
      </c>
      <c r="B23" s="42">
        <v>142557</v>
      </c>
      <c r="C23" s="42">
        <v>268.52</v>
      </c>
      <c r="D23" s="42">
        <v>79.81</v>
      </c>
      <c r="E23" s="42">
        <v>142557</v>
      </c>
      <c r="F23" s="42">
        <v>62.39</v>
      </c>
      <c r="G23" s="42">
        <v>35</v>
      </c>
      <c r="H23" s="42">
        <v>142557</v>
      </c>
      <c r="I23" s="42">
        <v>4.2619999999999996</v>
      </c>
      <c r="J23" s="42">
        <v>1.5</v>
      </c>
      <c r="K23" s="42">
        <v>142557</v>
      </c>
      <c r="L23" s="42">
        <v>2.3380000000000001</v>
      </c>
      <c r="M23" s="42">
        <v>1.4970000000000001</v>
      </c>
    </row>
    <row r="24" spans="1:13" ht="15" x14ac:dyDescent="0.25">
      <c r="A24" s="42">
        <v>300</v>
      </c>
      <c r="B24" s="42">
        <v>32638.7</v>
      </c>
      <c r="C24" s="42">
        <v>385.31</v>
      </c>
      <c r="D24" s="42">
        <v>89.53</v>
      </c>
      <c r="E24" s="42">
        <v>32638.7</v>
      </c>
      <c r="F24" s="42">
        <v>63.58</v>
      </c>
      <c r="G24" s="42">
        <v>38.520000000000003</v>
      </c>
      <c r="H24" s="42">
        <v>32638.7</v>
      </c>
      <c r="I24" s="42">
        <v>6.4420000000000002</v>
      </c>
      <c r="J24" s="42">
        <v>1.57</v>
      </c>
      <c r="K24" s="42">
        <v>32638.7</v>
      </c>
      <c r="L24" s="42">
        <v>2.2839999999999998</v>
      </c>
      <c r="M24" s="42">
        <v>1.377</v>
      </c>
    </row>
    <row r="25" spans="1:13" ht="15" x14ac:dyDescent="0.25">
      <c r="A25" s="42">
        <v>400</v>
      </c>
      <c r="B25" s="42">
        <v>9787.6</v>
      </c>
      <c r="C25" s="42">
        <v>497.28</v>
      </c>
      <c r="D25" s="42">
        <v>84.4</v>
      </c>
      <c r="E25" s="42">
        <v>9787.6</v>
      </c>
      <c r="F25" s="42">
        <v>88.14</v>
      </c>
      <c r="G25" s="42">
        <v>31.21</v>
      </c>
      <c r="H25" s="42">
        <v>9787.6</v>
      </c>
      <c r="I25" s="42">
        <v>8.2370000000000001</v>
      </c>
      <c r="J25" s="42">
        <v>1.6539999999999999</v>
      </c>
      <c r="K25" s="42">
        <v>9787.6</v>
      </c>
      <c r="L25" s="42">
        <v>2.0299999999999998</v>
      </c>
      <c r="M25" s="42">
        <v>1.0349999999999999</v>
      </c>
    </row>
    <row r="27" spans="1:13" x14ac:dyDescent="0.2">
      <c r="A27" s="5" t="s">
        <v>34</v>
      </c>
    </row>
    <row r="28" spans="1:13" ht="15" x14ac:dyDescent="0.2">
      <c r="A28" s="45" t="s">
        <v>5</v>
      </c>
      <c r="B28" s="45" t="s">
        <v>31</v>
      </c>
      <c r="C28" s="45" t="s">
        <v>50</v>
      </c>
      <c r="D28" s="45" t="s">
        <v>32</v>
      </c>
      <c r="E28" s="45" t="s">
        <v>123</v>
      </c>
      <c r="F28" s="45" t="s">
        <v>51</v>
      </c>
      <c r="G28" s="45" t="s">
        <v>124</v>
      </c>
      <c r="H28" s="45" t="s">
        <v>125</v>
      </c>
      <c r="I28" s="45" t="s">
        <v>52</v>
      </c>
      <c r="J28" s="45" t="s">
        <v>126</v>
      </c>
      <c r="K28" s="45" t="s">
        <v>127</v>
      </c>
      <c r="L28" s="45" t="s">
        <v>122</v>
      </c>
      <c r="M28" s="45" t="s">
        <v>128</v>
      </c>
    </row>
    <row r="29" spans="1:13" ht="15" x14ac:dyDescent="0.25">
      <c r="A29" s="44">
        <v>0</v>
      </c>
      <c r="B29" s="44">
        <v>67184.7</v>
      </c>
      <c r="C29" s="44">
        <v>102.7</v>
      </c>
      <c r="D29" s="44">
        <v>83.27</v>
      </c>
      <c r="E29" s="44">
        <v>55925.5</v>
      </c>
      <c r="F29" s="44">
        <v>49.32</v>
      </c>
      <c r="G29" s="44">
        <v>38.93</v>
      </c>
      <c r="H29" s="44">
        <v>55962.6</v>
      </c>
      <c r="I29" s="44">
        <v>1.6970000000000001</v>
      </c>
      <c r="J29" s="44">
        <v>1.167</v>
      </c>
      <c r="K29" s="44">
        <v>67184.7</v>
      </c>
      <c r="L29" s="44">
        <v>1.026</v>
      </c>
      <c r="M29" s="44">
        <v>0.47099999999999997</v>
      </c>
    </row>
    <row r="30" spans="1:13" ht="15" x14ac:dyDescent="0.25">
      <c r="A30" s="44">
        <v>20</v>
      </c>
      <c r="B30" s="44">
        <v>55491.5</v>
      </c>
      <c r="C30" s="44">
        <v>124.21</v>
      </c>
      <c r="D30" s="44">
        <v>75.73</v>
      </c>
      <c r="E30" s="44">
        <v>55461.3</v>
      </c>
      <c r="F30" s="44">
        <v>49.68</v>
      </c>
      <c r="G30" s="44">
        <v>38.89</v>
      </c>
      <c r="H30" s="44">
        <v>55491.5</v>
      </c>
      <c r="I30" s="44">
        <v>1.71</v>
      </c>
      <c r="J30" s="44">
        <v>1.1639999999999999</v>
      </c>
      <c r="K30" s="44">
        <v>55491.5</v>
      </c>
      <c r="L30" s="44">
        <v>1.0740000000000001</v>
      </c>
      <c r="M30" s="44">
        <v>0.505</v>
      </c>
    </row>
    <row r="31" spans="1:13" ht="15" x14ac:dyDescent="0.25">
      <c r="A31" s="44">
        <v>40</v>
      </c>
      <c r="B31" s="44">
        <v>50535.199999999997</v>
      </c>
      <c r="C31" s="44">
        <v>133.22999999999999</v>
      </c>
      <c r="D31" s="44">
        <v>73.38</v>
      </c>
      <c r="E31" s="44">
        <v>50508</v>
      </c>
      <c r="F31" s="44">
        <v>53.43</v>
      </c>
      <c r="G31" s="44">
        <v>38.74</v>
      </c>
      <c r="H31" s="44">
        <v>50535.199999999997</v>
      </c>
      <c r="I31" s="44">
        <v>1.8320000000000001</v>
      </c>
      <c r="J31" s="44">
        <v>1.1479999999999999</v>
      </c>
      <c r="K31" s="44">
        <v>50535.199999999997</v>
      </c>
      <c r="L31" s="44">
        <v>1.1000000000000001</v>
      </c>
      <c r="M31" s="44">
        <v>0.52200000000000002</v>
      </c>
    </row>
    <row r="32" spans="1:13" ht="15" x14ac:dyDescent="0.25">
      <c r="A32" s="44">
        <v>60</v>
      </c>
      <c r="B32" s="44">
        <v>43684.7</v>
      </c>
      <c r="C32" s="44">
        <v>146.41999999999999</v>
      </c>
      <c r="D32" s="44">
        <v>70.290000000000006</v>
      </c>
      <c r="E32" s="44">
        <v>43657.5</v>
      </c>
      <c r="F32" s="44">
        <v>59.2</v>
      </c>
      <c r="G32" s="44">
        <v>38.42</v>
      </c>
      <c r="H32" s="44">
        <v>43684.7</v>
      </c>
      <c r="I32" s="44">
        <v>2.008</v>
      </c>
      <c r="J32" s="44">
        <v>1.1379999999999999</v>
      </c>
      <c r="K32" s="44">
        <v>43684.7</v>
      </c>
      <c r="L32" s="44">
        <v>1.143</v>
      </c>
      <c r="M32" s="44">
        <v>0.54800000000000004</v>
      </c>
    </row>
    <row r="33" spans="1:13" ht="15" x14ac:dyDescent="0.25">
      <c r="A33" s="44">
        <v>87.7</v>
      </c>
      <c r="B33" s="44">
        <v>33908.199999999997</v>
      </c>
      <c r="C33" s="44">
        <v>167.08</v>
      </c>
      <c r="D33" s="44">
        <v>66.61</v>
      </c>
      <c r="E33" s="44">
        <v>33887.599999999999</v>
      </c>
      <c r="F33" s="44">
        <v>66.59</v>
      </c>
      <c r="G33" s="44">
        <v>39.57</v>
      </c>
      <c r="H33" s="44">
        <v>33908.199999999997</v>
      </c>
      <c r="I33" s="44">
        <v>2.3029999999999999</v>
      </c>
      <c r="J33" s="44">
        <v>1.123</v>
      </c>
      <c r="K33" s="44">
        <v>33908.199999999997</v>
      </c>
      <c r="L33" s="44">
        <v>1.2130000000000001</v>
      </c>
      <c r="M33" s="44">
        <v>0.58299999999999996</v>
      </c>
    </row>
    <row r="34" spans="1:13" ht="15" x14ac:dyDescent="0.25">
      <c r="A34" s="44">
        <v>90</v>
      </c>
      <c r="B34" s="44">
        <v>33149.1</v>
      </c>
      <c r="C34" s="44">
        <v>168.87</v>
      </c>
      <c r="D34" s="44">
        <v>66.3</v>
      </c>
      <c r="E34" s="44">
        <v>33128.5</v>
      </c>
      <c r="F34" s="44">
        <v>67.34</v>
      </c>
      <c r="G34" s="44">
        <v>39.58</v>
      </c>
      <c r="H34" s="44">
        <v>33149.1</v>
      </c>
      <c r="I34" s="44">
        <v>2.327</v>
      </c>
      <c r="J34" s="44">
        <v>1.1240000000000001</v>
      </c>
      <c r="K34" s="44">
        <v>33149.1</v>
      </c>
      <c r="L34" s="44">
        <v>1.218</v>
      </c>
      <c r="M34" s="44">
        <v>0.58599999999999997</v>
      </c>
    </row>
    <row r="35" spans="1:13" ht="15" x14ac:dyDescent="0.25">
      <c r="A35" s="44">
        <v>100</v>
      </c>
      <c r="B35" s="44">
        <v>30876.1</v>
      </c>
      <c r="C35" s="44">
        <v>174.33</v>
      </c>
      <c r="D35" s="44">
        <v>65.45</v>
      </c>
      <c r="E35" s="44">
        <v>30866.5</v>
      </c>
      <c r="F35" s="44">
        <v>69.53</v>
      </c>
      <c r="G35" s="44">
        <v>39.71</v>
      </c>
      <c r="H35" s="44">
        <v>30876.1</v>
      </c>
      <c r="I35" s="44">
        <v>2.4020000000000001</v>
      </c>
      <c r="J35" s="44">
        <v>1.1259999999999999</v>
      </c>
      <c r="K35" s="44">
        <v>30876.1</v>
      </c>
      <c r="L35" s="44">
        <v>1.244</v>
      </c>
      <c r="M35" s="44">
        <v>0.59599999999999997</v>
      </c>
    </row>
    <row r="36" spans="1:13" ht="15" x14ac:dyDescent="0.25">
      <c r="A36" s="44">
        <v>200</v>
      </c>
      <c r="B36" s="44">
        <v>9147.4</v>
      </c>
      <c r="C36" s="44">
        <v>259.93</v>
      </c>
      <c r="D36" s="44">
        <v>50.15</v>
      </c>
      <c r="E36" s="44">
        <v>9147.4</v>
      </c>
      <c r="F36" s="44">
        <v>96.17</v>
      </c>
      <c r="G36" s="44">
        <v>44.46</v>
      </c>
      <c r="H36" s="44">
        <v>9147.4</v>
      </c>
      <c r="I36" s="44">
        <v>3.6760000000000002</v>
      </c>
      <c r="J36" s="44">
        <v>1.1830000000000001</v>
      </c>
      <c r="K36" s="44">
        <v>9147.4</v>
      </c>
      <c r="L36" s="44">
        <v>1.6359999999999999</v>
      </c>
      <c r="M36" s="44">
        <v>0.79600000000000004</v>
      </c>
    </row>
    <row r="37" spans="1:13" ht="15" x14ac:dyDescent="0.25">
      <c r="A37" s="44">
        <v>300</v>
      </c>
      <c r="B37" s="44">
        <v>1676.6</v>
      </c>
      <c r="C37" s="44">
        <v>344.8</v>
      </c>
      <c r="D37" s="44">
        <v>38.68</v>
      </c>
      <c r="E37" s="44">
        <v>1676.6</v>
      </c>
      <c r="F37" s="44">
        <v>65.88</v>
      </c>
      <c r="G37" s="44">
        <v>26.41</v>
      </c>
      <c r="H37" s="44">
        <v>1676.6</v>
      </c>
      <c r="I37" s="44">
        <v>5.6520000000000001</v>
      </c>
      <c r="J37" s="44">
        <v>0.872</v>
      </c>
      <c r="K37" s="44">
        <v>1676.6</v>
      </c>
      <c r="L37" s="44">
        <v>1.548</v>
      </c>
      <c r="M37" s="44">
        <v>0.36899999999999999</v>
      </c>
    </row>
    <row r="38" spans="1:13" ht="15" x14ac:dyDescent="0.25">
      <c r="A38" s="44">
        <v>400</v>
      </c>
      <c r="B38" s="44">
        <v>75.2</v>
      </c>
      <c r="C38" s="44">
        <v>469.45</v>
      </c>
      <c r="D38" s="44">
        <v>103.97</v>
      </c>
      <c r="E38" s="44">
        <v>75.2</v>
      </c>
      <c r="F38" s="44">
        <v>46.1</v>
      </c>
      <c r="G38" s="44">
        <v>20.04</v>
      </c>
      <c r="H38" s="44">
        <v>75.2</v>
      </c>
      <c r="I38" s="44">
        <v>8.2430000000000003</v>
      </c>
      <c r="J38" s="44">
        <v>2.1190000000000002</v>
      </c>
      <c r="K38" s="44">
        <v>75.2</v>
      </c>
      <c r="L38" s="44">
        <v>1.4039999999999999</v>
      </c>
      <c r="M38" s="44">
        <v>0.51800000000000002</v>
      </c>
    </row>
    <row r="41" spans="1:13" x14ac:dyDescent="0.2">
      <c r="A41" s="5" t="s">
        <v>35</v>
      </c>
    </row>
    <row r="42" spans="1:13" ht="15" x14ac:dyDescent="0.2">
      <c r="A42" s="47" t="s">
        <v>5</v>
      </c>
      <c r="B42" s="47" t="s">
        <v>31</v>
      </c>
      <c r="C42" s="47" t="s">
        <v>50</v>
      </c>
      <c r="D42" s="47" t="s">
        <v>32</v>
      </c>
      <c r="E42" s="47" t="s">
        <v>123</v>
      </c>
      <c r="F42" s="47" t="s">
        <v>51</v>
      </c>
      <c r="G42" s="47" t="s">
        <v>124</v>
      </c>
      <c r="H42" s="47" t="s">
        <v>125</v>
      </c>
      <c r="I42" s="47" t="s">
        <v>52</v>
      </c>
      <c r="J42" s="47" t="s">
        <v>126</v>
      </c>
      <c r="K42" s="47" t="s">
        <v>127</v>
      </c>
      <c r="L42" s="47" t="s">
        <v>122</v>
      </c>
      <c r="M42" s="47" t="s">
        <v>128</v>
      </c>
    </row>
    <row r="43" spans="1:13" ht="15" x14ac:dyDescent="0.25">
      <c r="A43" s="46">
        <v>0</v>
      </c>
      <c r="B43" s="46">
        <v>813160.1</v>
      </c>
      <c r="C43" s="46">
        <v>158.06</v>
      </c>
      <c r="D43" s="46">
        <v>87.49</v>
      </c>
      <c r="E43" s="46">
        <v>792848.5</v>
      </c>
      <c r="F43" s="46">
        <v>47.98</v>
      </c>
      <c r="G43" s="46">
        <v>28.01</v>
      </c>
      <c r="H43" s="46">
        <v>792853.1</v>
      </c>
      <c r="I43" s="46">
        <v>2.4430000000000001</v>
      </c>
      <c r="J43" s="46">
        <v>1.4470000000000001</v>
      </c>
      <c r="K43" s="46">
        <v>813160.1</v>
      </c>
      <c r="L43" s="46">
        <v>1.8480000000000001</v>
      </c>
      <c r="M43" s="46">
        <v>1.347</v>
      </c>
    </row>
    <row r="44" spans="1:13" ht="15" x14ac:dyDescent="0.25">
      <c r="A44" s="46">
        <v>20</v>
      </c>
      <c r="B44" s="46">
        <v>791112.7</v>
      </c>
      <c r="C44" s="46">
        <v>162.44</v>
      </c>
      <c r="D44" s="46">
        <v>84.62</v>
      </c>
      <c r="E44" s="46">
        <v>791108.1</v>
      </c>
      <c r="F44" s="46">
        <v>48.08</v>
      </c>
      <c r="G44" s="46">
        <v>27.96</v>
      </c>
      <c r="H44" s="46">
        <v>791112.7</v>
      </c>
      <c r="I44" s="46">
        <v>2.448</v>
      </c>
      <c r="J44" s="46">
        <v>1.4450000000000001</v>
      </c>
      <c r="K44" s="46">
        <v>791112.7</v>
      </c>
      <c r="L44" s="46">
        <v>1.877</v>
      </c>
      <c r="M44" s="46">
        <v>1.3540000000000001</v>
      </c>
    </row>
    <row r="45" spans="1:13" ht="15" x14ac:dyDescent="0.25">
      <c r="A45" s="46">
        <v>40</v>
      </c>
      <c r="B45" s="46">
        <v>779160.2</v>
      </c>
      <c r="C45" s="46">
        <v>164.43</v>
      </c>
      <c r="D45" s="46">
        <v>83.72</v>
      </c>
      <c r="E45" s="46">
        <v>779155.6</v>
      </c>
      <c r="F45" s="46">
        <v>48.61</v>
      </c>
      <c r="G45" s="46">
        <v>27.83</v>
      </c>
      <c r="H45" s="46">
        <v>779160.2</v>
      </c>
      <c r="I45" s="46">
        <v>2.4790000000000001</v>
      </c>
      <c r="J45" s="46">
        <v>1.4350000000000001</v>
      </c>
      <c r="K45" s="46">
        <v>779160.2</v>
      </c>
      <c r="L45" s="46">
        <v>1.893</v>
      </c>
      <c r="M45" s="46">
        <v>1.3580000000000001</v>
      </c>
    </row>
    <row r="46" spans="1:13" ht="15" x14ac:dyDescent="0.25">
      <c r="A46" s="46">
        <v>60</v>
      </c>
      <c r="B46" s="46">
        <v>749133.1</v>
      </c>
      <c r="C46" s="46">
        <v>168.99</v>
      </c>
      <c r="D46" s="46">
        <v>82.15</v>
      </c>
      <c r="E46" s="46">
        <v>749128.5</v>
      </c>
      <c r="F46" s="46">
        <v>49.81</v>
      </c>
      <c r="G46" s="46">
        <v>27.66</v>
      </c>
      <c r="H46" s="46">
        <v>749133.1</v>
      </c>
      <c r="I46" s="46">
        <v>2.5499999999999998</v>
      </c>
      <c r="J46" s="46">
        <v>1.4179999999999999</v>
      </c>
      <c r="K46" s="46">
        <v>749133.1</v>
      </c>
      <c r="L46" s="46">
        <v>1.9359999999999999</v>
      </c>
      <c r="M46" s="46">
        <v>1.367</v>
      </c>
    </row>
    <row r="47" spans="1:13" ht="15" x14ac:dyDescent="0.25">
      <c r="A47" s="46">
        <v>87.7</v>
      </c>
      <c r="B47" s="46">
        <v>681665.8</v>
      </c>
      <c r="C47" s="46">
        <v>178.21</v>
      </c>
      <c r="D47" s="46">
        <v>80.41</v>
      </c>
      <c r="E47" s="46">
        <v>681661.1</v>
      </c>
      <c r="F47" s="46">
        <v>51.95</v>
      </c>
      <c r="G47" s="46">
        <v>27.71</v>
      </c>
      <c r="H47" s="46">
        <v>681665.8</v>
      </c>
      <c r="I47" s="46">
        <v>2.6960000000000002</v>
      </c>
      <c r="J47" s="46">
        <v>1.403</v>
      </c>
      <c r="K47" s="46">
        <v>681665.8</v>
      </c>
      <c r="L47" s="46">
        <v>2.028</v>
      </c>
      <c r="M47" s="46">
        <v>1.391</v>
      </c>
    </row>
    <row r="48" spans="1:13" ht="15" x14ac:dyDescent="0.25">
      <c r="A48" s="46">
        <v>90</v>
      </c>
      <c r="B48" s="46">
        <v>673569.3</v>
      </c>
      <c r="C48" s="46">
        <v>179.28</v>
      </c>
      <c r="D48" s="46">
        <v>80.290000000000006</v>
      </c>
      <c r="E48" s="46">
        <v>673564.7</v>
      </c>
      <c r="F48" s="46">
        <v>52.19</v>
      </c>
      <c r="G48" s="46">
        <v>27.73</v>
      </c>
      <c r="H48" s="46">
        <v>673569.3</v>
      </c>
      <c r="I48" s="46">
        <v>2.7130000000000001</v>
      </c>
      <c r="J48" s="46">
        <v>1.4019999999999999</v>
      </c>
      <c r="K48" s="46">
        <v>673569.3</v>
      </c>
      <c r="L48" s="46">
        <v>2.0369999999999999</v>
      </c>
      <c r="M48" s="46">
        <v>1.395</v>
      </c>
    </row>
    <row r="49" spans="1:13" ht="15" x14ac:dyDescent="0.25">
      <c r="A49" s="46">
        <v>100</v>
      </c>
      <c r="B49" s="46">
        <v>621415.6</v>
      </c>
      <c r="C49" s="46">
        <v>186.33</v>
      </c>
      <c r="D49" s="46">
        <v>79.66</v>
      </c>
      <c r="E49" s="46">
        <v>621410.9</v>
      </c>
      <c r="F49" s="46">
        <v>53.65</v>
      </c>
      <c r="G49" s="46">
        <v>28.06</v>
      </c>
      <c r="H49" s="46">
        <v>621415.6</v>
      </c>
      <c r="I49" s="46">
        <v>2.827</v>
      </c>
      <c r="J49" s="46">
        <v>1.4</v>
      </c>
      <c r="K49" s="46">
        <v>621415.6</v>
      </c>
      <c r="L49" s="46">
        <v>2.0880000000000001</v>
      </c>
      <c r="M49" s="46">
        <v>1.4259999999999999</v>
      </c>
    </row>
    <row r="50" spans="1:13" ht="15" x14ac:dyDescent="0.25">
      <c r="A50" s="46">
        <v>200</v>
      </c>
      <c r="B50" s="46">
        <v>196948.6</v>
      </c>
      <c r="C50" s="46">
        <v>275.06</v>
      </c>
      <c r="D50" s="46">
        <v>82.58</v>
      </c>
      <c r="E50" s="46">
        <v>196948.6</v>
      </c>
      <c r="F50" s="46">
        <v>66.69</v>
      </c>
      <c r="G50" s="46">
        <v>33.770000000000003</v>
      </c>
      <c r="H50" s="46">
        <v>196948.6</v>
      </c>
      <c r="I50" s="46">
        <v>4.3310000000000004</v>
      </c>
      <c r="J50" s="46">
        <v>1.514</v>
      </c>
      <c r="K50" s="46">
        <v>196948.6</v>
      </c>
      <c r="L50" s="46">
        <v>2.7040000000000002</v>
      </c>
      <c r="M50" s="46">
        <v>1.625</v>
      </c>
    </row>
    <row r="51" spans="1:13" ht="15" x14ac:dyDescent="0.25">
      <c r="A51" s="46">
        <v>300</v>
      </c>
      <c r="B51" s="46">
        <v>53312.5</v>
      </c>
      <c r="C51" s="46">
        <v>382.78</v>
      </c>
      <c r="D51" s="46">
        <v>86.56</v>
      </c>
      <c r="E51" s="46">
        <v>53312.5</v>
      </c>
      <c r="F51" s="46">
        <v>75.349999999999994</v>
      </c>
      <c r="G51" s="46">
        <v>37.18</v>
      </c>
      <c r="H51" s="46">
        <v>53312.5</v>
      </c>
      <c r="I51" s="46">
        <v>6.2460000000000004</v>
      </c>
      <c r="J51" s="46">
        <v>1.587</v>
      </c>
      <c r="K51" s="46">
        <v>53312.5</v>
      </c>
      <c r="L51" s="46">
        <v>2.879</v>
      </c>
      <c r="M51" s="46">
        <v>1.5660000000000001</v>
      </c>
    </row>
    <row r="52" spans="1:13" ht="15" x14ac:dyDescent="0.25">
      <c r="A52" s="46">
        <v>400</v>
      </c>
      <c r="B52" s="46">
        <v>14545.5</v>
      </c>
      <c r="C52" s="46">
        <v>496.13</v>
      </c>
      <c r="D52" s="46">
        <v>87.96</v>
      </c>
      <c r="E52" s="46">
        <v>14545.5</v>
      </c>
      <c r="F52" s="46">
        <v>91.78</v>
      </c>
      <c r="G52" s="46">
        <v>31.9</v>
      </c>
      <c r="H52" s="46">
        <v>14545.5</v>
      </c>
      <c r="I52" s="46">
        <v>8.17</v>
      </c>
      <c r="J52" s="46">
        <v>1.754</v>
      </c>
      <c r="K52" s="46">
        <v>14545.5</v>
      </c>
      <c r="L52" s="46">
        <v>2.3490000000000002</v>
      </c>
      <c r="M52" s="46">
        <v>1.1619999999999999</v>
      </c>
    </row>
    <row r="53" spans="1:13" x14ac:dyDescent="0.2">
      <c r="A53" s="1"/>
      <c r="B53">
        <f>+B7+B20</f>
        <v>681665.7</v>
      </c>
    </row>
    <row r="54" spans="1:13" x14ac:dyDescent="0.2">
      <c r="A54" s="2"/>
      <c r="B54" s="7">
        <f>+B47-B53</f>
        <v>0.10000000009313226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49" t="s">
        <v>5</v>
      </c>
      <c r="B56" s="49" t="s">
        <v>31</v>
      </c>
      <c r="C56" s="49" t="s">
        <v>50</v>
      </c>
      <c r="D56" s="49" t="s">
        <v>32</v>
      </c>
      <c r="E56" s="49" t="s">
        <v>123</v>
      </c>
      <c r="F56" s="49" t="s">
        <v>51</v>
      </c>
      <c r="G56" s="49" t="s">
        <v>124</v>
      </c>
      <c r="H56" s="49" t="s">
        <v>125</v>
      </c>
      <c r="I56" s="49" t="s">
        <v>52</v>
      </c>
      <c r="J56" s="49" t="s">
        <v>126</v>
      </c>
      <c r="K56" s="49" t="s">
        <v>127</v>
      </c>
      <c r="L56" s="49" t="s">
        <v>122</v>
      </c>
      <c r="M56" s="49" t="s">
        <v>128</v>
      </c>
    </row>
    <row r="57" spans="1:13" ht="15" x14ac:dyDescent="0.25">
      <c r="A57" s="48">
        <v>0</v>
      </c>
      <c r="B57" s="48">
        <v>880344.9</v>
      </c>
      <c r="C57" s="48">
        <v>153.84</v>
      </c>
      <c r="D57" s="48">
        <v>88.4</v>
      </c>
      <c r="E57" s="48">
        <v>848773.9</v>
      </c>
      <c r="F57" s="48">
        <v>48.07</v>
      </c>
      <c r="G57" s="48">
        <v>28.86</v>
      </c>
      <c r="H57" s="48">
        <v>848815.7</v>
      </c>
      <c r="I57" s="48">
        <v>2.3940000000000001</v>
      </c>
      <c r="J57" s="48">
        <v>1.4419999999999999</v>
      </c>
      <c r="K57" s="48">
        <v>880344.8</v>
      </c>
      <c r="L57" s="48">
        <v>1.786</v>
      </c>
      <c r="M57" s="48">
        <v>1.319</v>
      </c>
    </row>
    <row r="58" spans="1:13" ht="15" x14ac:dyDescent="0.25">
      <c r="A58" s="48">
        <v>20</v>
      </c>
      <c r="B58" s="48">
        <v>846604.1</v>
      </c>
      <c r="C58" s="48">
        <v>159.93</v>
      </c>
      <c r="D58" s="48">
        <v>84.6</v>
      </c>
      <c r="E58" s="48">
        <v>846569.4</v>
      </c>
      <c r="F58" s="48">
        <v>48.18</v>
      </c>
      <c r="G58" s="48">
        <v>28.81</v>
      </c>
      <c r="H58" s="48">
        <v>846604.1</v>
      </c>
      <c r="I58" s="48">
        <v>2.4</v>
      </c>
      <c r="J58" s="48">
        <v>1.44</v>
      </c>
      <c r="K58" s="48">
        <v>846604.1</v>
      </c>
      <c r="L58" s="48">
        <v>1.8240000000000001</v>
      </c>
      <c r="M58" s="48">
        <v>1.33</v>
      </c>
    </row>
    <row r="59" spans="1:13" ht="15" x14ac:dyDescent="0.25">
      <c r="A59" s="48">
        <v>40</v>
      </c>
      <c r="B59" s="48">
        <v>829695.4</v>
      </c>
      <c r="C59" s="48">
        <v>162.53</v>
      </c>
      <c r="D59" s="48">
        <v>83.46</v>
      </c>
      <c r="E59" s="48">
        <v>829663.6</v>
      </c>
      <c r="F59" s="48">
        <v>48.9</v>
      </c>
      <c r="G59" s="48">
        <v>28.64</v>
      </c>
      <c r="H59" s="48">
        <v>829695.4</v>
      </c>
      <c r="I59" s="48">
        <v>2.4390000000000001</v>
      </c>
      <c r="J59" s="48">
        <v>1.427</v>
      </c>
      <c r="K59" s="48">
        <v>829695.4</v>
      </c>
      <c r="L59" s="48">
        <v>1.845</v>
      </c>
      <c r="M59" s="48">
        <v>1.3360000000000001</v>
      </c>
    </row>
    <row r="60" spans="1:13" ht="15" x14ac:dyDescent="0.25">
      <c r="A60" s="48">
        <v>60</v>
      </c>
      <c r="B60" s="48">
        <v>792817.8</v>
      </c>
      <c r="C60" s="48">
        <v>167.75</v>
      </c>
      <c r="D60" s="48">
        <v>81.7</v>
      </c>
      <c r="E60" s="48">
        <v>792786.1</v>
      </c>
      <c r="F60" s="48">
        <v>50.32</v>
      </c>
      <c r="G60" s="48">
        <v>28.44</v>
      </c>
      <c r="H60" s="48">
        <v>792817.8</v>
      </c>
      <c r="I60" s="48">
        <v>2.52</v>
      </c>
      <c r="J60" s="48">
        <v>1.409</v>
      </c>
      <c r="K60" s="48">
        <v>792817.8</v>
      </c>
      <c r="L60" s="48">
        <v>1.8919999999999999</v>
      </c>
      <c r="M60" s="48">
        <v>1.347</v>
      </c>
    </row>
    <row r="61" spans="1:13" ht="15" x14ac:dyDescent="0.25">
      <c r="A61" s="48">
        <v>87.7</v>
      </c>
      <c r="B61" s="48">
        <v>715574</v>
      </c>
      <c r="C61" s="48">
        <v>177.68</v>
      </c>
      <c r="D61" s="48">
        <v>79.849999999999994</v>
      </c>
      <c r="E61" s="48">
        <v>715548.8</v>
      </c>
      <c r="F61" s="48">
        <v>52.64</v>
      </c>
      <c r="G61" s="48">
        <v>28.55</v>
      </c>
      <c r="H61" s="48">
        <v>715574</v>
      </c>
      <c r="I61" s="48">
        <v>2.677</v>
      </c>
      <c r="J61" s="48">
        <v>1.393</v>
      </c>
      <c r="K61" s="48">
        <v>715574</v>
      </c>
      <c r="L61" s="48">
        <v>1.9890000000000001</v>
      </c>
      <c r="M61" s="48">
        <v>1.375</v>
      </c>
    </row>
    <row r="62" spans="1:13" ht="15" x14ac:dyDescent="0.25">
      <c r="A62" s="48">
        <v>90</v>
      </c>
      <c r="B62" s="48">
        <v>706718.5</v>
      </c>
      <c r="C62" s="48">
        <v>178.79</v>
      </c>
      <c r="D62" s="48">
        <v>79.72</v>
      </c>
      <c r="E62" s="48">
        <v>706693.2</v>
      </c>
      <c r="F62" s="48">
        <v>52.9</v>
      </c>
      <c r="G62" s="48">
        <v>28.58</v>
      </c>
      <c r="H62" s="48">
        <v>706718.5</v>
      </c>
      <c r="I62" s="48">
        <v>2.6949999999999998</v>
      </c>
      <c r="J62" s="48">
        <v>1.393</v>
      </c>
      <c r="K62" s="48">
        <v>706718.5</v>
      </c>
      <c r="L62" s="48">
        <v>1.9990000000000001</v>
      </c>
      <c r="M62" s="48">
        <v>1.3779999999999999</v>
      </c>
    </row>
    <row r="63" spans="1:13" ht="15" x14ac:dyDescent="0.25">
      <c r="A63" s="48">
        <v>100</v>
      </c>
      <c r="B63" s="48">
        <v>652291.6</v>
      </c>
      <c r="C63" s="48">
        <v>185.76</v>
      </c>
      <c r="D63" s="48">
        <v>79.08</v>
      </c>
      <c r="E63" s="48">
        <v>652277.4</v>
      </c>
      <c r="F63" s="48">
        <v>54.4</v>
      </c>
      <c r="G63" s="48">
        <v>28.92</v>
      </c>
      <c r="H63" s="48">
        <v>652291.6</v>
      </c>
      <c r="I63" s="48">
        <v>2.8069999999999999</v>
      </c>
      <c r="J63" s="48">
        <v>1.391</v>
      </c>
      <c r="K63" s="48">
        <v>652291.6</v>
      </c>
      <c r="L63" s="48">
        <v>2.0489999999999999</v>
      </c>
      <c r="M63" s="48">
        <v>1.41</v>
      </c>
    </row>
    <row r="64" spans="1:13" ht="15" x14ac:dyDescent="0.25">
      <c r="A64" s="48">
        <v>200</v>
      </c>
      <c r="B64" s="48">
        <v>206096</v>
      </c>
      <c r="C64" s="48">
        <v>274.39</v>
      </c>
      <c r="D64" s="48">
        <v>81.48</v>
      </c>
      <c r="E64" s="48">
        <v>206096</v>
      </c>
      <c r="F64" s="48">
        <v>68</v>
      </c>
      <c r="G64" s="48">
        <v>34.85</v>
      </c>
      <c r="H64" s="48">
        <v>206096</v>
      </c>
      <c r="I64" s="48">
        <v>4.3019999999999996</v>
      </c>
      <c r="J64" s="48">
        <v>1.5069999999999999</v>
      </c>
      <c r="K64" s="48">
        <v>206096</v>
      </c>
      <c r="L64" s="48">
        <v>2.6560000000000001</v>
      </c>
      <c r="M64" s="48">
        <v>1.613</v>
      </c>
    </row>
    <row r="65" spans="1:13" ht="15" x14ac:dyDescent="0.25">
      <c r="A65" s="48">
        <v>300</v>
      </c>
      <c r="B65" s="48">
        <v>54989.2</v>
      </c>
      <c r="C65" s="48">
        <v>381.62</v>
      </c>
      <c r="D65" s="48">
        <v>85.75</v>
      </c>
      <c r="E65" s="48">
        <v>54989.2</v>
      </c>
      <c r="F65" s="48">
        <v>75.06</v>
      </c>
      <c r="G65" s="48">
        <v>36.94</v>
      </c>
      <c r="H65" s="48">
        <v>54989.2</v>
      </c>
      <c r="I65" s="48">
        <v>6.2279999999999998</v>
      </c>
      <c r="J65" s="48">
        <v>1.5740000000000001</v>
      </c>
      <c r="K65" s="48">
        <v>54989.2</v>
      </c>
      <c r="L65" s="48">
        <v>2.839</v>
      </c>
      <c r="M65" s="48">
        <v>1.56</v>
      </c>
    </row>
    <row r="66" spans="1:13" ht="15" x14ac:dyDescent="0.25">
      <c r="A66" s="48">
        <v>400</v>
      </c>
      <c r="B66" s="48">
        <v>14620.7</v>
      </c>
      <c r="C66" s="48">
        <v>495.99</v>
      </c>
      <c r="D66" s="48">
        <v>88.07</v>
      </c>
      <c r="E66" s="48">
        <v>14620.7</v>
      </c>
      <c r="F66" s="48">
        <v>91.54</v>
      </c>
      <c r="G66" s="48">
        <v>32.020000000000003</v>
      </c>
      <c r="H66" s="48">
        <v>14620.7</v>
      </c>
      <c r="I66" s="48">
        <v>8.17</v>
      </c>
      <c r="J66" s="48">
        <v>1.756</v>
      </c>
      <c r="K66" s="48">
        <v>14620.7</v>
      </c>
      <c r="L66" s="48">
        <v>2.3439999999999999</v>
      </c>
      <c r="M66" s="48">
        <v>1.1619999999999999</v>
      </c>
    </row>
    <row r="67" spans="1:13" x14ac:dyDescent="0.2">
      <c r="A67" s="1"/>
      <c r="B67">
        <f>+B7+B20+B33</f>
        <v>715573.89999999991</v>
      </c>
    </row>
    <row r="68" spans="1:13" x14ac:dyDescent="0.2">
      <c r="A68" s="3"/>
      <c r="B68" s="6">
        <f>+B61-B67</f>
        <v>0.10000000009313226</v>
      </c>
      <c r="C68" s="6"/>
      <c r="D68" s="6"/>
      <c r="E6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28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3" spans="1:13" x14ac:dyDescent="0.2">
      <c r="A3">
        <v>0</v>
      </c>
    </row>
    <row r="4" spans="1:13" x14ac:dyDescent="0.2">
      <c r="A4">
        <v>20</v>
      </c>
    </row>
    <row r="5" spans="1:13" x14ac:dyDescent="0.2">
      <c r="A5">
        <v>40</v>
      </c>
    </row>
    <row r="6" spans="1:13" x14ac:dyDescent="0.2">
      <c r="A6">
        <v>60</v>
      </c>
    </row>
    <row r="7" spans="1:13" x14ac:dyDescent="0.2">
      <c r="A7" s="4">
        <v>87.7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3" x14ac:dyDescent="0.2">
      <c r="A8">
        <v>90</v>
      </c>
    </row>
    <row r="9" spans="1:13" x14ac:dyDescent="0.2">
      <c r="A9">
        <v>100</v>
      </c>
    </row>
    <row r="10" spans="1:13" x14ac:dyDescent="0.2">
      <c r="A10">
        <v>200</v>
      </c>
    </row>
    <row r="11" spans="1:13" x14ac:dyDescent="0.2">
      <c r="A11">
        <v>300</v>
      </c>
    </row>
    <row r="14" spans="1:13" x14ac:dyDescent="0.2">
      <c r="A14" s="5" t="s">
        <v>33</v>
      </c>
    </row>
    <row r="15" spans="1:13" ht="15" x14ac:dyDescent="0.2">
      <c r="A15" s="65" t="s">
        <v>5</v>
      </c>
      <c r="B15" s="65" t="s">
        <v>31</v>
      </c>
      <c r="C15" s="65" t="s">
        <v>50</v>
      </c>
      <c r="D15" s="65" t="s">
        <v>32</v>
      </c>
      <c r="E15" s="65" t="s">
        <v>123</v>
      </c>
      <c r="F15" s="65" t="s">
        <v>51</v>
      </c>
      <c r="G15" s="65" t="s">
        <v>124</v>
      </c>
      <c r="H15" s="65" t="s">
        <v>125</v>
      </c>
      <c r="I15" s="65" t="s">
        <v>52</v>
      </c>
      <c r="J15" s="65" t="s">
        <v>126</v>
      </c>
      <c r="K15" s="65" t="s">
        <v>127</v>
      </c>
      <c r="L15" s="65" t="s">
        <v>122</v>
      </c>
      <c r="M15" s="65" t="s">
        <v>128</v>
      </c>
    </row>
    <row r="16" spans="1:13" ht="15" x14ac:dyDescent="0.25">
      <c r="A16" s="64">
        <v>0</v>
      </c>
      <c r="B16" s="64">
        <v>67684.800000000003</v>
      </c>
      <c r="C16" s="64">
        <v>109.76</v>
      </c>
      <c r="D16" s="64">
        <v>55.8</v>
      </c>
      <c r="E16" s="64">
        <v>65784.600000000006</v>
      </c>
      <c r="F16" s="64">
        <v>57.21</v>
      </c>
      <c r="G16" s="64">
        <v>39.47</v>
      </c>
      <c r="H16" s="64">
        <v>65784.600000000006</v>
      </c>
      <c r="I16" s="64">
        <v>1.403</v>
      </c>
      <c r="J16" s="64">
        <v>0.58599999999999997</v>
      </c>
      <c r="K16" s="64">
        <v>67684.800000000003</v>
      </c>
      <c r="L16" s="64">
        <v>2.0569999999999999</v>
      </c>
      <c r="M16" s="64">
        <v>1.6319999999999999</v>
      </c>
    </row>
    <row r="17" spans="1:13" ht="15" x14ac:dyDescent="0.25">
      <c r="A17" s="64">
        <v>20</v>
      </c>
      <c r="B17" s="64">
        <v>65636.899999999994</v>
      </c>
      <c r="C17" s="64">
        <v>113.15</v>
      </c>
      <c r="D17" s="64">
        <v>53.2</v>
      </c>
      <c r="E17" s="64">
        <v>65636.899999999994</v>
      </c>
      <c r="F17" s="64">
        <v>57.33</v>
      </c>
      <c r="G17" s="64">
        <v>39.44</v>
      </c>
      <c r="H17" s="64">
        <v>65636.899999999994</v>
      </c>
      <c r="I17" s="64">
        <v>1.4059999999999999</v>
      </c>
      <c r="J17" s="64">
        <v>0.58399999999999996</v>
      </c>
      <c r="K17" s="64">
        <v>65636.899999999994</v>
      </c>
      <c r="L17" s="64">
        <v>2.0939999999999999</v>
      </c>
      <c r="M17" s="64">
        <v>1.6419999999999999</v>
      </c>
    </row>
    <row r="18" spans="1:13" ht="15" x14ac:dyDescent="0.25">
      <c r="A18" s="64">
        <v>40</v>
      </c>
      <c r="B18" s="64">
        <v>63602.5</v>
      </c>
      <c r="C18" s="64">
        <v>115.77</v>
      </c>
      <c r="D18" s="64">
        <v>51.96</v>
      </c>
      <c r="E18" s="64">
        <v>63602.5</v>
      </c>
      <c r="F18" s="64">
        <v>58.87</v>
      </c>
      <c r="G18" s="64">
        <v>39.090000000000003</v>
      </c>
      <c r="H18" s="64">
        <v>63602.5</v>
      </c>
      <c r="I18" s="64">
        <v>1.4350000000000001</v>
      </c>
      <c r="J18" s="64">
        <v>0.56899999999999995</v>
      </c>
      <c r="K18" s="64">
        <v>63602.5</v>
      </c>
      <c r="L18" s="64">
        <v>2.133</v>
      </c>
      <c r="M18" s="64">
        <v>1.65</v>
      </c>
    </row>
    <row r="19" spans="1:13" ht="15" x14ac:dyDescent="0.25">
      <c r="A19" s="64">
        <v>60</v>
      </c>
      <c r="B19" s="64">
        <v>59304.3</v>
      </c>
      <c r="C19" s="64">
        <v>120.43</v>
      </c>
      <c r="D19" s="64">
        <v>50.7</v>
      </c>
      <c r="E19" s="64">
        <v>59304.3</v>
      </c>
      <c r="F19" s="64">
        <v>61.81</v>
      </c>
      <c r="G19" s="64">
        <v>38.83</v>
      </c>
      <c r="H19" s="64">
        <v>59304.3</v>
      </c>
      <c r="I19" s="64">
        <v>1.486</v>
      </c>
      <c r="J19" s="64">
        <v>0.55500000000000005</v>
      </c>
      <c r="K19" s="64">
        <v>59304.3</v>
      </c>
      <c r="L19" s="64">
        <v>2.1509999999999998</v>
      </c>
      <c r="M19" s="64">
        <v>1.6120000000000001</v>
      </c>
    </row>
    <row r="20" spans="1:13" ht="15" x14ac:dyDescent="0.25">
      <c r="A20" s="64">
        <v>87.7</v>
      </c>
      <c r="B20" s="64">
        <v>41220.699999999997</v>
      </c>
      <c r="C20" s="64">
        <v>140.58000000000001</v>
      </c>
      <c r="D20" s="64">
        <v>48.35</v>
      </c>
      <c r="E20" s="64">
        <v>41220.699999999997</v>
      </c>
      <c r="F20" s="64">
        <v>76.459999999999994</v>
      </c>
      <c r="G20" s="64">
        <v>37.619999999999997</v>
      </c>
      <c r="H20" s="64">
        <v>41220.699999999997</v>
      </c>
      <c r="I20" s="64">
        <v>1.68</v>
      </c>
      <c r="J20" s="64">
        <v>0.55500000000000005</v>
      </c>
      <c r="K20" s="64">
        <v>41220.699999999997</v>
      </c>
      <c r="L20" s="64">
        <v>1.82</v>
      </c>
      <c r="M20" s="64">
        <v>1.29</v>
      </c>
    </row>
    <row r="21" spans="1:13" ht="15" x14ac:dyDescent="0.25">
      <c r="A21" s="64">
        <v>90</v>
      </c>
      <c r="B21" s="64">
        <v>38831</v>
      </c>
      <c r="C21" s="64">
        <v>143.77000000000001</v>
      </c>
      <c r="D21" s="64">
        <v>48.03</v>
      </c>
      <c r="E21" s="64">
        <v>38831</v>
      </c>
      <c r="F21" s="64">
        <v>78.86</v>
      </c>
      <c r="G21" s="64">
        <v>37.36</v>
      </c>
      <c r="H21" s="64">
        <v>38831</v>
      </c>
      <c r="I21" s="64">
        <v>1.71</v>
      </c>
      <c r="J21" s="64">
        <v>0.55800000000000005</v>
      </c>
      <c r="K21" s="64">
        <v>38831</v>
      </c>
      <c r="L21" s="64">
        <v>1.74</v>
      </c>
      <c r="M21" s="64">
        <v>1.2010000000000001</v>
      </c>
    </row>
    <row r="22" spans="1:13" ht="15" x14ac:dyDescent="0.25">
      <c r="A22" s="64">
        <v>100</v>
      </c>
      <c r="B22" s="64">
        <v>31947.8</v>
      </c>
      <c r="C22" s="64">
        <v>154.38999999999999</v>
      </c>
      <c r="D22" s="64">
        <v>46.54</v>
      </c>
      <c r="E22" s="64">
        <v>31947.8</v>
      </c>
      <c r="F22" s="64">
        <v>86.78</v>
      </c>
      <c r="G22" s="64">
        <v>36.18</v>
      </c>
      <c r="H22" s="64">
        <v>31947.8</v>
      </c>
      <c r="I22" s="64">
        <v>1.81</v>
      </c>
      <c r="J22" s="64">
        <v>0.56200000000000006</v>
      </c>
      <c r="K22" s="64">
        <v>31947.8</v>
      </c>
      <c r="L22" s="64">
        <v>1.5069999999999999</v>
      </c>
      <c r="M22" s="64">
        <v>0.88600000000000001</v>
      </c>
    </row>
    <row r="23" spans="1:13" ht="15" x14ac:dyDescent="0.25">
      <c r="A23" s="64">
        <v>200</v>
      </c>
      <c r="B23" s="64">
        <v>6591.1</v>
      </c>
      <c r="C23" s="64">
        <v>226.6</v>
      </c>
      <c r="D23" s="64">
        <v>24.52</v>
      </c>
      <c r="E23" s="64">
        <v>6591.1</v>
      </c>
      <c r="F23" s="64">
        <v>137.5</v>
      </c>
      <c r="G23" s="64">
        <v>22.36</v>
      </c>
      <c r="H23" s="64">
        <v>6591.1</v>
      </c>
      <c r="I23" s="64">
        <v>2.5289999999999999</v>
      </c>
      <c r="J23" s="64">
        <v>0.43</v>
      </c>
      <c r="K23" s="64">
        <v>6591.1</v>
      </c>
      <c r="L23" s="64">
        <v>1.385</v>
      </c>
      <c r="M23" s="64">
        <v>0.41399999999999998</v>
      </c>
    </row>
    <row r="24" spans="1:13" ht="15" x14ac:dyDescent="0.25">
      <c r="A24" s="64">
        <v>300</v>
      </c>
      <c r="B24" s="64">
        <v>229.8</v>
      </c>
      <c r="C24" s="64">
        <v>310.58999999999997</v>
      </c>
      <c r="D24" s="64">
        <v>9.08</v>
      </c>
      <c r="E24" s="64">
        <v>229.8</v>
      </c>
      <c r="F24" s="64">
        <v>161.52000000000001</v>
      </c>
      <c r="G24" s="64">
        <v>6.89</v>
      </c>
      <c r="H24" s="64">
        <v>229.8</v>
      </c>
      <c r="I24" s="64">
        <v>3.806</v>
      </c>
      <c r="J24" s="64">
        <v>9.8000000000000004E-2</v>
      </c>
      <c r="K24" s="64">
        <v>229.8</v>
      </c>
      <c r="L24" s="64">
        <v>1.0429999999999999</v>
      </c>
      <c r="M24" s="64">
        <v>0.13800000000000001</v>
      </c>
    </row>
    <row r="27" spans="1:13" x14ac:dyDescent="0.2">
      <c r="A27" s="5" t="s">
        <v>34</v>
      </c>
    </row>
    <row r="28" spans="1:13" ht="15" x14ac:dyDescent="0.2">
      <c r="A28" s="67" t="s">
        <v>5</v>
      </c>
      <c r="B28" s="67" t="s">
        <v>31</v>
      </c>
      <c r="C28" s="67" t="s">
        <v>50</v>
      </c>
      <c r="D28" s="67" t="s">
        <v>32</v>
      </c>
      <c r="E28" s="67" t="s">
        <v>123</v>
      </c>
      <c r="F28" s="67" t="s">
        <v>51</v>
      </c>
      <c r="G28" s="67" t="s">
        <v>124</v>
      </c>
      <c r="H28" s="67" t="s">
        <v>125</v>
      </c>
      <c r="I28" s="67" t="s">
        <v>52</v>
      </c>
      <c r="J28" s="67" t="s">
        <v>126</v>
      </c>
      <c r="K28" s="67" t="s">
        <v>127</v>
      </c>
      <c r="L28" s="67" t="s">
        <v>122</v>
      </c>
      <c r="M28" s="67" t="s">
        <v>128</v>
      </c>
    </row>
    <row r="29" spans="1:13" ht="15" x14ac:dyDescent="0.25">
      <c r="A29" s="66">
        <v>0</v>
      </c>
      <c r="B29" s="66">
        <v>183683.8</v>
      </c>
      <c r="C29" s="66">
        <v>115.07</v>
      </c>
      <c r="D29" s="66">
        <v>74.97</v>
      </c>
      <c r="E29" s="66">
        <v>171333.3</v>
      </c>
      <c r="F29" s="66">
        <v>70.7</v>
      </c>
      <c r="G29" s="66">
        <v>57.1</v>
      </c>
      <c r="H29" s="66">
        <v>171333.3</v>
      </c>
      <c r="I29" s="66">
        <v>1.429</v>
      </c>
      <c r="J29" s="66">
        <v>0.84899999999999998</v>
      </c>
      <c r="K29" s="66">
        <v>183683.8</v>
      </c>
      <c r="L29" s="66">
        <v>1.2170000000000001</v>
      </c>
      <c r="M29" s="66">
        <v>0.70799999999999996</v>
      </c>
    </row>
    <row r="30" spans="1:13" ht="15" x14ac:dyDescent="0.25">
      <c r="A30" s="66">
        <v>20</v>
      </c>
      <c r="B30" s="66">
        <v>170896.3</v>
      </c>
      <c r="C30" s="66">
        <v>123.63</v>
      </c>
      <c r="D30" s="66">
        <v>70.62</v>
      </c>
      <c r="E30" s="66">
        <v>170896.3</v>
      </c>
      <c r="F30" s="66">
        <v>70.87</v>
      </c>
      <c r="G30" s="66">
        <v>57.08</v>
      </c>
      <c r="H30" s="66">
        <v>170896.3</v>
      </c>
      <c r="I30" s="66">
        <v>1.4319999999999999</v>
      </c>
      <c r="J30" s="66">
        <v>0.84799999999999998</v>
      </c>
      <c r="K30" s="66">
        <v>170896.3</v>
      </c>
      <c r="L30" s="66">
        <v>1.246</v>
      </c>
      <c r="M30" s="66">
        <v>0.72499999999999998</v>
      </c>
    </row>
    <row r="31" spans="1:13" ht="15" x14ac:dyDescent="0.25">
      <c r="A31" s="66">
        <v>40</v>
      </c>
      <c r="B31" s="66">
        <v>160294.9</v>
      </c>
      <c r="C31" s="66">
        <v>129.71</v>
      </c>
      <c r="D31" s="66">
        <v>68.69</v>
      </c>
      <c r="E31" s="66">
        <v>160294.9</v>
      </c>
      <c r="F31" s="66">
        <v>74.55</v>
      </c>
      <c r="G31" s="66">
        <v>57.02</v>
      </c>
      <c r="H31" s="66">
        <v>160294.9</v>
      </c>
      <c r="I31" s="66">
        <v>1.5</v>
      </c>
      <c r="J31" s="66">
        <v>0.83199999999999996</v>
      </c>
      <c r="K31" s="66">
        <v>160294.9</v>
      </c>
      <c r="L31" s="66">
        <v>1.2749999999999999</v>
      </c>
      <c r="M31" s="66">
        <v>0.73899999999999999</v>
      </c>
    </row>
    <row r="32" spans="1:13" ht="15" x14ac:dyDescent="0.25">
      <c r="A32" s="66">
        <v>60</v>
      </c>
      <c r="B32" s="66">
        <v>143732.6</v>
      </c>
      <c r="C32" s="66">
        <v>138.82</v>
      </c>
      <c r="D32" s="66">
        <v>66.760000000000005</v>
      </c>
      <c r="E32" s="66">
        <v>143732.6</v>
      </c>
      <c r="F32" s="66">
        <v>80.040000000000006</v>
      </c>
      <c r="G32" s="66">
        <v>57.59</v>
      </c>
      <c r="H32" s="66">
        <v>143732.6</v>
      </c>
      <c r="I32" s="66">
        <v>1.6020000000000001</v>
      </c>
      <c r="J32" s="66">
        <v>0.81699999999999995</v>
      </c>
      <c r="K32" s="66">
        <v>143732.6</v>
      </c>
      <c r="L32" s="66">
        <v>1.329</v>
      </c>
      <c r="M32" s="66">
        <v>0.76200000000000001</v>
      </c>
    </row>
    <row r="33" spans="1:13" ht="15" x14ac:dyDescent="0.25">
      <c r="A33" s="66">
        <v>87.7</v>
      </c>
      <c r="B33" s="66">
        <v>103973.2</v>
      </c>
      <c r="C33" s="66">
        <v>163.78</v>
      </c>
      <c r="D33" s="66">
        <v>62.27</v>
      </c>
      <c r="E33" s="66">
        <v>103973.2</v>
      </c>
      <c r="F33" s="66">
        <v>96.11</v>
      </c>
      <c r="G33" s="66">
        <v>59.9</v>
      </c>
      <c r="H33" s="66">
        <v>103973.2</v>
      </c>
      <c r="I33" s="66">
        <v>1.869</v>
      </c>
      <c r="J33" s="66">
        <v>0.80500000000000005</v>
      </c>
      <c r="K33" s="66">
        <v>103973.2</v>
      </c>
      <c r="L33" s="66">
        <v>1.3720000000000001</v>
      </c>
      <c r="M33" s="66">
        <v>0.754</v>
      </c>
    </row>
    <row r="34" spans="1:13" ht="15" x14ac:dyDescent="0.25">
      <c r="A34" s="66">
        <v>90</v>
      </c>
      <c r="B34" s="66">
        <v>100146.5</v>
      </c>
      <c r="C34" s="66">
        <v>166.64</v>
      </c>
      <c r="D34" s="66">
        <v>61.66</v>
      </c>
      <c r="E34" s="66">
        <v>100146.5</v>
      </c>
      <c r="F34" s="66">
        <v>98.11</v>
      </c>
      <c r="G34" s="66">
        <v>60.07</v>
      </c>
      <c r="H34" s="66">
        <v>100146.5</v>
      </c>
      <c r="I34" s="66">
        <v>1.8979999999999999</v>
      </c>
      <c r="J34" s="66">
        <v>0.80500000000000005</v>
      </c>
      <c r="K34" s="66">
        <v>100146.5</v>
      </c>
      <c r="L34" s="66">
        <v>1.3540000000000001</v>
      </c>
      <c r="M34" s="66">
        <v>0.71899999999999997</v>
      </c>
    </row>
    <row r="35" spans="1:13" ht="15" x14ac:dyDescent="0.25">
      <c r="A35" s="66">
        <v>100</v>
      </c>
      <c r="B35" s="66">
        <v>85700.4</v>
      </c>
      <c r="C35" s="66">
        <v>178.86</v>
      </c>
      <c r="D35" s="66">
        <v>58.37</v>
      </c>
      <c r="E35" s="66">
        <v>85700.4</v>
      </c>
      <c r="F35" s="66">
        <v>107.07</v>
      </c>
      <c r="G35" s="66">
        <v>60.23</v>
      </c>
      <c r="H35" s="66">
        <v>85700.4</v>
      </c>
      <c r="I35" s="66">
        <v>2.0150000000000001</v>
      </c>
      <c r="J35" s="66">
        <v>0.81100000000000005</v>
      </c>
      <c r="K35" s="66">
        <v>85700.4</v>
      </c>
      <c r="L35" s="66">
        <v>1.25</v>
      </c>
      <c r="M35" s="66">
        <v>0.48299999999999998</v>
      </c>
    </row>
    <row r="36" spans="1:13" ht="15" x14ac:dyDescent="0.25">
      <c r="A36" s="66">
        <v>200</v>
      </c>
      <c r="B36" s="66">
        <v>24003.4</v>
      </c>
      <c r="C36" s="66">
        <v>248.78</v>
      </c>
      <c r="D36" s="66">
        <v>57.9</v>
      </c>
      <c r="E36" s="66">
        <v>24003.4</v>
      </c>
      <c r="F36" s="66">
        <v>170.36</v>
      </c>
      <c r="G36" s="66">
        <v>50.66</v>
      </c>
      <c r="H36" s="66">
        <v>24003.4</v>
      </c>
      <c r="I36" s="66">
        <v>2.5329999999999999</v>
      </c>
      <c r="J36" s="66">
        <v>1.0820000000000001</v>
      </c>
      <c r="K36" s="66">
        <v>24003.4</v>
      </c>
      <c r="L36" s="66">
        <v>1.167</v>
      </c>
      <c r="M36" s="66">
        <v>0.32900000000000001</v>
      </c>
    </row>
    <row r="37" spans="1:13" ht="15" x14ac:dyDescent="0.25">
      <c r="A37" s="66">
        <v>300</v>
      </c>
      <c r="B37" s="66">
        <v>4378</v>
      </c>
      <c r="C37" s="66">
        <v>355.26</v>
      </c>
      <c r="D37" s="66">
        <v>39.15</v>
      </c>
      <c r="E37" s="66">
        <v>4378</v>
      </c>
      <c r="F37" s="66">
        <v>201.82</v>
      </c>
      <c r="G37" s="66">
        <v>62</v>
      </c>
      <c r="H37" s="66">
        <v>4378</v>
      </c>
      <c r="I37" s="66">
        <v>4.1390000000000002</v>
      </c>
      <c r="J37" s="66">
        <v>0.41599999999999998</v>
      </c>
      <c r="K37" s="66">
        <v>4378</v>
      </c>
      <c r="L37" s="66">
        <v>1.1240000000000001</v>
      </c>
      <c r="M37" s="66">
        <v>0.308</v>
      </c>
    </row>
    <row r="38" spans="1:13" ht="15" x14ac:dyDescent="0.25">
      <c r="A38" s="66">
        <v>400</v>
      </c>
      <c r="B38" s="66">
        <v>821.5</v>
      </c>
      <c r="C38" s="66">
        <v>417.52</v>
      </c>
      <c r="D38" s="66">
        <v>8.8000000000000007</v>
      </c>
      <c r="E38" s="66">
        <v>821.5</v>
      </c>
      <c r="F38" s="66">
        <v>285.99</v>
      </c>
      <c r="G38" s="66">
        <v>19.440000000000001</v>
      </c>
      <c r="H38" s="66">
        <v>821.5</v>
      </c>
      <c r="I38" s="66">
        <v>4.25</v>
      </c>
      <c r="J38" s="66">
        <v>0.17499999999999999</v>
      </c>
      <c r="K38" s="66">
        <v>821.5</v>
      </c>
      <c r="L38" s="66">
        <v>1.06</v>
      </c>
      <c r="M38" s="66">
        <v>0.17599999999999999</v>
      </c>
    </row>
    <row r="41" spans="1:13" x14ac:dyDescent="0.2">
      <c r="A41" s="5" t="s">
        <v>35</v>
      </c>
    </row>
    <row r="42" spans="1:13" ht="15" x14ac:dyDescent="0.2">
      <c r="A42" s="69" t="s">
        <v>5</v>
      </c>
      <c r="B42" s="69" t="s">
        <v>31</v>
      </c>
      <c r="C42" s="69" t="s">
        <v>50</v>
      </c>
      <c r="D42" s="69" t="s">
        <v>32</v>
      </c>
      <c r="E42" s="69" t="s">
        <v>123</v>
      </c>
      <c r="F42" s="69" t="s">
        <v>51</v>
      </c>
      <c r="G42" s="69" t="s">
        <v>124</v>
      </c>
      <c r="H42" s="69" t="s">
        <v>125</v>
      </c>
      <c r="I42" s="69" t="s">
        <v>52</v>
      </c>
      <c r="J42" s="69" t="s">
        <v>126</v>
      </c>
      <c r="K42" s="69" t="s">
        <v>127</v>
      </c>
      <c r="L42" s="69" t="s">
        <v>122</v>
      </c>
      <c r="M42" s="69" t="s">
        <v>128</v>
      </c>
    </row>
    <row r="43" spans="1:13" ht="15" x14ac:dyDescent="0.25">
      <c r="A43" s="68">
        <v>0</v>
      </c>
      <c r="B43" s="68">
        <v>67684.800000000003</v>
      </c>
      <c r="C43" s="68">
        <v>109.76</v>
      </c>
      <c r="D43" s="68">
        <v>55.8</v>
      </c>
      <c r="E43" s="68">
        <v>65784.600000000006</v>
      </c>
      <c r="F43" s="68">
        <v>57.21</v>
      </c>
      <c r="G43" s="68">
        <v>39.47</v>
      </c>
      <c r="H43" s="68">
        <v>65784.600000000006</v>
      </c>
      <c r="I43" s="68">
        <v>1.403</v>
      </c>
      <c r="J43" s="68">
        <v>0.58599999999999997</v>
      </c>
      <c r="K43" s="68">
        <v>67684.800000000003</v>
      </c>
      <c r="L43" s="68">
        <v>2.0569999999999999</v>
      </c>
      <c r="M43" s="68">
        <v>1.6319999999999999</v>
      </c>
    </row>
    <row r="44" spans="1:13" ht="15" x14ac:dyDescent="0.25">
      <c r="A44" s="68">
        <v>20</v>
      </c>
      <c r="B44" s="68">
        <v>65636.899999999994</v>
      </c>
      <c r="C44" s="68">
        <v>113.15</v>
      </c>
      <c r="D44" s="68">
        <v>53.2</v>
      </c>
      <c r="E44" s="68">
        <v>65636.899999999994</v>
      </c>
      <c r="F44" s="68">
        <v>57.33</v>
      </c>
      <c r="G44" s="68">
        <v>39.44</v>
      </c>
      <c r="H44" s="68">
        <v>65636.899999999994</v>
      </c>
      <c r="I44" s="68">
        <v>1.4059999999999999</v>
      </c>
      <c r="J44" s="68">
        <v>0.58399999999999996</v>
      </c>
      <c r="K44" s="68">
        <v>65636.899999999994</v>
      </c>
      <c r="L44" s="68">
        <v>2.0939999999999999</v>
      </c>
      <c r="M44" s="68">
        <v>1.6419999999999999</v>
      </c>
    </row>
    <row r="45" spans="1:13" ht="15" x14ac:dyDescent="0.25">
      <c r="A45" s="68">
        <v>40</v>
      </c>
      <c r="B45" s="68">
        <v>63602.5</v>
      </c>
      <c r="C45" s="68">
        <v>115.77</v>
      </c>
      <c r="D45" s="68">
        <v>51.96</v>
      </c>
      <c r="E45" s="68">
        <v>63602.5</v>
      </c>
      <c r="F45" s="68">
        <v>58.87</v>
      </c>
      <c r="G45" s="68">
        <v>39.090000000000003</v>
      </c>
      <c r="H45" s="68">
        <v>63602.5</v>
      </c>
      <c r="I45" s="68">
        <v>1.4350000000000001</v>
      </c>
      <c r="J45" s="68">
        <v>0.56899999999999995</v>
      </c>
      <c r="K45" s="68">
        <v>63602.5</v>
      </c>
      <c r="L45" s="68">
        <v>2.133</v>
      </c>
      <c r="M45" s="68">
        <v>1.65</v>
      </c>
    </row>
    <row r="46" spans="1:13" ht="15" x14ac:dyDescent="0.25">
      <c r="A46" s="68">
        <v>60</v>
      </c>
      <c r="B46" s="68">
        <v>59304.3</v>
      </c>
      <c r="C46" s="68">
        <v>120.43</v>
      </c>
      <c r="D46" s="68">
        <v>50.7</v>
      </c>
      <c r="E46" s="68">
        <v>59304.3</v>
      </c>
      <c r="F46" s="68">
        <v>61.81</v>
      </c>
      <c r="G46" s="68">
        <v>38.83</v>
      </c>
      <c r="H46" s="68">
        <v>59304.3</v>
      </c>
      <c r="I46" s="68">
        <v>1.486</v>
      </c>
      <c r="J46" s="68">
        <v>0.55500000000000005</v>
      </c>
      <c r="K46" s="68">
        <v>59304.3</v>
      </c>
      <c r="L46" s="68">
        <v>2.1509999999999998</v>
      </c>
      <c r="M46" s="68">
        <v>1.6120000000000001</v>
      </c>
    </row>
    <row r="47" spans="1:13" ht="15" x14ac:dyDescent="0.25">
      <c r="A47" s="68">
        <v>87.7</v>
      </c>
      <c r="B47" s="68">
        <v>41220.699999999997</v>
      </c>
      <c r="C47" s="68">
        <v>140.58000000000001</v>
      </c>
      <c r="D47" s="68">
        <v>48.35</v>
      </c>
      <c r="E47" s="68">
        <v>41220.699999999997</v>
      </c>
      <c r="F47" s="68">
        <v>76.459999999999994</v>
      </c>
      <c r="G47" s="68">
        <v>37.619999999999997</v>
      </c>
      <c r="H47" s="68">
        <v>41220.699999999997</v>
      </c>
      <c r="I47" s="68">
        <v>1.68</v>
      </c>
      <c r="J47" s="68">
        <v>0.55500000000000005</v>
      </c>
      <c r="K47" s="68">
        <v>41220.699999999997</v>
      </c>
      <c r="L47" s="68">
        <v>1.82</v>
      </c>
      <c r="M47" s="68">
        <v>1.29</v>
      </c>
    </row>
    <row r="48" spans="1:13" ht="15" x14ac:dyDescent="0.25">
      <c r="A48" s="68">
        <v>90</v>
      </c>
      <c r="B48" s="68">
        <v>38831</v>
      </c>
      <c r="C48" s="68">
        <v>143.77000000000001</v>
      </c>
      <c r="D48" s="68">
        <v>48.03</v>
      </c>
      <c r="E48" s="68">
        <v>38831</v>
      </c>
      <c r="F48" s="68">
        <v>78.86</v>
      </c>
      <c r="G48" s="68">
        <v>37.36</v>
      </c>
      <c r="H48" s="68">
        <v>38831</v>
      </c>
      <c r="I48" s="68">
        <v>1.71</v>
      </c>
      <c r="J48" s="68">
        <v>0.55800000000000005</v>
      </c>
      <c r="K48" s="68">
        <v>38831</v>
      </c>
      <c r="L48" s="68">
        <v>1.74</v>
      </c>
      <c r="M48" s="68">
        <v>1.2010000000000001</v>
      </c>
    </row>
    <row r="49" spans="1:13" ht="15" x14ac:dyDescent="0.25">
      <c r="A49" s="68">
        <v>100</v>
      </c>
      <c r="B49" s="68">
        <v>31947.8</v>
      </c>
      <c r="C49" s="68">
        <v>154.38999999999999</v>
      </c>
      <c r="D49" s="68">
        <v>46.54</v>
      </c>
      <c r="E49" s="68">
        <v>31947.8</v>
      </c>
      <c r="F49" s="68">
        <v>86.78</v>
      </c>
      <c r="G49" s="68">
        <v>36.18</v>
      </c>
      <c r="H49" s="68">
        <v>31947.8</v>
      </c>
      <c r="I49" s="68">
        <v>1.81</v>
      </c>
      <c r="J49" s="68">
        <v>0.56200000000000006</v>
      </c>
      <c r="K49" s="68">
        <v>31947.8</v>
      </c>
      <c r="L49" s="68">
        <v>1.5069999999999999</v>
      </c>
      <c r="M49" s="68">
        <v>0.88600000000000001</v>
      </c>
    </row>
    <row r="50" spans="1:13" ht="15" x14ac:dyDescent="0.25">
      <c r="A50" s="68">
        <v>200</v>
      </c>
      <c r="B50" s="68">
        <v>6591.1</v>
      </c>
      <c r="C50" s="68">
        <v>226.6</v>
      </c>
      <c r="D50" s="68">
        <v>24.52</v>
      </c>
      <c r="E50" s="68">
        <v>6591.1</v>
      </c>
      <c r="F50" s="68">
        <v>137.5</v>
      </c>
      <c r="G50" s="68">
        <v>22.36</v>
      </c>
      <c r="H50" s="68">
        <v>6591.1</v>
      </c>
      <c r="I50" s="68">
        <v>2.5289999999999999</v>
      </c>
      <c r="J50" s="68">
        <v>0.43</v>
      </c>
      <c r="K50" s="68">
        <v>6591.1</v>
      </c>
      <c r="L50" s="68">
        <v>1.385</v>
      </c>
      <c r="M50" s="68">
        <v>0.41399999999999998</v>
      </c>
    </row>
    <row r="51" spans="1:13" ht="15" x14ac:dyDescent="0.25">
      <c r="A51" s="68">
        <v>300</v>
      </c>
      <c r="B51" s="68">
        <v>229.8</v>
      </c>
      <c r="C51" s="68">
        <v>310.58999999999997</v>
      </c>
      <c r="D51" s="68">
        <v>9.08</v>
      </c>
      <c r="E51" s="68">
        <v>229.8</v>
      </c>
      <c r="F51" s="68">
        <v>161.52000000000001</v>
      </c>
      <c r="G51" s="68">
        <v>6.89</v>
      </c>
      <c r="H51" s="68">
        <v>229.8</v>
      </c>
      <c r="I51" s="68">
        <v>3.806</v>
      </c>
      <c r="J51" s="68">
        <v>9.8000000000000004E-2</v>
      </c>
      <c r="K51" s="68">
        <v>229.8</v>
      </c>
      <c r="L51" s="68">
        <v>1.0429999999999999</v>
      </c>
      <c r="M51" s="68">
        <v>0.13800000000000001</v>
      </c>
    </row>
    <row r="53" spans="1:13" x14ac:dyDescent="0.2">
      <c r="A53" s="1"/>
      <c r="B53">
        <f>+B7+B20</f>
        <v>41220.699999999997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71" t="s">
        <v>5</v>
      </c>
      <c r="B56" s="71" t="s">
        <v>31</v>
      </c>
      <c r="C56" s="71" t="s">
        <v>50</v>
      </c>
      <c r="D56" s="71" t="s">
        <v>32</v>
      </c>
      <c r="E56" s="71" t="s">
        <v>123</v>
      </c>
      <c r="F56" s="71" t="s">
        <v>51</v>
      </c>
      <c r="G56" s="71" t="s">
        <v>124</v>
      </c>
      <c r="H56" s="71" t="s">
        <v>125</v>
      </c>
      <c r="I56" s="71" t="s">
        <v>52</v>
      </c>
      <c r="J56" s="71" t="s">
        <v>126</v>
      </c>
      <c r="K56" s="71" t="s">
        <v>127</v>
      </c>
      <c r="L56" s="71" t="s">
        <v>122</v>
      </c>
      <c r="M56" s="71" t="s">
        <v>128</v>
      </c>
    </row>
    <row r="57" spans="1:13" ht="15" x14ac:dyDescent="0.25">
      <c r="A57" s="70">
        <v>0</v>
      </c>
      <c r="B57" s="70">
        <v>251368.6</v>
      </c>
      <c r="C57" s="70">
        <v>113.64</v>
      </c>
      <c r="D57" s="70">
        <v>70.37</v>
      </c>
      <c r="E57" s="70">
        <v>237118</v>
      </c>
      <c r="F57" s="70">
        <v>66.959999999999994</v>
      </c>
      <c r="G57" s="70">
        <v>53.15</v>
      </c>
      <c r="H57" s="70">
        <v>237118</v>
      </c>
      <c r="I57" s="70">
        <v>1.4219999999999999</v>
      </c>
      <c r="J57" s="70">
        <v>0.78500000000000003</v>
      </c>
      <c r="K57" s="70">
        <v>251368.5</v>
      </c>
      <c r="L57" s="70">
        <v>1.4430000000000001</v>
      </c>
      <c r="M57" s="70">
        <v>1.1060000000000001</v>
      </c>
    </row>
    <row r="58" spans="1:13" ht="15" x14ac:dyDescent="0.25">
      <c r="A58" s="70">
        <v>20</v>
      </c>
      <c r="B58" s="70">
        <v>236533.2</v>
      </c>
      <c r="C58" s="70">
        <v>120.72</v>
      </c>
      <c r="D58" s="70">
        <v>66.41</v>
      </c>
      <c r="E58" s="70">
        <v>236533.2</v>
      </c>
      <c r="F58" s="70">
        <v>67.11</v>
      </c>
      <c r="G58" s="70">
        <v>53.13</v>
      </c>
      <c r="H58" s="70">
        <v>236533.2</v>
      </c>
      <c r="I58" s="70">
        <v>1.425</v>
      </c>
      <c r="J58" s="70">
        <v>0.78400000000000003</v>
      </c>
      <c r="K58" s="70">
        <v>236533.2</v>
      </c>
      <c r="L58" s="70">
        <v>1.4810000000000001</v>
      </c>
      <c r="M58" s="70">
        <v>1.1279999999999999</v>
      </c>
    </row>
    <row r="59" spans="1:13" ht="15" x14ac:dyDescent="0.25">
      <c r="A59" s="70">
        <v>40</v>
      </c>
      <c r="B59" s="70">
        <v>223897.3</v>
      </c>
      <c r="C59" s="70">
        <v>125.75</v>
      </c>
      <c r="D59" s="70">
        <v>64.69</v>
      </c>
      <c r="E59" s="70">
        <v>223897.3</v>
      </c>
      <c r="F59" s="70">
        <v>70.09</v>
      </c>
      <c r="G59" s="70">
        <v>53.03</v>
      </c>
      <c r="H59" s="70">
        <v>223897.3</v>
      </c>
      <c r="I59" s="70">
        <v>1.482</v>
      </c>
      <c r="J59" s="70">
        <v>0.76700000000000002</v>
      </c>
      <c r="K59" s="70">
        <v>223897.3</v>
      </c>
      <c r="L59" s="70">
        <v>1.5189999999999999</v>
      </c>
      <c r="M59" s="70">
        <v>1.1459999999999999</v>
      </c>
    </row>
    <row r="60" spans="1:13" ht="15" x14ac:dyDescent="0.25">
      <c r="A60" s="70">
        <v>60</v>
      </c>
      <c r="B60" s="70">
        <v>203036.9</v>
      </c>
      <c r="C60" s="70">
        <v>133.44999999999999</v>
      </c>
      <c r="D60" s="70">
        <v>63.05</v>
      </c>
      <c r="E60" s="70">
        <v>203036.9</v>
      </c>
      <c r="F60" s="70">
        <v>74.72</v>
      </c>
      <c r="G60" s="70">
        <v>53.45</v>
      </c>
      <c r="H60" s="70">
        <v>203036.9</v>
      </c>
      <c r="I60" s="70">
        <v>1.5680000000000001</v>
      </c>
      <c r="J60" s="70">
        <v>0.752</v>
      </c>
      <c r="K60" s="70">
        <v>203036.9</v>
      </c>
      <c r="L60" s="70">
        <v>1.569</v>
      </c>
      <c r="M60" s="70">
        <v>1.1439999999999999</v>
      </c>
    </row>
    <row r="61" spans="1:13" ht="15" x14ac:dyDescent="0.25">
      <c r="A61" s="70">
        <v>87.7</v>
      </c>
      <c r="B61" s="70">
        <v>145193.9</v>
      </c>
      <c r="C61" s="70">
        <v>157.19</v>
      </c>
      <c r="D61" s="70">
        <v>59.58</v>
      </c>
      <c r="E61" s="70">
        <v>145193.9</v>
      </c>
      <c r="F61" s="70">
        <v>90.53</v>
      </c>
      <c r="G61" s="70">
        <v>55.22</v>
      </c>
      <c r="H61" s="70">
        <v>145193.9</v>
      </c>
      <c r="I61" s="70">
        <v>1.8160000000000001</v>
      </c>
      <c r="J61" s="70">
        <v>0.747</v>
      </c>
      <c r="K61" s="70">
        <v>145193.9</v>
      </c>
      <c r="L61" s="70">
        <v>1.4990000000000001</v>
      </c>
      <c r="M61" s="70">
        <v>0.96</v>
      </c>
    </row>
    <row r="62" spans="1:13" ht="15" x14ac:dyDescent="0.25">
      <c r="A62" s="70">
        <v>90</v>
      </c>
      <c r="B62" s="70">
        <v>138977.5</v>
      </c>
      <c r="C62" s="70">
        <v>160.25</v>
      </c>
      <c r="D62" s="70">
        <v>59.07</v>
      </c>
      <c r="E62" s="70">
        <v>138977.5</v>
      </c>
      <c r="F62" s="70">
        <v>92.73</v>
      </c>
      <c r="G62" s="70">
        <v>55.36</v>
      </c>
      <c r="H62" s="70">
        <v>138977.5</v>
      </c>
      <c r="I62" s="70">
        <v>1.845</v>
      </c>
      <c r="J62" s="70">
        <v>0.749</v>
      </c>
      <c r="K62" s="70">
        <v>138977.5</v>
      </c>
      <c r="L62" s="70">
        <v>1.462</v>
      </c>
      <c r="M62" s="70">
        <v>0.89800000000000002</v>
      </c>
    </row>
    <row r="63" spans="1:13" ht="15" x14ac:dyDescent="0.25">
      <c r="A63" s="70">
        <v>100</v>
      </c>
      <c r="B63" s="70">
        <v>117648.2</v>
      </c>
      <c r="C63" s="70">
        <v>172.21</v>
      </c>
      <c r="D63" s="70">
        <v>56.47</v>
      </c>
      <c r="E63" s="70">
        <v>117648.2</v>
      </c>
      <c r="F63" s="70">
        <v>101.56</v>
      </c>
      <c r="G63" s="70">
        <v>55.49</v>
      </c>
      <c r="H63" s="70">
        <v>117648.2</v>
      </c>
      <c r="I63" s="70">
        <v>1.9590000000000001</v>
      </c>
      <c r="J63" s="70">
        <v>0.75700000000000001</v>
      </c>
      <c r="K63" s="70">
        <v>117648.2</v>
      </c>
      <c r="L63" s="70">
        <v>1.319</v>
      </c>
      <c r="M63" s="70">
        <v>0.629</v>
      </c>
    </row>
    <row r="64" spans="1:13" ht="15" x14ac:dyDescent="0.25">
      <c r="A64" s="70">
        <v>200</v>
      </c>
      <c r="B64" s="70">
        <v>30594.5</v>
      </c>
      <c r="C64" s="70">
        <v>244</v>
      </c>
      <c r="D64" s="70">
        <v>53.32</v>
      </c>
      <c r="E64" s="70">
        <v>30594.5</v>
      </c>
      <c r="F64" s="70">
        <v>163.28</v>
      </c>
      <c r="G64" s="70">
        <v>47.99</v>
      </c>
      <c r="H64" s="70">
        <v>30594.5</v>
      </c>
      <c r="I64" s="70">
        <v>2.532</v>
      </c>
      <c r="J64" s="70">
        <v>0.97899999999999998</v>
      </c>
      <c r="K64" s="70">
        <v>30594.5</v>
      </c>
      <c r="L64" s="70">
        <v>1.214</v>
      </c>
      <c r="M64" s="70">
        <v>0.36</v>
      </c>
    </row>
    <row r="65" spans="1:13" ht="15" x14ac:dyDescent="0.25">
      <c r="A65" s="70">
        <v>300</v>
      </c>
      <c r="B65" s="70">
        <v>4607.8999999999996</v>
      </c>
      <c r="C65" s="70">
        <v>353.04</v>
      </c>
      <c r="D65" s="70">
        <v>39.43</v>
      </c>
      <c r="E65" s="70">
        <v>4607.8999999999996</v>
      </c>
      <c r="F65" s="70">
        <v>199.81</v>
      </c>
      <c r="G65" s="70">
        <v>61.09</v>
      </c>
      <c r="H65" s="70">
        <v>4607.8999999999996</v>
      </c>
      <c r="I65" s="70">
        <v>4.1219999999999999</v>
      </c>
      <c r="J65" s="70">
        <v>0.41299999999999998</v>
      </c>
      <c r="K65" s="70">
        <v>4607.8999999999996</v>
      </c>
      <c r="L65" s="70">
        <v>1.1200000000000001</v>
      </c>
      <c r="M65" s="70">
        <v>0.30299999999999999</v>
      </c>
    </row>
    <row r="66" spans="1:13" ht="15" x14ac:dyDescent="0.25">
      <c r="A66" s="70">
        <v>400</v>
      </c>
      <c r="B66" s="70">
        <v>821.5</v>
      </c>
      <c r="C66" s="70">
        <v>417.52</v>
      </c>
      <c r="D66" s="70">
        <v>8.8000000000000007</v>
      </c>
      <c r="E66" s="70">
        <v>821.5</v>
      </c>
      <c r="F66" s="70">
        <v>285.99</v>
      </c>
      <c r="G66" s="70">
        <v>19.440000000000001</v>
      </c>
      <c r="H66" s="70">
        <v>821.5</v>
      </c>
      <c r="I66" s="70">
        <v>4.25</v>
      </c>
      <c r="J66" s="70">
        <v>0.17499999999999999</v>
      </c>
      <c r="K66" s="70">
        <v>821.5</v>
      </c>
      <c r="L66" s="70">
        <v>1.06</v>
      </c>
      <c r="M66" s="70">
        <v>0.17599999999999999</v>
      </c>
    </row>
    <row r="67" spans="1:13" x14ac:dyDescent="0.2">
      <c r="A67" s="1"/>
      <c r="B67">
        <f>+B7+B20+B33</f>
        <v>145193.9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25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x14ac:dyDescent="0.2">
      <c r="A15" t="s">
        <v>5</v>
      </c>
      <c r="B15" t="s">
        <v>31</v>
      </c>
      <c r="C15" t="s">
        <v>50</v>
      </c>
      <c r="D15" t="s">
        <v>32</v>
      </c>
      <c r="E15" t="s">
        <v>31</v>
      </c>
      <c r="F15" t="s">
        <v>51</v>
      </c>
      <c r="G15" t="s">
        <v>32</v>
      </c>
      <c r="H15" t="s">
        <v>31</v>
      </c>
      <c r="I15" t="s">
        <v>52</v>
      </c>
      <c r="J15" t="s">
        <v>32</v>
      </c>
      <c r="K15" t="s">
        <v>31</v>
      </c>
      <c r="L15" t="s">
        <v>122</v>
      </c>
      <c r="M15" t="s">
        <v>32</v>
      </c>
    </row>
    <row r="20" spans="1:13" x14ac:dyDescent="0.2">
      <c r="B20" s="4"/>
      <c r="C20" s="4"/>
      <c r="D20" s="4"/>
      <c r="E20" s="4"/>
      <c r="F20" s="4"/>
      <c r="G20" s="4"/>
      <c r="H20" s="4"/>
      <c r="I20" s="4"/>
      <c r="J20" s="4"/>
    </row>
    <row r="27" spans="1:13" x14ac:dyDescent="0.2">
      <c r="A27" s="5" t="s">
        <v>34</v>
      </c>
    </row>
    <row r="28" spans="1:13" ht="15" x14ac:dyDescent="0.2">
      <c r="A28" s="73" t="s">
        <v>5</v>
      </c>
      <c r="B28" s="73" t="s">
        <v>31</v>
      </c>
      <c r="C28" s="73" t="s">
        <v>50</v>
      </c>
      <c r="D28" s="73" t="s">
        <v>32</v>
      </c>
      <c r="E28" s="73" t="s">
        <v>123</v>
      </c>
      <c r="F28" s="73" t="s">
        <v>51</v>
      </c>
      <c r="G28" s="73" t="s">
        <v>124</v>
      </c>
      <c r="H28" s="73" t="s">
        <v>125</v>
      </c>
      <c r="I28" s="73" t="s">
        <v>52</v>
      </c>
      <c r="J28" s="73" t="s">
        <v>126</v>
      </c>
      <c r="K28" s="73" t="s">
        <v>127</v>
      </c>
      <c r="L28" s="73" t="s">
        <v>122</v>
      </c>
      <c r="M28" s="73" t="s">
        <v>128</v>
      </c>
    </row>
    <row r="29" spans="1:13" ht="15" x14ac:dyDescent="0.25">
      <c r="A29" s="72">
        <v>0</v>
      </c>
      <c r="B29" s="72">
        <v>627763.30000000005</v>
      </c>
      <c r="C29" s="72">
        <v>130.53</v>
      </c>
      <c r="D29" s="72">
        <v>76.31</v>
      </c>
      <c r="E29" s="72">
        <v>597263.9</v>
      </c>
      <c r="F29" s="72">
        <v>47.02</v>
      </c>
      <c r="G29" s="72">
        <v>34.619999999999997</v>
      </c>
      <c r="H29" s="72">
        <v>597263.9</v>
      </c>
      <c r="I29" s="72">
        <v>1.9870000000000001</v>
      </c>
      <c r="J29" s="72">
        <v>1.161</v>
      </c>
      <c r="K29" s="72">
        <v>627763.19999999995</v>
      </c>
      <c r="L29" s="72">
        <v>1.8440000000000001</v>
      </c>
      <c r="M29" s="72">
        <v>1.5489999999999999</v>
      </c>
    </row>
    <row r="30" spans="1:13" ht="15" x14ac:dyDescent="0.25">
      <c r="A30" s="72">
        <v>20</v>
      </c>
      <c r="B30" s="72">
        <v>594660.6</v>
      </c>
      <c r="C30" s="72">
        <v>137.72999999999999</v>
      </c>
      <c r="D30" s="72">
        <v>71.849999999999994</v>
      </c>
      <c r="E30" s="72">
        <v>594660.6</v>
      </c>
      <c r="F30" s="72">
        <v>47.21</v>
      </c>
      <c r="G30" s="72">
        <v>34.58</v>
      </c>
      <c r="H30" s="72">
        <v>594660.6</v>
      </c>
      <c r="I30" s="72">
        <v>1.9950000000000001</v>
      </c>
      <c r="J30" s="72">
        <v>1.1579999999999999</v>
      </c>
      <c r="K30" s="72">
        <v>594660.6</v>
      </c>
      <c r="L30" s="72">
        <v>1.901</v>
      </c>
      <c r="M30" s="72">
        <v>1.5720000000000001</v>
      </c>
    </row>
    <row r="31" spans="1:13" ht="15" x14ac:dyDescent="0.25">
      <c r="A31" s="72">
        <v>40</v>
      </c>
      <c r="B31" s="72">
        <v>573341.1</v>
      </c>
      <c r="C31" s="72">
        <v>141.68</v>
      </c>
      <c r="D31" s="72">
        <v>70.14</v>
      </c>
      <c r="E31" s="72">
        <v>573341.1</v>
      </c>
      <c r="F31" s="72">
        <v>48.51</v>
      </c>
      <c r="G31" s="72">
        <v>34.51</v>
      </c>
      <c r="H31" s="72">
        <v>573341.1</v>
      </c>
      <c r="I31" s="72">
        <v>2.0529999999999999</v>
      </c>
      <c r="J31" s="72">
        <v>1.139</v>
      </c>
      <c r="K31" s="72">
        <v>573341.1</v>
      </c>
      <c r="L31" s="72">
        <v>1.9410000000000001</v>
      </c>
      <c r="M31" s="72">
        <v>1.585</v>
      </c>
    </row>
    <row r="32" spans="1:13" ht="15" x14ac:dyDescent="0.25">
      <c r="A32" s="72">
        <v>60</v>
      </c>
      <c r="B32" s="72">
        <v>534053.69999999995</v>
      </c>
      <c r="C32" s="72">
        <v>148.38</v>
      </c>
      <c r="D32" s="72">
        <v>68</v>
      </c>
      <c r="E32" s="72">
        <v>534053.69999999995</v>
      </c>
      <c r="F32" s="72">
        <v>50.64</v>
      </c>
      <c r="G32" s="72">
        <v>34.69</v>
      </c>
      <c r="H32" s="72">
        <v>534053.69999999995</v>
      </c>
      <c r="I32" s="72">
        <v>2.1520000000000001</v>
      </c>
      <c r="J32" s="72">
        <v>1.117</v>
      </c>
      <c r="K32" s="72">
        <v>534053.69999999995</v>
      </c>
      <c r="L32" s="72">
        <v>2.0019999999999998</v>
      </c>
      <c r="M32" s="72">
        <v>1.595</v>
      </c>
    </row>
    <row r="33" spans="1:13" ht="15" x14ac:dyDescent="0.25">
      <c r="A33" s="72">
        <v>87.7</v>
      </c>
      <c r="B33" s="72">
        <v>442133.5</v>
      </c>
      <c r="C33" s="72">
        <v>163.46</v>
      </c>
      <c r="D33" s="72">
        <v>65.209999999999994</v>
      </c>
      <c r="E33" s="72">
        <v>442133.5</v>
      </c>
      <c r="F33" s="72">
        <v>54.84</v>
      </c>
      <c r="G33" s="72">
        <v>35.86</v>
      </c>
      <c r="H33" s="72">
        <v>442133.5</v>
      </c>
      <c r="I33" s="72">
        <v>2.3820000000000001</v>
      </c>
      <c r="J33" s="72">
        <v>1.089</v>
      </c>
      <c r="K33" s="72">
        <v>442133.5</v>
      </c>
      <c r="L33" s="72">
        <v>2.0640000000000001</v>
      </c>
      <c r="M33" s="72">
        <v>1.601</v>
      </c>
    </row>
    <row r="34" spans="1:13" ht="15" x14ac:dyDescent="0.25">
      <c r="A34" s="72">
        <v>90</v>
      </c>
      <c r="B34" s="72">
        <v>434892.3</v>
      </c>
      <c r="C34" s="72">
        <v>164.7</v>
      </c>
      <c r="D34" s="72">
        <v>65.03</v>
      </c>
      <c r="E34" s="72">
        <v>434892.3</v>
      </c>
      <c r="F34" s="72">
        <v>55.19</v>
      </c>
      <c r="G34" s="72">
        <v>35.97</v>
      </c>
      <c r="H34" s="72">
        <v>434892.3</v>
      </c>
      <c r="I34" s="72">
        <v>2.4009999999999998</v>
      </c>
      <c r="J34" s="72">
        <v>1.0880000000000001</v>
      </c>
      <c r="K34" s="72">
        <v>434892.3</v>
      </c>
      <c r="L34" s="72">
        <v>2.069</v>
      </c>
      <c r="M34" s="72">
        <v>1.5980000000000001</v>
      </c>
    </row>
    <row r="35" spans="1:13" ht="15" x14ac:dyDescent="0.25">
      <c r="A35" s="72">
        <v>100</v>
      </c>
      <c r="B35" s="72">
        <v>404406</v>
      </c>
      <c r="C35" s="72">
        <v>169.95</v>
      </c>
      <c r="D35" s="72">
        <v>64.45</v>
      </c>
      <c r="E35" s="72">
        <v>404406</v>
      </c>
      <c r="F35" s="72">
        <v>56.64</v>
      </c>
      <c r="G35" s="72">
        <v>36.61</v>
      </c>
      <c r="H35" s="72">
        <v>404406</v>
      </c>
      <c r="I35" s="72">
        <v>2.4820000000000002</v>
      </c>
      <c r="J35" s="72">
        <v>1.085</v>
      </c>
      <c r="K35" s="72">
        <v>404406</v>
      </c>
      <c r="L35" s="72">
        <v>2.1059999999999999</v>
      </c>
      <c r="M35" s="72">
        <v>1.599</v>
      </c>
    </row>
    <row r="36" spans="1:13" ht="15" x14ac:dyDescent="0.25">
      <c r="A36" s="72">
        <v>200</v>
      </c>
      <c r="B36" s="72">
        <v>91027</v>
      </c>
      <c r="C36" s="72">
        <v>267.39</v>
      </c>
      <c r="D36" s="72">
        <v>61.19</v>
      </c>
      <c r="E36" s="72">
        <v>91027</v>
      </c>
      <c r="F36" s="72">
        <v>75.19</v>
      </c>
      <c r="G36" s="72">
        <v>49.68</v>
      </c>
      <c r="H36" s="72">
        <v>91027</v>
      </c>
      <c r="I36" s="72">
        <v>4.08</v>
      </c>
      <c r="J36" s="72">
        <v>0.93300000000000005</v>
      </c>
      <c r="K36" s="72">
        <v>91027</v>
      </c>
      <c r="L36" s="72">
        <v>2.387</v>
      </c>
      <c r="M36" s="72">
        <v>1.575</v>
      </c>
    </row>
    <row r="37" spans="1:13" ht="15" x14ac:dyDescent="0.25">
      <c r="A37" s="72">
        <v>300</v>
      </c>
      <c r="B37" s="72">
        <v>19115.400000000001</v>
      </c>
      <c r="C37" s="72">
        <v>361.17</v>
      </c>
      <c r="D37" s="72">
        <v>60.29</v>
      </c>
      <c r="E37" s="72">
        <v>19115.400000000001</v>
      </c>
      <c r="F37" s="72">
        <v>116.17</v>
      </c>
      <c r="G37" s="72">
        <v>76.459999999999994</v>
      </c>
      <c r="H37" s="72">
        <v>19115.400000000001</v>
      </c>
      <c r="I37" s="72">
        <v>5.327</v>
      </c>
      <c r="J37" s="72">
        <v>0.79200000000000004</v>
      </c>
      <c r="K37" s="72">
        <v>19115.400000000001</v>
      </c>
      <c r="L37" s="72">
        <v>1.3420000000000001</v>
      </c>
      <c r="M37" s="72">
        <v>0.71299999999999997</v>
      </c>
    </row>
    <row r="38" spans="1:13" ht="15" x14ac:dyDescent="0.25">
      <c r="A38" s="72">
        <v>400</v>
      </c>
      <c r="B38" s="72">
        <v>4037.5</v>
      </c>
      <c r="C38" s="72">
        <v>461</v>
      </c>
      <c r="D38" s="72">
        <v>42.52</v>
      </c>
      <c r="E38" s="72">
        <v>4037.5</v>
      </c>
      <c r="F38" s="72">
        <v>225.44</v>
      </c>
      <c r="G38" s="72">
        <v>73.98</v>
      </c>
      <c r="H38" s="72">
        <v>4037.5</v>
      </c>
      <c r="I38" s="72">
        <v>5.8289999999999997</v>
      </c>
      <c r="J38" s="72">
        <v>0.89100000000000001</v>
      </c>
      <c r="K38" s="72">
        <v>4037.5</v>
      </c>
      <c r="L38" s="72">
        <v>1.0209999999999999</v>
      </c>
      <c r="M38" s="72">
        <v>0.31</v>
      </c>
    </row>
    <row r="41" spans="1:13" x14ac:dyDescent="0.2">
      <c r="A41" s="5" t="s">
        <v>35</v>
      </c>
    </row>
    <row r="42" spans="1:13" x14ac:dyDescent="0.2">
      <c r="A42" t="s">
        <v>5</v>
      </c>
      <c r="B42" t="s">
        <v>31</v>
      </c>
      <c r="C42" t="s">
        <v>50</v>
      </c>
      <c r="D42" t="s">
        <v>32</v>
      </c>
      <c r="E42" t="s">
        <v>31</v>
      </c>
      <c r="F42" t="s">
        <v>51</v>
      </c>
      <c r="G42" t="s">
        <v>32</v>
      </c>
      <c r="H42" t="s">
        <v>31</v>
      </c>
      <c r="I42" t="s">
        <v>52</v>
      </c>
      <c r="J42" t="s">
        <v>32</v>
      </c>
      <c r="K42" t="s">
        <v>31</v>
      </c>
      <c r="L42" t="s">
        <v>122</v>
      </c>
      <c r="M42" t="s">
        <v>32</v>
      </c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53" spans="1:13" x14ac:dyDescent="0.2">
      <c r="A53" s="1"/>
      <c r="B53">
        <f>+B7+B20</f>
        <v>0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75" t="s">
        <v>5</v>
      </c>
      <c r="B56" s="75" t="s">
        <v>31</v>
      </c>
      <c r="C56" s="75" t="s">
        <v>50</v>
      </c>
      <c r="D56" s="75" t="s">
        <v>32</v>
      </c>
      <c r="E56" s="75" t="s">
        <v>123</v>
      </c>
      <c r="F56" s="75" t="s">
        <v>51</v>
      </c>
      <c r="G56" s="75" t="s">
        <v>124</v>
      </c>
      <c r="H56" s="75" t="s">
        <v>125</v>
      </c>
      <c r="I56" s="75" t="s">
        <v>52</v>
      </c>
      <c r="J56" s="75" t="s">
        <v>126</v>
      </c>
      <c r="K56" s="75" t="s">
        <v>127</v>
      </c>
      <c r="L56" s="75" t="s">
        <v>122</v>
      </c>
      <c r="M56" s="75" t="s">
        <v>128</v>
      </c>
    </row>
    <row r="57" spans="1:13" ht="15" x14ac:dyDescent="0.25">
      <c r="A57" s="74">
        <v>0</v>
      </c>
      <c r="B57" s="74">
        <v>627763.30000000005</v>
      </c>
      <c r="C57" s="74">
        <v>130.53</v>
      </c>
      <c r="D57" s="74">
        <v>76.31</v>
      </c>
      <c r="E57" s="74">
        <v>597263.9</v>
      </c>
      <c r="F57" s="74">
        <v>47.02</v>
      </c>
      <c r="G57" s="74">
        <v>34.619999999999997</v>
      </c>
      <c r="H57" s="74">
        <v>597263.9</v>
      </c>
      <c r="I57" s="74">
        <v>1.9870000000000001</v>
      </c>
      <c r="J57" s="74">
        <v>1.161</v>
      </c>
      <c r="K57" s="74">
        <v>627763.19999999995</v>
      </c>
      <c r="L57" s="74">
        <v>1.8440000000000001</v>
      </c>
      <c r="M57" s="74">
        <v>1.5489999999999999</v>
      </c>
    </row>
    <row r="58" spans="1:13" ht="15" x14ac:dyDescent="0.25">
      <c r="A58" s="74">
        <v>20</v>
      </c>
      <c r="B58" s="74">
        <v>594660.6</v>
      </c>
      <c r="C58" s="74">
        <v>137.72999999999999</v>
      </c>
      <c r="D58" s="74">
        <v>71.849999999999994</v>
      </c>
      <c r="E58" s="74">
        <v>594660.6</v>
      </c>
      <c r="F58" s="74">
        <v>47.21</v>
      </c>
      <c r="G58" s="74">
        <v>34.58</v>
      </c>
      <c r="H58" s="74">
        <v>594660.6</v>
      </c>
      <c r="I58" s="74">
        <v>1.9950000000000001</v>
      </c>
      <c r="J58" s="74">
        <v>1.1579999999999999</v>
      </c>
      <c r="K58" s="74">
        <v>594660.6</v>
      </c>
      <c r="L58" s="74">
        <v>1.901</v>
      </c>
      <c r="M58" s="74">
        <v>1.5720000000000001</v>
      </c>
    </row>
    <row r="59" spans="1:13" ht="15" x14ac:dyDescent="0.25">
      <c r="A59" s="74">
        <v>40</v>
      </c>
      <c r="B59" s="74">
        <v>573341.1</v>
      </c>
      <c r="C59" s="74">
        <v>141.68</v>
      </c>
      <c r="D59" s="74">
        <v>70.14</v>
      </c>
      <c r="E59" s="74">
        <v>573341.1</v>
      </c>
      <c r="F59" s="74">
        <v>48.51</v>
      </c>
      <c r="G59" s="74">
        <v>34.51</v>
      </c>
      <c r="H59" s="74">
        <v>573341.1</v>
      </c>
      <c r="I59" s="74">
        <v>2.0529999999999999</v>
      </c>
      <c r="J59" s="74">
        <v>1.139</v>
      </c>
      <c r="K59" s="74">
        <v>573341.1</v>
      </c>
      <c r="L59" s="74">
        <v>1.9410000000000001</v>
      </c>
      <c r="M59" s="74">
        <v>1.585</v>
      </c>
    </row>
    <row r="60" spans="1:13" ht="15" x14ac:dyDescent="0.25">
      <c r="A60" s="74">
        <v>60</v>
      </c>
      <c r="B60" s="74">
        <v>534053.69999999995</v>
      </c>
      <c r="C60" s="74">
        <v>148.38</v>
      </c>
      <c r="D60" s="74">
        <v>68</v>
      </c>
      <c r="E60" s="74">
        <v>534053.69999999995</v>
      </c>
      <c r="F60" s="74">
        <v>50.64</v>
      </c>
      <c r="G60" s="74">
        <v>34.69</v>
      </c>
      <c r="H60" s="74">
        <v>534053.69999999995</v>
      </c>
      <c r="I60" s="74">
        <v>2.1520000000000001</v>
      </c>
      <c r="J60" s="74">
        <v>1.117</v>
      </c>
      <c r="K60" s="74">
        <v>534053.69999999995</v>
      </c>
      <c r="L60" s="74">
        <v>2.0019999999999998</v>
      </c>
      <c r="M60" s="74">
        <v>1.595</v>
      </c>
    </row>
    <row r="61" spans="1:13" ht="15" x14ac:dyDescent="0.25">
      <c r="A61" s="74">
        <v>87.7</v>
      </c>
      <c r="B61" s="74">
        <v>442133.5</v>
      </c>
      <c r="C61" s="74">
        <v>163.46</v>
      </c>
      <c r="D61" s="74">
        <v>65.209999999999994</v>
      </c>
      <c r="E61" s="74">
        <v>442133.5</v>
      </c>
      <c r="F61" s="74">
        <v>54.84</v>
      </c>
      <c r="G61" s="74">
        <v>35.86</v>
      </c>
      <c r="H61" s="74">
        <v>442133.5</v>
      </c>
      <c r="I61" s="74">
        <v>2.3820000000000001</v>
      </c>
      <c r="J61" s="74">
        <v>1.089</v>
      </c>
      <c r="K61" s="74">
        <v>442133.5</v>
      </c>
      <c r="L61" s="74">
        <v>2.0640000000000001</v>
      </c>
      <c r="M61" s="74">
        <v>1.601</v>
      </c>
    </row>
    <row r="62" spans="1:13" ht="15" x14ac:dyDescent="0.25">
      <c r="A62" s="74">
        <v>90</v>
      </c>
      <c r="B62" s="74">
        <v>434892.3</v>
      </c>
      <c r="C62" s="74">
        <v>164.7</v>
      </c>
      <c r="D62" s="74">
        <v>65.03</v>
      </c>
      <c r="E62" s="74">
        <v>434892.3</v>
      </c>
      <c r="F62" s="74">
        <v>55.19</v>
      </c>
      <c r="G62" s="74">
        <v>35.97</v>
      </c>
      <c r="H62" s="74">
        <v>434892.3</v>
      </c>
      <c r="I62" s="74">
        <v>2.4009999999999998</v>
      </c>
      <c r="J62" s="74">
        <v>1.0880000000000001</v>
      </c>
      <c r="K62" s="74">
        <v>434892.3</v>
      </c>
      <c r="L62" s="74">
        <v>2.069</v>
      </c>
      <c r="M62" s="74">
        <v>1.5980000000000001</v>
      </c>
    </row>
    <row r="63" spans="1:13" ht="15" x14ac:dyDescent="0.25">
      <c r="A63" s="74">
        <v>100</v>
      </c>
      <c r="B63" s="74">
        <v>404406</v>
      </c>
      <c r="C63" s="74">
        <v>169.95</v>
      </c>
      <c r="D63" s="74">
        <v>64.45</v>
      </c>
      <c r="E63" s="74">
        <v>404406</v>
      </c>
      <c r="F63" s="74">
        <v>56.64</v>
      </c>
      <c r="G63" s="74">
        <v>36.61</v>
      </c>
      <c r="H63" s="74">
        <v>404406</v>
      </c>
      <c r="I63" s="74">
        <v>2.4820000000000002</v>
      </c>
      <c r="J63" s="74">
        <v>1.085</v>
      </c>
      <c r="K63" s="74">
        <v>404406</v>
      </c>
      <c r="L63" s="74">
        <v>2.1059999999999999</v>
      </c>
      <c r="M63" s="74">
        <v>1.599</v>
      </c>
    </row>
    <row r="64" spans="1:13" ht="15" x14ac:dyDescent="0.25">
      <c r="A64" s="74">
        <v>200</v>
      </c>
      <c r="B64" s="74">
        <v>91027</v>
      </c>
      <c r="C64" s="74">
        <v>267.39</v>
      </c>
      <c r="D64" s="74">
        <v>61.19</v>
      </c>
      <c r="E64" s="74">
        <v>91027</v>
      </c>
      <c r="F64" s="74">
        <v>75.19</v>
      </c>
      <c r="G64" s="74">
        <v>49.68</v>
      </c>
      <c r="H64" s="74">
        <v>91027</v>
      </c>
      <c r="I64" s="74">
        <v>4.08</v>
      </c>
      <c r="J64" s="74">
        <v>0.93300000000000005</v>
      </c>
      <c r="K64" s="74">
        <v>91027</v>
      </c>
      <c r="L64" s="74">
        <v>2.387</v>
      </c>
      <c r="M64" s="74">
        <v>1.575</v>
      </c>
    </row>
    <row r="65" spans="1:13" ht="15" x14ac:dyDescent="0.25">
      <c r="A65" s="74">
        <v>300</v>
      </c>
      <c r="B65" s="74">
        <v>19115.400000000001</v>
      </c>
      <c r="C65" s="74">
        <v>361.17</v>
      </c>
      <c r="D65" s="74">
        <v>60.29</v>
      </c>
      <c r="E65" s="74">
        <v>19115.400000000001</v>
      </c>
      <c r="F65" s="74">
        <v>116.17</v>
      </c>
      <c r="G65" s="74">
        <v>76.459999999999994</v>
      </c>
      <c r="H65" s="74">
        <v>19115.400000000001</v>
      </c>
      <c r="I65" s="74">
        <v>5.327</v>
      </c>
      <c r="J65" s="74">
        <v>0.79200000000000004</v>
      </c>
      <c r="K65" s="74">
        <v>19115.400000000001</v>
      </c>
      <c r="L65" s="74">
        <v>1.3420000000000001</v>
      </c>
      <c r="M65" s="74">
        <v>0.71299999999999997</v>
      </c>
    </row>
    <row r="66" spans="1:13" ht="15" x14ac:dyDescent="0.25">
      <c r="A66" s="74">
        <v>400</v>
      </c>
      <c r="B66" s="74">
        <v>4037.5</v>
      </c>
      <c r="C66" s="74">
        <v>461</v>
      </c>
      <c r="D66" s="74">
        <v>42.52</v>
      </c>
      <c r="E66" s="74">
        <v>4037.5</v>
      </c>
      <c r="F66" s="74">
        <v>225.44</v>
      </c>
      <c r="G66" s="74">
        <v>73.98</v>
      </c>
      <c r="H66" s="74">
        <v>4037.5</v>
      </c>
      <c r="I66" s="74">
        <v>5.8289999999999997</v>
      </c>
      <c r="J66" s="74">
        <v>0.89100000000000001</v>
      </c>
      <c r="K66" s="74">
        <v>4037.5</v>
      </c>
      <c r="L66" s="74">
        <v>1.0209999999999999</v>
      </c>
      <c r="M66" s="74">
        <v>0.31</v>
      </c>
    </row>
    <row r="68" spans="1:13" x14ac:dyDescent="0.2">
      <c r="A68" s="1"/>
      <c r="B68">
        <f>+B7+B20+B33</f>
        <v>442133.5</v>
      </c>
    </row>
    <row r="69" spans="1:13" x14ac:dyDescent="0.2">
      <c r="A69" s="3"/>
      <c r="B69" s="6">
        <f>+B61-B68</f>
        <v>0</v>
      </c>
      <c r="C69" s="6"/>
      <c r="D69" s="6"/>
      <c r="E6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9" workbookViewId="0">
      <selection activeCell="A56" sqref="A56:M6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ht="15" x14ac:dyDescent="0.2">
      <c r="A2" s="87" t="s">
        <v>5</v>
      </c>
      <c r="B2" s="87" t="s">
        <v>31</v>
      </c>
      <c r="C2" s="87" t="s">
        <v>50</v>
      </c>
      <c r="D2" s="87" t="s">
        <v>32</v>
      </c>
      <c r="E2" s="87" t="s">
        <v>123</v>
      </c>
      <c r="F2" s="87" t="s">
        <v>51</v>
      </c>
      <c r="G2" s="87" t="s">
        <v>124</v>
      </c>
      <c r="H2" s="87" t="s">
        <v>125</v>
      </c>
      <c r="I2" s="87" t="s">
        <v>52</v>
      </c>
      <c r="J2" s="87" t="s">
        <v>126</v>
      </c>
      <c r="K2" s="87" t="s">
        <v>127</v>
      </c>
      <c r="L2" s="87" t="s">
        <v>122</v>
      </c>
      <c r="M2" s="87" t="s">
        <v>128</v>
      </c>
    </row>
    <row r="3" spans="1:13" ht="15" x14ac:dyDescent="0.25">
      <c r="A3" s="86">
        <v>0</v>
      </c>
      <c r="B3" s="86">
        <v>22623.1</v>
      </c>
      <c r="C3" s="86">
        <v>168.77</v>
      </c>
      <c r="D3" s="86">
        <v>61.14</v>
      </c>
      <c r="E3" s="86">
        <v>22005.599999999999</v>
      </c>
      <c r="F3" s="86">
        <v>106.72</v>
      </c>
      <c r="G3" s="86">
        <v>43.75</v>
      </c>
      <c r="H3" s="86">
        <v>22005.599999999999</v>
      </c>
      <c r="I3" s="86">
        <v>1.919</v>
      </c>
      <c r="J3" s="86">
        <v>0.77700000000000002</v>
      </c>
      <c r="K3" s="86">
        <v>22623.1</v>
      </c>
      <c r="L3" s="86">
        <v>1.7310000000000001</v>
      </c>
      <c r="M3" s="86">
        <v>1.05</v>
      </c>
    </row>
    <row r="4" spans="1:13" ht="15" x14ac:dyDescent="0.25">
      <c r="A4" s="86">
        <v>20</v>
      </c>
      <c r="B4" s="86">
        <v>21982.1</v>
      </c>
      <c r="C4" s="86">
        <v>173.67</v>
      </c>
      <c r="D4" s="86">
        <v>54.76</v>
      </c>
      <c r="E4" s="86">
        <v>21982.1</v>
      </c>
      <c r="F4" s="86">
        <v>106.82</v>
      </c>
      <c r="G4" s="86">
        <v>43.66</v>
      </c>
      <c r="H4" s="86">
        <v>21982.1</v>
      </c>
      <c r="I4" s="86">
        <v>1.921</v>
      </c>
      <c r="J4" s="86">
        <v>0.77500000000000002</v>
      </c>
      <c r="K4" s="86">
        <v>21982.1</v>
      </c>
      <c r="L4" s="86">
        <v>1.7549999999999999</v>
      </c>
      <c r="M4" s="86">
        <v>1.0529999999999999</v>
      </c>
    </row>
    <row r="5" spans="1:13" ht="15" x14ac:dyDescent="0.25">
      <c r="A5" s="86">
        <v>40</v>
      </c>
      <c r="B5" s="86">
        <v>21824.400000000001</v>
      </c>
      <c r="C5" s="86">
        <v>174.73</v>
      </c>
      <c r="D5" s="86">
        <v>53.52</v>
      </c>
      <c r="E5" s="86">
        <v>21824.400000000001</v>
      </c>
      <c r="F5" s="86">
        <v>107.47</v>
      </c>
      <c r="G5" s="86">
        <v>43.14</v>
      </c>
      <c r="H5" s="86">
        <v>21824.400000000001</v>
      </c>
      <c r="I5" s="86">
        <v>1.9319999999999999</v>
      </c>
      <c r="J5" s="86">
        <v>0.76600000000000001</v>
      </c>
      <c r="K5" s="86">
        <v>21824.400000000001</v>
      </c>
      <c r="L5" s="86">
        <v>1.762</v>
      </c>
      <c r="M5" s="86">
        <v>1.054</v>
      </c>
    </row>
    <row r="6" spans="1:13" ht="15" x14ac:dyDescent="0.25">
      <c r="A6" s="86">
        <v>60</v>
      </c>
      <c r="B6" s="86">
        <v>21542.9</v>
      </c>
      <c r="C6" s="86">
        <v>176.33</v>
      </c>
      <c r="D6" s="86">
        <v>52</v>
      </c>
      <c r="E6" s="86">
        <v>21542.9</v>
      </c>
      <c r="F6" s="86">
        <v>108.41</v>
      </c>
      <c r="G6" s="86">
        <v>42.59</v>
      </c>
      <c r="H6" s="86">
        <v>21542.9</v>
      </c>
      <c r="I6" s="86">
        <v>1.95</v>
      </c>
      <c r="J6" s="86">
        <v>0.754</v>
      </c>
      <c r="K6" s="86">
        <v>21542.9</v>
      </c>
      <c r="L6" s="86">
        <v>1.774</v>
      </c>
      <c r="M6" s="86">
        <v>1.0549999999999999</v>
      </c>
    </row>
    <row r="7" spans="1:13" ht="15" x14ac:dyDescent="0.25">
      <c r="A7" s="86">
        <v>87.7</v>
      </c>
      <c r="B7" s="86">
        <v>20509.2</v>
      </c>
      <c r="C7" s="86">
        <v>181.4</v>
      </c>
      <c r="D7" s="86">
        <v>47.96</v>
      </c>
      <c r="E7" s="86">
        <v>20509.2</v>
      </c>
      <c r="F7" s="86">
        <v>111.35</v>
      </c>
      <c r="G7" s="86">
        <v>41.3</v>
      </c>
      <c r="H7" s="86">
        <v>20509.2</v>
      </c>
      <c r="I7" s="86">
        <v>2.0089999999999999</v>
      </c>
      <c r="J7" s="86">
        <v>0.72299999999999998</v>
      </c>
      <c r="K7" s="86">
        <v>20509.2</v>
      </c>
      <c r="L7" s="86">
        <v>1.8049999999999999</v>
      </c>
      <c r="M7" s="86">
        <v>1.06</v>
      </c>
    </row>
    <row r="8" spans="1:13" ht="15" x14ac:dyDescent="0.25">
      <c r="A8" s="86">
        <v>90</v>
      </c>
      <c r="B8" s="86">
        <v>20442.400000000001</v>
      </c>
      <c r="C8" s="86">
        <v>181.71</v>
      </c>
      <c r="D8" s="86">
        <v>47.75</v>
      </c>
      <c r="E8" s="86">
        <v>20442.400000000001</v>
      </c>
      <c r="F8" s="86">
        <v>111.5</v>
      </c>
      <c r="G8" s="86">
        <v>41.27</v>
      </c>
      <c r="H8" s="86">
        <v>20442.400000000001</v>
      </c>
      <c r="I8" s="86">
        <v>2.0129999999999999</v>
      </c>
      <c r="J8" s="86">
        <v>0.72</v>
      </c>
      <c r="K8" s="86">
        <v>20442.400000000001</v>
      </c>
      <c r="L8" s="86">
        <v>1.8089999999999999</v>
      </c>
      <c r="M8" s="86">
        <v>1.06</v>
      </c>
    </row>
    <row r="9" spans="1:13" ht="15" x14ac:dyDescent="0.25">
      <c r="A9" s="86">
        <v>100</v>
      </c>
      <c r="B9" s="86">
        <v>19888.599999999999</v>
      </c>
      <c r="C9" s="86">
        <v>184.15</v>
      </c>
      <c r="D9" s="86">
        <v>46.07</v>
      </c>
      <c r="E9" s="86">
        <v>19888.599999999999</v>
      </c>
      <c r="F9" s="86">
        <v>112.63</v>
      </c>
      <c r="G9" s="86">
        <v>41.11</v>
      </c>
      <c r="H9" s="86">
        <v>19888.599999999999</v>
      </c>
      <c r="I9" s="86">
        <v>2.044</v>
      </c>
      <c r="J9" s="86">
        <v>0.70299999999999996</v>
      </c>
      <c r="K9" s="86">
        <v>19888.599999999999</v>
      </c>
      <c r="L9" s="86">
        <v>1.83</v>
      </c>
      <c r="M9" s="86">
        <v>1.0620000000000001</v>
      </c>
    </row>
    <row r="10" spans="1:13" ht="15" x14ac:dyDescent="0.25">
      <c r="A10" s="86">
        <v>200</v>
      </c>
      <c r="B10" s="86">
        <v>6337.9</v>
      </c>
      <c r="C10" s="86">
        <v>238.38</v>
      </c>
      <c r="D10" s="86">
        <v>32.03</v>
      </c>
      <c r="E10" s="86">
        <v>6337.9</v>
      </c>
      <c r="F10" s="86">
        <v>137.41999999999999</v>
      </c>
      <c r="G10" s="86">
        <v>48.94</v>
      </c>
      <c r="H10" s="86">
        <v>6337.9</v>
      </c>
      <c r="I10" s="86">
        <v>2.7519999999999998</v>
      </c>
      <c r="J10" s="86">
        <v>0.54</v>
      </c>
      <c r="K10" s="86">
        <v>6337.9</v>
      </c>
      <c r="L10" s="86">
        <v>1.653</v>
      </c>
      <c r="M10" s="86">
        <v>0.76700000000000002</v>
      </c>
    </row>
    <row r="11" spans="1:13" ht="15" x14ac:dyDescent="0.25">
      <c r="A11" s="86">
        <v>300</v>
      </c>
      <c r="B11" s="86">
        <v>454.3</v>
      </c>
      <c r="C11" s="86">
        <v>315.72000000000003</v>
      </c>
      <c r="D11" s="86">
        <v>12.45</v>
      </c>
      <c r="E11" s="86">
        <v>454.3</v>
      </c>
      <c r="F11" s="86">
        <v>221.16</v>
      </c>
      <c r="G11" s="86">
        <v>47.95</v>
      </c>
      <c r="H11" s="86">
        <v>454.3</v>
      </c>
      <c r="I11" s="86">
        <v>3.1520000000000001</v>
      </c>
      <c r="J11" s="86">
        <v>0.504</v>
      </c>
      <c r="K11" s="86">
        <v>454.3</v>
      </c>
      <c r="L11" s="86">
        <v>0.96499999999999997</v>
      </c>
      <c r="M11" s="86">
        <v>0.52100000000000002</v>
      </c>
    </row>
    <row r="14" spans="1:13" x14ac:dyDescent="0.2">
      <c r="A14" s="5" t="s">
        <v>33</v>
      </c>
    </row>
    <row r="15" spans="1:13" ht="15" x14ac:dyDescent="0.2">
      <c r="A15" s="89" t="s">
        <v>5</v>
      </c>
      <c r="B15" s="89" t="s">
        <v>31</v>
      </c>
      <c r="C15" s="89" t="s">
        <v>50</v>
      </c>
      <c r="D15" s="89" t="s">
        <v>32</v>
      </c>
      <c r="E15" s="89" t="s">
        <v>123</v>
      </c>
      <c r="F15" s="89" t="s">
        <v>51</v>
      </c>
      <c r="G15" s="89" t="s">
        <v>124</v>
      </c>
      <c r="H15" s="89" t="s">
        <v>125</v>
      </c>
      <c r="I15" s="89" t="s">
        <v>52</v>
      </c>
      <c r="J15" s="89" t="s">
        <v>126</v>
      </c>
      <c r="K15" s="89" t="s">
        <v>127</v>
      </c>
      <c r="L15" s="89" t="s">
        <v>122</v>
      </c>
      <c r="M15" s="89" t="s">
        <v>128</v>
      </c>
    </row>
    <row r="16" spans="1:13" ht="15" x14ac:dyDescent="0.25">
      <c r="A16" s="88">
        <v>0</v>
      </c>
      <c r="B16" s="88">
        <v>118164.5</v>
      </c>
      <c r="C16" s="88">
        <v>156.15</v>
      </c>
      <c r="D16" s="88">
        <v>63.68</v>
      </c>
      <c r="E16" s="88">
        <v>114610.8</v>
      </c>
      <c r="F16" s="88">
        <v>89.1</v>
      </c>
      <c r="G16" s="88">
        <v>58.57</v>
      </c>
      <c r="H16" s="88">
        <v>114610.8</v>
      </c>
      <c r="I16" s="88">
        <v>1.905</v>
      </c>
      <c r="J16" s="88">
        <v>0.90600000000000003</v>
      </c>
      <c r="K16" s="88">
        <v>118164.5</v>
      </c>
      <c r="L16" s="88">
        <v>1.647</v>
      </c>
      <c r="M16" s="88">
        <v>1.0149999999999999</v>
      </c>
    </row>
    <row r="17" spans="1:13" ht="15" x14ac:dyDescent="0.25">
      <c r="A17" s="88">
        <v>20</v>
      </c>
      <c r="B17" s="88">
        <v>114555.9</v>
      </c>
      <c r="C17" s="88">
        <v>161.07</v>
      </c>
      <c r="D17" s="88">
        <v>58.25</v>
      </c>
      <c r="E17" s="88">
        <v>114555.9</v>
      </c>
      <c r="F17" s="88">
        <v>89.14</v>
      </c>
      <c r="G17" s="88">
        <v>58.56</v>
      </c>
      <c r="H17" s="88">
        <v>114555.9</v>
      </c>
      <c r="I17" s="88">
        <v>1.9059999999999999</v>
      </c>
      <c r="J17" s="88">
        <v>0.90600000000000003</v>
      </c>
      <c r="K17" s="88">
        <v>114555.9</v>
      </c>
      <c r="L17" s="88">
        <v>1.671</v>
      </c>
      <c r="M17" s="88">
        <v>1.02</v>
      </c>
    </row>
    <row r="18" spans="1:13" ht="15" x14ac:dyDescent="0.25">
      <c r="A18" s="88">
        <v>40</v>
      </c>
      <c r="B18" s="88">
        <v>112542.6</v>
      </c>
      <c r="C18" s="88">
        <v>163.36000000000001</v>
      </c>
      <c r="D18" s="88">
        <v>56.14</v>
      </c>
      <c r="E18" s="88">
        <v>112542.6</v>
      </c>
      <c r="F18" s="88">
        <v>90.47</v>
      </c>
      <c r="G18" s="88">
        <v>58.21</v>
      </c>
      <c r="H18" s="88">
        <v>112542.6</v>
      </c>
      <c r="I18" s="88">
        <v>1.9319999999999999</v>
      </c>
      <c r="J18" s="88">
        <v>0.89100000000000001</v>
      </c>
      <c r="K18" s="88">
        <v>112542.6</v>
      </c>
      <c r="L18" s="88">
        <v>1.6870000000000001</v>
      </c>
      <c r="M18" s="88">
        <v>1.0229999999999999</v>
      </c>
    </row>
    <row r="19" spans="1:13" ht="15" x14ac:dyDescent="0.25">
      <c r="A19" s="88">
        <v>60</v>
      </c>
      <c r="B19" s="88">
        <v>107197.9</v>
      </c>
      <c r="C19" s="88">
        <v>168.93</v>
      </c>
      <c r="D19" s="88">
        <v>51.54</v>
      </c>
      <c r="E19" s="88">
        <v>107197.9</v>
      </c>
      <c r="F19" s="88">
        <v>93.75</v>
      </c>
      <c r="G19" s="88">
        <v>57.63</v>
      </c>
      <c r="H19" s="88">
        <v>107197.9</v>
      </c>
      <c r="I19" s="88">
        <v>1.996</v>
      </c>
      <c r="J19" s="88">
        <v>0.86499999999999999</v>
      </c>
      <c r="K19" s="88">
        <v>107197.9</v>
      </c>
      <c r="L19" s="88">
        <v>1.7270000000000001</v>
      </c>
      <c r="M19" s="88">
        <v>1.03</v>
      </c>
    </row>
    <row r="20" spans="1:13" ht="15" x14ac:dyDescent="0.25">
      <c r="A20" s="88">
        <v>87.7</v>
      </c>
      <c r="B20" s="88">
        <v>99327</v>
      </c>
      <c r="C20" s="88">
        <v>176.66</v>
      </c>
      <c r="D20" s="88">
        <v>45.24</v>
      </c>
      <c r="E20" s="88">
        <v>99327</v>
      </c>
      <c r="F20" s="88">
        <v>98.72</v>
      </c>
      <c r="G20" s="88">
        <v>56.67</v>
      </c>
      <c r="H20" s="88">
        <v>99327</v>
      </c>
      <c r="I20" s="88">
        <v>2.0790000000000002</v>
      </c>
      <c r="J20" s="88">
        <v>0.84199999999999997</v>
      </c>
      <c r="K20" s="88">
        <v>99327</v>
      </c>
      <c r="L20" s="88">
        <v>1.786</v>
      </c>
      <c r="M20" s="88">
        <v>1.044</v>
      </c>
    </row>
    <row r="21" spans="1:13" ht="15" x14ac:dyDescent="0.25">
      <c r="A21" s="88">
        <v>90</v>
      </c>
      <c r="B21" s="88">
        <v>98837.1</v>
      </c>
      <c r="C21" s="88">
        <v>177.1</v>
      </c>
      <c r="D21" s="88">
        <v>44.93</v>
      </c>
      <c r="E21" s="88">
        <v>98837.1</v>
      </c>
      <c r="F21" s="88">
        <v>98.99</v>
      </c>
      <c r="G21" s="88">
        <v>56.65</v>
      </c>
      <c r="H21" s="88">
        <v>98837.1</v>
      </c>
      <c r="I21" s="88">
        <v>2.0830000000000002</v>
      </c>
      <c r="J21" s="88">
        <v>0.84099999999999997</v>
      </c>
      <c r="K21" s="88">
        <v>98837.1</v>
      </c>
      <c r="L21" s="88">
        <v>1.7909999999999999</v>
      </c>
      <c r="M21" s="88">
        <v>1.044</v>
      </c>
    </row>
    <row r="22" spans="1:13" ht="15" x14ac:dyDescent="0.25">
      <c r="A22" s="88">
        <v>100</v>
      </c>
      <c r="B22" s="88">
        <v>96917.6</v>
      </c>
      <c r="C22" s="88">
        <v>178.72</v>
      </c>
      <c r="D22" s="88">
        <v>43.85</v>
      </c>
      <c r="E22" s="88">
        <v>96917.6</v>
      </c>
      <c r="F22" s="88">
        <v>99.87</v>
      </c>
      <c r="G22" s="88">
        <v>56.73</v>
      </c>
      <c r="H22" s="88">
        <v>96917.6</v>
      </c>
      <c r="I22" s="88">
        <v>2.1030000000000002</v>
      </c>
      <c r="J22" s="88">
        <v>0.83599999999999997</v>
      </c>
      <c r="K22" s="88">
        <v>96917.6</v>
      </c>
      <c r="L22" s="88">
        <v>1.7989999999999999</v>
      </c>
      <c r="M22" s="88">
        <v>1.0389999999999999</v>
      </c>
    </row>
    <row r="23" spans="1:13" ht="15" x14ac:dyDescent="0.25">
      <c r="A23" s="88">
        <v>200</v>
      </c>
      <c r="B23" s="88">
        <v>26600.2</v>
      </c>
      <c r="C23" s="88">
        <v>235.39</v>
      </c>
      <c r="D23" s="88">
        <v>30.49</v>
      </c>
      <c r="E23" s="88">
        <v>26600.2</v>
      </c>
      <c r="F23" s="88">
        <v>125.36</v>
      </c>
      <c r="G23" s="88">
        <v>67.2</v>
      </c>
      <c r="H23" s="88">
        <v>26600.2</v>
      </c>
      <c r="I23" s="88">
        <v>2.847</v>
      </c>
      <c r="J23" s="88">
        <v>0.83599999999999997</v>
      </c>
      <c r="K23" s="88">
        <v>26600.2</v>
      </c>
      <c r="L23" s="88">
        <v>1.4630000000000001</v>
      </c>
      <c r="M23" s="88">
        <v>0.68799999999999994</v>
      </c>
    </row>
    <row r="24" spans="1:13" ht="15" x14ac:dyDescent="0.25">
      <c r="A24" s="88">
        <v>300</v>
      </c>
      <c r="B24" s="88">
        <v>1585.6</v>
      </c>
      <c r="C24" s="88">
        <v>326.16000000000003</v>
      </c>
      <c r="D24" s="88">
        <v>12.4</v>
      </c>
      <c r="E24" s="88">
        <v>1585.6</v>
      </c>
      <c r="F24" s="88">
        <v>177.63</v>
      </c>
      <c r="G24" s="88">
        <v>90.55</v>
      </c>
      <c r="H24" s="88">
        <v>1585.6</v>
      </c>
      <c r="I24" s="88">
        <v>3.8959999999999999</v>
      </c>
      <c r="J24" s="88">
        <v>1.232</v>
      </c>
      <c r="K24" s="88">
        <v>1585.6</v>
      </c>
      <c r="L24" s="88">
        <v>1.1990000000000001</v>
      </c>
      <c r="M24" s="88">
        <v>0.435</v>
      </c>
    </row>
    <row r="27" spans="1:13" x14ac:dyDescent="0.2">
      <c r="A27" s="5" t="s">
        <v>34</v>
      </c>
    </row>
    <row r="28" spans="1:13" ht="15" x14ac:dyDescent="0.2">
      <c r="A28" s="91" t="s">
        <v>5</v>
      </c>
      <c r="B28" s="91" t="s">
        <v>31</v>
      </c>
      <c r="C28" s="91" t="s">
        <v>50</v>
      </c>
      <c r="D28" s="91" t="s">
        <v>32</v>
      </c>
      <c r="E28" s="91" t="s">
        <v>123</v>
      </c>
      <c r="F28" s="91" t="s">
        <v>51</v>
      </c>
      <c r="G28" s="91" t="s">
        <v>124</v>
      </c>
      <c r="H28" s="91" t="s">
        <v>125</v>
      </c>
      <c r="I28" s="91" t="s">
        <v>52</v>
      </c>
      <c r="J28" s="91" t="s">
        <v>126</v>
      </c>
      <c r="K28" s="91" t="s">
        <v>127</v>
      </c>
      <c r="L28" s="91" t="s">
        <v>122</v>
      </c>
      <c r="M28" s="91" t="s">
        <v>128</v>
      </c>
    </row>
    <row r="29" spans="1:13" ht="15" x14ac:dyDescent="0.25">
      <c r="A29" s="90">
        <v>0</v>
      </c>
      <c r="B29" s="90">
        <v>233468.3</v>
      </c>
      <c r="C29" s="90">
        <v>133.91999999999999</v>
      </c>
      <c r="D29" s="90">
        <v>116.04</v>
      </c>
      <c r="E29" s="90">
        <v>216776.9</v>
      </c>
      <c r="F29" s="90">
        <v>104.22</v>
      </c>
      <c r="G29" s="90">
        <v>128.56</v>
      </c>
      <c r="H29" s="90">
        <v>216776.9</v>
      </c>
      <c r="I29" s="90">
        <v>1.4</v>
      </c>
      <c r="J29" s="90">
        <v>1.133</v>
      </c>
      <c r="K29" s="90">
        <v>233468.2</v>
      </c>
      <c r="L29" s="90">
        <v>1.1819999999999999</v>
      </c>
      <c r="M29" s="90">
        <v>0.64200000000000002</v>
      </c>
    </row>
    <row r="30" spans="1:13" ht="15" x14ac:dyDescent="0.25">
      <c r="A30" s="90">
        <v>20</v>
      </c>
      <c r="B30" s="90">
        <v>216006.2</v>
      </c>
      <c r="C30" s="90">
        <v>144.69</v>
      </c>
      <c r="D30" s="90">
        <v>114.03</v>
      </c>
      <c r="E30" s="90">
        <v>216006.2</v>
      </c>
      <c r="F30" s="90">
        <v>104.57</v>
      </c>
      <c r="G30" s="90">
        <v>128.66</v>
      </c>
      <c r="H30" s="90">
        <v>216006.2</v>
      </c>
      <c r="I30" s="90">
        <v>1.4039999999999999</v>
      </c>
      <c r="J30" s="90">
        <v>1.133</v>
      </c>
      <c r="K30" s="90">
        <v>216006.2</v>
      </c>
      <c r="L30" s="90">
        <v>1.2070000000000001</v>
      </c>
      <c r="M30" s="90">
        <v>0.65200000000000002</v>
      </c>
    </row>
    <row r="31" spans="1:13" ht="15" x14ac:dyDescent="0.25">
      <c r="A31" s="90">
        <v>40</v>
      </c>
      <c r="B31" s="90">
        <v>199372.79999999999</v>
      </c>
      <c r="C31" s="90">
        <v>154.19999999999999</v>
      </c>
      <c r="D31" s="90">
        <v>113.62</v>
      </c>
      <c r="E31" s="90">
        <v>199372.79999999999</v>
      </c>
      <c r="F31" s="90">
        <v>111.74</v>
      </c>
      <c r="G31" s="90">
        <v>131.36000000000001</v>
      </c>
      <c r="H31" s="90">
        <v>199372.79999999999</v>
      </c>
      <c r="I31" s="90">
        <v>1.4930000000000001</v>
      </c>
      <c r="J31" s="90">
        <v>1.1339999999999999</v>
      </c>
      <c r="K31" s="90">
        <v>199372.79999999999</v>
      </c>
      <c r="L31" s="90">
        <v>1.181</v>
      </c>
      <c r="M31" s="90">
        <v>0.60199999999999998</v>
      </c>
    </row>
    <row r="32" spans="1:13" ht="15" x14ac:dyDescent="0.25">
      <c r="A32" s="90">
        <v>60</v>
      </c>
      <c r="B32" s="90">
        <v>179148.6</v>
      </c>
      <c r="C32" s="90">
        <v>165.85</v>
      </c>
      <c r="D32" s="90">
        <v>114.13</v>
      </c>
      <c r="E32" s="90">
        <v>179148.6</v>
      </c>
      <c r="F32" s="90">
        <v>121.15</v>
      </c>
      <c r="G32" s="90">
        <v>135.19999999999999</v>
      </c>
      <c r="H32" s="90">
        <v>179148.6</v>
      </c>
      <c r="I32" s="90">
        <v>1.593</v>
      </c>
      <c r="J32" s="90">
        <v>1.151</v>
      </c>
      <c r="K32" s="90">
        <v>179148.6</v>
      </c>
      <c r="L32" s="90">
        <v>1.2130000000000001</v>
      </c>
      <c r="M32" s="90">
        <v>0.61099999999999999</v>
      </c>
    </row>
    <row r="33" spans="1:13" ht="15" x14ac:dyDescent="0.25">
      <c r="A33" s="90">
        <v>87.7</v>
      </c>
      <c r="B33" s="90">
        <v>149394.4</v>
      </c>
      <c r="C33" s="90">
        <v>184.48</v>
      </c>
      <c r="D33" s="90">
        <v>116.25</v>
      </c>
      <c r="E33" s="90">
        <v>149394.4</v>
      </c>
      <c r="F33" s="90">
        <v>136.22</v>
      </c>
      <c r="G33" s="90">
        <v>142.76</v>
      </c>
      <c r="H33" s="90">
        <v>149394.4</v>
      </c>
      <c r="I33" s="90">
        <v>1.754</v>
      </c>
      <c r="J33" s="90">
        <v>1.1870000000000001</v>
      </c>
      <c r="K33" s="90">
        <v>149394.4</v>
      </c>
      <c r="L33" s="90">
        <v>1.268</v>
      </c>
      <c r="M33" s="90">
        <v>0.63500000000000001</v>
      </c>
    </row>
    <row r="34" spans="1:13" ht="15" x14ac:dyDescent="0.25">
      <c r="A34" s="90">
        <v>90</v>
      </c>
      <c r="B34" s="90">
        <v>147400.5</v>
      </c>
      <c r="C34" s="90">
        <v>185.78</v>
      </c>
      <c r="D34" s="90">
        <v>116.5</v>
      </c>
      <c r="E34" s="90">
        <v>147400.5</v>
      </c>
      <c r="F34" s="90">
        <v>136.96</v>
      </c>
      <c r="G34" s="90">
        <v>143.52000000000001</v>
      </c>
      <c r="H34" s="90">
        <v>147400.5</v>
      </c>
      <c r="I34" s="90">
        <v>1.7689999999999999</v>
      </c>
      <c r="J34" s="90">
        <v>1.1870000000000001</v>
      </c>
      <c r="K34" s="90">
        <v>147400.5</v>
      </c>
      <c r="L34" s="90">
        <v>1.27</v>
      </c>
      <c r="M34" s="90">
        <v>0.63700000000000001</v>
      </c>
    </row>
    <row r="35" spans="1:13" ht="15" x14ac:dyDescent="0.25">
      <c r="A35" s="90">
        <v>100</v>
      </c>
      <c r="B35" s="90">
        <v>137465.4</v>
      </c>
      <c r="C35" s="90">
        <v>192.35</v>
      </c>
      <c r="D35" s="90">
        <v>117.95</v>
      </c>
      <c r="E35" s="90">
        <v>137465.4</v>
      </c>
      <c r="F35" s="90">
        <v>141.30000000000001</v>
      </c>
      <c r="G35" s="90">
        <v>147.44999999999999</v>
      </c>
      <c r="H35" s="90">
        <v>137465.4</v>
      </c>
      <c r="I35" s="90">
        <v>1.8380000000000001</v>
      </c>
      <c r="J35" s="90">
        <v>1.196</v>
      </c>
      <c r="K35" s="90">
        <v>137465.4</v>
      </c>
      <c r="L35" s="90">
        <v>1.2809999999999999</v>
      </c>
      <c r="M35" s="90">
        <v>0.64500000000000002</v>
      </c>
    </row>
    <row r="36" spans="1:13" ht="15" x14ac:dyDescent="0.25">
      <c r="A36" s="90">
        <v>200</v>
      </c>
      <c r="B36" s="90">
        <v>43262</v>
      </c>
      <c r="C36" s="90">
        <v>300.55</v>
      </c>
      <c r="D36" s="90">
        <v>159.38</v>
      </c>
      <c r="E36" s="90">
        <v>43262</v>
      </c>
      <c r="F36" s="90">
        <v>202.69</v>
      </c>
      <c r="G36" s="90">
        <v>247.03</v>
      </c>
      <c r="H36" s="90">
        <v>43262</v>
      </c>
      <c r="I36" s="90">
        <v>3.0990000000000002</v>
      </c>
      <c r="J36" s="90">
        <v>1.321</v>
      </c>
      <c r="K36" s="90">
        <v>43262</v>
      </c>
      <c r="L36" s="90">
        <v>1.1970000000000001</v>
      </c>
      <c r="M36" s="90">
        <v>0.375</v>
      </c>
    </row>
    <row r="37" spans="1:13" ht="15" x14ac:dyDescent="0.25">
      <c r="A37" s="90">
        <v>300</v>
      </c>
      <c r="B37" s="90">
        <v>11846.4</v>
      </c>
      <c r="C37" s="90">
        <v>456.64</v>
      </c>
      <c r="D37" s="90">
        <v>240.29</v>
      </c>
      <c r="E37" s="90">
        <v>11846.4</v>
      </c>
      <c r="F37" s="90">
        <v>331.08</v>
      </c>
      <c r="G37" s="90">
        <v>431.11</v>
      </c>
      <c r="H37" s="90">
        <v>11846.4</v>
      </c>
      <c r="I37" s="90">
        <v>4.4180000000000001</v>
      </c>
      <c r="J37" s="90">
        <v>1.321</v>
      </c>
      <c r="K37" s="90">
        <v>11846.4</v>
      </c>
      <c r="L37" s="90">
        <v>1.21</v>
      </c>
      <c r="M37" s="90">
        <v>0.3</v>
      </c>
    </row>
    <row r="38" spans="1:13" ht="15" x14ac:dyDescent="0.25">
      <c r="A38" s="90">
        <v>400</v>
      </c>
      <c r="B38" s="90">
        <v>2585.3000000000002</v>
      </c>
      <c r="C38" s="90">
        <v>864.73</v>
      </c>
      <c r="D38" s="90">
        <v>222.79</v>
      </c>
      <c r="E38" s="90">
        <v>2585.3000000000002</v>
      </c>
      <c r="F38" s="90">
        <v>1093.68</v>
      </c>
      <c r="G38" s="90">
        <v>307.75</v>
      </c>
      <c r="H38" s="90">
        <v>2585.3000000000002</v>
      </c>
      <c r="I38" s="90">
        <v>2.496</v>
      </c>
      <c r="J38" s="90">
        <v>0.86499999999999999</v>
      </c>
      <c r="K38" s="90">
        <v>2585.3000000000002</v>
      </c>
      <c r="L38" s="90">
        <v>0.97399999999999998</v>
      </c>
      <c r="M38" s="90">
        <v>0.21099999999999999</v>
      </c>
    </row>
    <row r="41" spans="1:13" x14ac:dyDescent="0.2">
      <c r="A41" s="5" t="s">
        <v>35</v>
      </c>
    </row>
    <row r="42" spans="1:13" ht="15" x14ac:dyDescent="0.2">
      <c r="A42" s="93" t="s">
        <v>5</v>
      </c>
      <c r="B42" s="93" t="s">
        <v>31</v>
      </c>
      <c r="C42" s="93" t="s">
        <v>50</v>
      </c>
      <c r="D42" s="93" t="s">
        <v>32</v>
      </c>
      <c r="E42" s="93" t="s">
        <v>123</v>
      </c>
      <c r="F42" s="93" t="s">
        <v>51</v>
      </c>
      <c r="G42" s="93" t="s">
        <v>124</v>
      </c>
      <c r="H42" s="93" t="s">
        <v>125</v>
      </c>
      <c r="I42" s="93" t="s">
        <v>52</v>
      </c>
      <c r="J42" s="93" t="s">
        <v>126</v>
      </c>
      <c r="K42" s="93" t="s">
        <v>127</v>
      </c>
      <c r="L42" s="93" t="s">
        <v>122</v>
      </c>
      <c r="M42" s="93" t="s">
        <v>128</v>
      </c>
    </row>
    <row r="43" spans="1:13" ht="15" x14ac:dyDescent="0.25">
      <c r="A43" s="92">
        <v>0</v>
      </c>
      <c r="B43" s="92">
        <v>140787.5</v>
      </c>
      <c r="C43" s="92">
        <v>158.18</v>
      </c>
      <c r="D43" s="92">
        <v>63.44</v>
      </c>
      <c r="E43" s="92">
        <v>136616.4</v>
      </c>
      <c r="F43" s="92">
        <v>91.94</v>
      </c>
      <c r="G43" s="92">
        <v>56.82</v>
      </c>
      <c r="H43" s="92">
        <v>136616.4</v>
      </c>
      <c r="I43" s="92">
        <v>1.907</v>
      </c>
      <c r="J43" s="92">
        <v>0.88700000000000001</v>
      </c>
      <c r="K43" s="92">
        <v>140787.5</v>
      </c>
      <c r="L43" s="92">
        <v>1.66</v>
      </c>
      <c r="M43" s="92">
        <v>1.0209999999999999</v>
      </c>
    </row>
    <row r="44" spans="1:13" ht="15" x14ac:dyDescent="0.25">
      <c r="A44" s="92">
        <v>20</v>
      </c>
      <c r="B44" s="92">
        <v>136538</v>
      </c>
      <c r="C44" s="92">
        <v>163.1</v>
      </c>
      <c r="D44" s="92">
        <v>57.88</v>
      </c>
      <c r="E44" s="92">
        <v>136538</v>
      </c>
      <c r="F44" s="92">
        <v>91.99</v>
      </c>
      <c r="G44" s="92">
        <v>56.8</v>
      </c>
      <c r="H44" s="92">
        <v>136538</v>
      </c>
      <c r="I44" s="92">
        <v>1.9079999999999999</v>
      </c>
      <c r="J44" s="92">
        <v>0.88600000000000001</v>
      </c>
      <c r="K44" s="92">
        <v>136538</v>
      </c>
      <c r="L44" s="92">
        <v>1.6839999999999999</v>
      </c>
      <c r="M44" s="92">
        <v>1.026</v>
      </c>
    </row>
    <row r="45" spans="1:13" ht="15" x14ac:dyDescent="0.25">
      <c r="A45" s="92">
        <v>40</v>
      </c>
      <c r="B45" s="92">
        <v>134367</v>
      </c>
      <c r="C45" s="92">
        <v>165.21</v>
      </c>
      <c r="D45" s="92">
        <v>55.88</v>
      </c>
      <c r="E45" s="92">
        <v>134367</v>
      </c>
      <c r="F45" s="92">
        <v>93.23</v>
      </c>
      <c r="G45" s="92">
        <v>56.39</v>
      </c>
      <c r="H45" s="92">
        <v>134367</v>
      </c>
      <c r="I45" s="92">
        <v>1.9319999999999999</v>
      </c>
      <c r="J45" s="92">
        <v>0.872</v>
      </c>
      <c r="K45" s="92">
        <v>134367</v>
      </c>
      <c r="L45" s="92">
        <v>1.6990000000000001</v>
      </c>
      <c r="M45" s="92">
        <v>1.028</v>
      </c>
    </row>
    <row r="46" spans="1:13" ht="15" x14ac:dyDescent="0.25">
      <c r="A46" s="92">
        <v>60</v>
      </c>
      <c r="B46" s="92">
        <v>128740.8</v>
      </c>
      <c r="C46" s="92">
        <v>170.16</v>
      </c>
      <c r="D46" s="92">
        <v>51.69</v>
      </c>
      <c r="E46" s="92">
        <v>128740.8</v>
      </c>
      <c r="F46" s="92">
        <v>96.2</v>
      </c>
      <c r="G46" s="92">
        <v>55.67</v>
      </c>
      <c r="H46" s="92">
        <v>128740.8</v>
      </c>
      <c r="I46" s="92">
        <v>1.988</v>
      </c>
      <c r="J46" s="92">
        <v>0.84699999999999998</v>
      </c>
      <c r="K46" s="92">
        <v>128740.8</v>
      </c>
      <c r="L46" s="92">
        <v>1.7350000000000001</v>
      </c>
      <c r="M46" s="92">
        <v>1.034</v>
      </c>
    </row>
    <row r="47" spans="1:13" ht="15" x14ac:dyDescent="0.25">
      <c r="A47" s="92">
        <v>87.7</v>
      </c>
      <c r="B47" s="92">
        <v>119836.2</v>
      </c>
      <c r="C47" s="92">
        <v>177.48</v>
      </c>
      <c r="D47" s="92">
        <v>45.75</v>
      </c>
      <c r="E47" s="92">
        <v>119836.2</v>
      </c>
      <c r="F47" s="92">
        <v>100.88</v>
      </c>
      <c r="G47" s="92">
        <v>54.56</v>
      </c>
      <c r="H47" s="92">
        <v>119836.2</v>
      </c>
      <c r="I47" s="92">
        <v>2.0670000000000002</v>
      </c>
      <c r="J47" s="92">
        <v>0.82299999999999995</v>
      </c>
      <c r="K47" s="92">
        <v>119836.2</v>
      </c>
      <c r="L47" s="92">
        <v>1.7889999999999999</v>
      </c>
      <c r="M47" s="92">
        <v>1.046</v>
      </c>
    </row>
    <row r="48" spans="1:13" ht="15" x14ac:dyDescent="0.25">
      <c r="A48" s="92">
        <v>90</v>
      </c>
      <c r="B48" s="92">
        <v>119279.5</v>
      </c>
      <c r="C48" s="92">
        <v>177.89</v>
      </c>
      <c r="D48" s="92">
        <v>45.46</v>
      </c>
      <c r="E48" s="92">
        <v>119279.5</v>
      </c>
      <c r="F48" s="92">
        <v>101.13</v>
      </c>
      <c r="G48" s="92">
        <v>54.53</v>
      </c>
      <c r="H48" s="92">
        <v>119279.5</v>
      </c>
      <c r="I48" s="92">
        <v>2.0710000000000002</v>
      </c>
      <c r="J48" s="92">
        <v>0.82199999999999995</v>
      </c>
      <c r="K48" s="92">
        <v>119279.5</v>
      </c>
      <c r="L48" s="92">
        <v>1.794</v>
      </c>
      <c r="M48" s="92">
        <v>1.0469999999999999</v>
      </c>
    </row>
    <row r="49" spans="1:13" ht="15" x14ac:dyDescent="0.25">
      <c r="A49" s="92">
        <v>100</v>
      </c>
      <c r="B49" s="92">
        <v>116806.2</v>
      </c>
      <c r="C49" s="92">
        <v>179.65</v>
      </c>
      <c r="D49" s="92">
        <v>44.28</v>
      </c>
      <c r="E49" s="92">
        <v>116806.2</v>
      </c>
      <c r="F49" s="92">
        <v>102.04</v>
      </c>
      <c r="G49" s="92">
        <v>54.6</v>
      </c>
      <c r="H49" s="92">
        <v>116806.2</v>
      </c>
      <c r="I49" s="92">
        <v>2.093</v>
      </c>
      <c r="J49" s="92">
        <v>0.81499999999999995</v>
      </c>
      <c r="K49" s="92">
        <v>116806.2</v>
      </c>
      <c r="L49" s="92">
        <v>1.8049999999999999</v>
      </c>
      <c r="M49" s="92">
        <v>1.0429999999999999</v>
      </c>
    </row>
    <row r="50" spans="1:13" ht="15" x14ac:dyDescent="0.25">
      <c r="A50" s="92">
        <v>200</v>
      </c>
      <c r="B50" s="92">
        <v>32938</v>
      </c>
      <c r="C50" s="92">
        <v>235.97</v>
      </c>
      <c r="D50" s="92">
        <v>30.81</v>
      </c>
      <c r="E50" s="92">
        <v>32938</v>
      </c>
      <c r="F50" s="92">
        <v>127.68</v>
      </c>
      <c r="G50" s="92">
        <v>64.27</v>
      </c>
      <c r="H50" s="92">
        <v>32938</v>
      </c>
      <c r="I50" s="92">
        <v>2.8290000000000002</v>
      </c>
      <c r="J50" s="92">
        <v>0.78900000000000003</v>
      </c>
      <c r="K50" s="92">
        <v>32938</v>
      </c>
      <c r="L50" s="92">
        <v>1.5</v>
      </c>
      <c r="M50" s="92">
        <v>0.70799999999999996</v>
      </c>
    </row>
    <row r="51" spans="1:13" ht="15" x14ac:dyDescent="0.25">
      <c r="A51" s="92">
        <v>300</v>
      </c>
      <c r="B51" s="92">
        <v>2039.9</v>
      </c>
      <c r="C51" s="92">
        <v>323.83999999999997</v>
      </c>
      <c r="D51" s="92">
        <v>13.15</v>
      </c>
      <c r="E51" s="92">
        <v>2039.9</v>
      </c>
      <c r="F51" s="92">
        <v>187.33</v>
      </c>
      <c r="G51" s="92">
        <v>84.92</v>
      </c>
      <c r="H51" s="92">
        <v>2039.9</v>
      </c>
      <c r="I51" s="92">
        <v>3.73</v>
      </c>
      <c r="J51" s="92">
        <v>1.1539999999999999</v>
      </c>
      <c r="K51" s="92">
        <v>2039.9</v>
      </c>
      <c r="L51" s="92">
        <v>1.147</v>
      </c>
      <c r="M51" s="92">
        <v>0.46600000000000003</v>
      </c>
    </row>
    <row r="53" spans="1:13" x14ac:dyDescent="0.2">
      <c r="A53" s="1"/>
      <c r="B53">
        <f>+B7+B20</f>
        <v>119836.2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95" t="s">
        <v>5</v>
      </c>
      <c r="B56" s="95" t="s">
        <v>31</v>
      </c>
      <c r="C56" s="95" t="s">
        <v>50</v>
      </c>
      <c r="D56" s="95" t="s">
        <v>32</v>
      </c>
      <c r="E56" s="95" t="s">
        <v>123</v>
      </c>
      <c r="F56" s="95" t="s">
        <v>51</v>
      </c>
      <c r="G56" s="95" t="s">
        <v>124</v>
      </c>
      <c r="H56" s="95" t="s">
        <v>125</v>
      </c>
      <c r="I56" s="95" t="s">
        <v>52</v>
      </c>
      <c r="J56" s="95" t="s">
        <v>126</v>
      </c>
      <c r="K56" s="95" t="s">
        <v>127</v>
      </c>
      <c r="L56" s="95" t="s">
        <v>122</v>
      </c>
      <c r="M56" s="95" t="s">
        <v>128</v>
      </c>
    </row>
    <row r="57" spans="1:13" ht="15" x14ac:dyDescent="0.25">
      <c r="A57" s="94">
        <v>0</v>
      </c>
      <c r="B57" s="94">
        <v>374255.8</v>
      </c>
      <c r="C57" s="94">
        <v>143.04</v>
      </c>
      <c r="D57" s="94">
        <v>100.26</v>
      </c>
      <c r="E57" s="94">
        <v>353393.3</v>
      </c>
      <c r="F57" s="94">
        <v>99.48</v>
      </c>
      <c r="G57" s="94">
        <v>106.87</v>
      </c>
      <c r="H57" s="94">
        <v>353393.3</v>
      </c>
      <c r="I57" s="94">
        <v>1.5960000000000001</v>
      </c>
      <c r="J57" s="94">
        <v>1.0740000000000001</v>
      </c>
      <c r="K57" s="94">
        <v>374255.7</v>
      </c>
      <c r="L57" s="94">
        <v>1.3620000000000001</v>
      </c>
      <c r="M57" s="94">
        <v>0.83899999999999997</v>
      </c>
    </row>
    <row r="58" spans="1:13" ht="15" x14ac:dyDescent="0.25">
      <c r="A58" s="94">
        <v>20</v>
      </c>
      <c r="B58" s="94">
        <v>352544.3</v>
      </c>
      <c r="C58" s="94">
        <v>151.82</v>
      </c>
      <c r="D58" s="94">
        <v>96.67</v>
      </c>
      <c r="E58" s="94">
        <v>352544.3</v>
      </c>
      <c r="F58" s="94">
        <v>99.7</v>
      </c>
      <c r="G58" s="94">
        <v>106.9</v>
      </c>
      <c r="H58" s="94">
        <v>352544.3</v>
      </c>
      <c r="I58" s="94">
        <v>1.599</v>
      </c>
      <c r="J58" s="94">
        <v>1.073</v>
      </c>
      <c r="K58" s="94">
        <v>352544.3</v>
      </c>
      <c r="L58" s="94">
        <v>1.3919999999999999</v>
      </c>
      <c r="M58" s="94">
        <v>0.85</v>
      </c>
    </row>
    <row r="59" spans="1:13" ht="15" x14ac:dyDescent="0.25">
      <c r="A59" s="94">
        <v>40</v>
      </c>
      <c r="B59" s="94">
        <v>333739.7</v>
      </c>
      <c r="C59" s="94">
        <v>158.63</v>
      </c>
      <c r="D59" s="94">
        <v>94.86</v>
      </c>
      <c r="E59" s="94">
        <v>333739.7</v>
      </c>
      <c r="F59" s="94">
        <v>104.29</v>
      </c>
      <c r="G59" s="94">
        <v>108.03</v>
      </c>
      <c r="H59" s="94">
        <v>333739.7</v>
      </c>
      <c r="I59" s="94">
        <v>1.67</v>
      </c>
      <c r="J59" s="94">
        <v>1.0589999999999999</v>
      </c>
      <c r="K59" s="94">
        <v>333739.7</v>
      </c>
      <c r="L59" s="94">
        <v>1.39</v>
      </c>
      <c r="M59" s="94">
        <v>0.84099999999999997</v>
      </c>
    </row>
    <row r="60" spans="1:13" ht="15" x14ac:dyDescent="0.25">
      <c r="A60" s="94">
        <v>60</v>
      </c>
      <c r="B60" s="94">
        <v>307889.5</v>
      </c>
      <c r="C60" s="94">
        <v>167.65</v>
      </c>
      <c r="D60" s="94">
        <v>93.28</v>
      </c>
      <c r="E60" s="94">
        <v>307889.5</v>
      </c>
      <c r="F60" s="94">
        <v>110.72</v>
      </c>
      <c r="G60" s="94">
        <v>109.92</v>
      </c>
      <c r="H60" s="94">
        <v>307889.5</v>
      </c>
      <c r="I60" s="94">
        <v>1.758</v>
      </c>
      <c r="J60" s="94">
        <v>1.0529999999999999</v>
      </c>
      <c r="K60" s="94">
        <v>307889.5</v>
      </c>
      <c r="L60" s="94">
        <v>1.4319999999999999</v>
      </c>
      <c r="M60" s="94">
        <v>0.85499999999999998</v>
      </c>
    </row>
    <row r="61" spans="1:13" ht="15" x14ac:dyDescent="0.25">
      <c r="A61" s="94">
        <v>87.7</v>
      </c>
      <c r="B61" s="94">
        <v>269230.59999999998</v>
      </c>
      <c r="C61" s="94">
        <v>181.36</v>
      </c>
      <c r="D61" s="94">
        <v>91.89</v>
      </c>
      <c r="E61" s="94">
        <v>269230.59999999998</v>
      </c>
      <c r="F61" s="94">
        <v>120.49</v>
      </c>
      <c r="G61" s="94">
        <v>113.77</v>
      </c>
      <c r="H61" s="94">
        <v>269230.59999999998</v>
      </c>
      <c r="I61" s="94">
        <v>1.893</v>
      </c>
      <c r="J61" s="94">
        <v>1.0529999999999999</v>
      </c>
      <c r="K61" s="94">
        <v>269230.59999999998</v>
      </c>
      <c r="L61" s="94">
        <v>1.5</v>
      </c>
      <c r="M61" s="94">
        <v>0.88200000000000001</v>
      </c>
    </row>
    <row r="62" spans="1:13" ht="15" x14ac:dyDescent="0.25">
      <c r="A62" s="94">
        <v>90</v>
      </c>
      <c r="B62" s="94">
        <v>266680.09999999998</v>
      </c>
      <c r="C62" s="94">
        <v>182.25</v>
      </c>
      <c r="D62" s="94">
        <v>91.88</v>
      </c>
      <c r="E62" s="94">
        <v>266680.09999999998</v>
      </c>
      <c r="F62" s="94">
        <v>120.94</v>
      </c>
      <c r="G62" s="94">
        <v>114.16</v>
      </c>
      <c r="H62" s="94">
        <v>266680.09999999998</v>
      </c>
      <c r="I62" s="94">
        <v>1.9039999999999999</v>
      </c>
      <c r="J62" s="94">
        <v>1.0509999999999999</v>
      </c>
      <c r="K62" s="94">
        <v>266680.09999999998</v>
      </c>
      <c r="L62" s="94">
        <v>1.504</v>
      </c>
      <c r="M62" s="94">
        <v>0.88500000000000001</v>
      </c>
    </row>
    <row r="63" spans="1:13" ht="15" x14ac:dyDescent="0.25">
      <c r="A63" s="94">
        <v>100</v>
      </c>
      <c r="B63" s="94">
        <v>254271.6</v>
      </c>
      <c r="C63" s="94">
        <v>186.52</v>
      </c>
      <c r="D63" s="94">
        <v>91.99</v>
      </c>
      <c r="E63" s="94">
        <v>254271.6</v>
      </c>
      <c r="F63" s="94">
        <v>123.26</v>
      </c>
      <c r="G63" s="94">
        <v>116.22</v>
      </c>
      <c r="H63" s="94">
        <v>254271.6</v>
      </c>
      <c r="I63" s="94">
        <v>1.9550000000000001</v>
      </c>
      <c r="J63" s="94">
        <v>1.046</v>
      </c>
      <c r="K63" s="94">
        <v>254271.6</v>
      </c>
      <c r="L63" s="94">
        <v>1.5209999999999999</v>
      </c>
      <c r="M63" s="94">
        <v>0.89</v>
      </c>
    </row>
    <row r="64" spans="1:13" ht="15" x14ac:dyDescent="0.25">
      <c r="A64" s="94">
        <v>200</v>
      </c>
      <c r="B64" s="94">
        <v>76200.100000000006</v>
      </c>
      <c r="C64" s="94">
        <v>272.63</v>
      </c>
      <c r="D64" s="94">
        <v>125.91</v>
      </c>
      <c r="E64" s="94">
        <v>76200.100000000006</v>
      </c>
      <c r="F64" s="94">
        <v>170.26</v>
      </c>
      <c r="G64" s="94">
        <v>194.45</v>
      </c>
      <c r="H64" s="94">
        <v>76200.100000000006</v>
      </c>
      <c r="I64" s="94">
        <v>2.9820000000000002</v>
      </c>
      <c r="J64" s="94">
        <v>1.1299999999999999</v>
      </c>
      <c r="K64" s="94">
        <v>76200.100000000006</v>
      </c>
      <c r="L64" s="94">
        <v>1.3280000000000001</v>
      </c>
      <c r="M64" s="94">
        <v>0.56499999999999995</v>
      </c>
    </row>
    <row r="65" spans="1:13" ht="15" x14ac:dyDescent="0.25">
      <c r="A65" s="94">
        <v>300</v>
      </c>
      <c r="B65" s="94">
        <v>13886.3</v>
      </c>
      <c r="C65" s="94">
        <v>437.13</v>
      </c>
      <c r="D65" s="94">
        <v>226.92</v>
      </c>
      <c r="E65" s="94">
        <v>13886.3</v>
      </c>
      <c r="F65" s="94">
        <v>309.95999999999998</v>
      </c>
      <c r="G65" s="94">
        <v>402.74</v>
      </c>
      <c r="H65" s="94">
        <v>13886.3</v>
      </c>
      <c r="I65" s="94">
        <v>4.3170000000000002</v>
      </c>
      <c r="J65" s="94">
        <v>1.32</v>
      </c>
      <c r="K65" s="94">
        <v>13886.3</v>
      </c>
      <c r="L65" s="94">
        <v>1.2010000000000001</v>
      </c>
      <c r="M65" s="94">
        <v>0.33</v>
      </c>
    </row>
    <row r="66" spans="1:13" ht="15" x14ac:dyDescent="0.25">
      <c r="A66" s="94">
        <v>400</v>
      </c>
      <c r="B66" s="94">
        <v>2585.3000000000002</v>
      </c>
      <c r="C66" s="94">
        <v>864.73</v>
      </c>
      <c r="D66" s="94">
        <v>222.79</v>
      </c>
      <c r="E66" s="94">
        <v>2585.3000000000002</v>
      </c>
      <c r="F66" s="94">
        <v>1093.68</v>
      </c>
      <c r="G66" s="94">
        <v>307.75</v>
      </c>
      <c r="H66" s="94">
        <v>2585.3000000000002</v>
      </c>
      <c r="I66" s="94">
        <v>2.496</v>
      </c>
      <c r="J66" s="94">
        <v>0.86499999999999999</v>
      </c>
      <c r="K66" s="94">
        <v>2585.3000000000002</v>
      </c>
      <c r="L66" s="94">
        <v>0.97399999999999998</v>
      </c>
      <c r="M66" s="94">
        <v>0.21099999999999999</v>
      </c>
    </row>
    <row r="67" spans="1:13" x14ac:dyDescent="0.2">
      <c r="A67" s="1"/>
      <c r="B67">
        <f>+B7+B20+B33</f>
        <v>269230.59999999998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3" workbookViewId="0">
      <selection activeCell="C56" sqref="C56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ht="15" x14ac:dyDescent="0.2">
      <c r="A2" s="55" t="s">
        <v>5</v>
      </c>
      <c r="B2" s="55" t="s">
        <v>31</v>
      </c>
      <c r="C2" s="55" t="s">
        <v>50</v>
      </c>
      <c r="D2" s="55" t="s">
        <v>32</v>
      </c>
      <c r="E2" s="55" t="s">
        <v>123</v>
      </c>
      <c r="F2" s="55" t="s">
        <v>51</v>
      </c>
      <c r="G2" s="55" t="s">
        <v>124</v>
      </c>
      <c r="H2" s="55" t="s">
        <v>125</v>
      </c>
      <c r="I2" s="55" t="s">
        <v>52</v>
      </c>
      <c r="J2" s="55" t="s">
        <v>126</v>
      </c>
      <c r="K2" s="55" t="s">
        <v>127</v>
      </c>
      <c r="L2" s="55" t="s">
        <v>122</v>
      </c>
      <c r="M2" s="55" t="s">
        <v>128</v>
      </c>
    </row>
    <row r="3" spans="1:13" ht="15" x14ac:dyDescent="0.25">
      <c r="A3" s="54">
        <v>0</v>
      </c>
      <c r="B3" s="54">
        <v>1053.5999999999999</v>
      </c>
      <c r="C3" s="54">
        <v>125</v>
      </c>
      <c r="D3" s="54">
        <v>39.799999999999997</v>
      </c>
      <c r="E3" s="54">
        <v>1053.5999999999999</v>
      </c>
      <c r="F3" s="54">
        <v>55.6</v>
      </c>
      <c r="G3" s="54">
        <v>16.96</v>
      </c>
      <c r="H3" s="54">
        <v>1053.5999999999999</v>
      </c>
      <c r="I3" s="54">
        <v>1.65</v>
      </c>
      <c r="J3" s="54">
        <v>0.57899999999999996</v>
      </c>
      <c r="K3" s="54">
        <v>1053.5999999999999</v>
      </c>
      <c r="L3" s="54">
        <v>1.444</v>
      </c>
      <c r="M3" s="54">
        <v>0.54</v>
      </c>
    </row>
    <row r="4" spans="1:13" ht="15" x14ac:dyDescent="0.25">
      <c r="A4" s="54">
        <v>20</v>
      </c>
      <c r="B4" s="54">
        <v>1053.5999999999999</v>
      </c>
      <c r="C4" s="54">
        <v>125</v>
      </c>
      <c r="D4" s="54">
        <v>39.799999999999997</v>
      </c>
      <c r="E4" s="54">
        <v>1053.5999999999999</v>
      </c>
      <c r="F4" s="54">
        <v>55.6</v>
      </c>
      <c r="G4" s="54">
        <v>16.96</v>
      </c>
      <c r="H4" s="54">
        <v>1053.5999999999999</v>
      </c>
      <c r="I4" s="54">
        <v>1.65</v>
      </c>
      <c r="J4" s="54">
        <v>0.57899999999999996</v>
      </c>
      <c r="K4" s="54">
        <v>1053.5999999999999</v>
      </c>
      <c r="L4" s="54">
        <v>1.444</v>
      </c>
      <c r="M4" s="54">
        <v>0.54</v>
      </c>
    </row>
    <row r="5" spans="1:13" ht="15" x14ac:dyDescent="0.25">
      <c r="A5" s="54">
        <v>40</v>
      </c>
      <c r="B5" s="54">
        <v>1053.5999999999999</v>
      </c>
      <c r="C5" s="54">
        <v>125</v>
      </c>
      <c r="D5" s="54">
        <v>39.799999999999997</v>
      </c>
      <c r="E5" s="54">
        <v>1053.5999999999999</v>
      </c>
      <c r="F5" s="54">
        <v>55.6</v>
      </c>
      <c r="G5" s="54">
        <v>16.96</v>
      </c>
      <c r="H5" s="54">
        <v>1053.5999999999999</v>
      </c>
      <c r="I5" s="54">
        <v>1.65</v>
      </c>
      <c r="J5" s="54">
        <v>0.57899999999999996</v>
      </c>
      <c r="K5" s="54">
        <v>1053.5999999999999</v>
      </c>
      <c r="L5" s="54">
        <v>1.444</v>
      </c>
      <c r="M5" s="54">
        <v>0.54</v>
      </c>
    </row>
    <row r="6" spans="1:13" ht="15" x14ac:dyDescent="0.25">
      <c r="A6" s="54">
        <v>60</v>
      </c>
      <c r="B6" s="54">
        <v>1003.5</v>
      </c>
      <c r="C6" s="54">
        <v>128.66</v>
      </c>
      <c r="D6" s="54">
        <v>37.14</v>
      </c>
      <c r="E6" s="54">
        <v>1003.5</v>
      </c>
      <c r="F6" s="54">
        <v>57.27</v>
      </c>
      <c r="G6" s="54">
        <v>15.56</v>
      </c>
      <c r="H6" s="54">
        <v>1003.5</v>
      </c>
      <c r="I6" s="54">
        <v>1.698</v>
      </c>
      <c r="J6" s="54">
        <v>0.55100000000000005</v>
      </c>
      <c r="K6" s="54">
        <v>1003.5</v>
      </c>
      <c r="L6" s="54">
        <v>1.476</v>
      </c>
      <c r="M6" s="54">
        <v>0.53400000000000003</v>
      </c>
    </row>
    <row r="7" spans="1:13" ht="15" x14ac:dyDescent="0.25">
      <c r="A7" s="54">
        <v>87.7</v>
      </c>
      <c r="B7" s="54">
        <v>900.4</v>
      </c>
      <c r="C7" s="54">
        <v>134.49</v>
      </c>
      <c r="D7" s="54">
        <v>34.67</v>
      </c>
      <c r="E7" s="54">
        <v>900.4</v>
      </c>
      <c r="F7" s="54">
        <v>59.61</v>
      </c>
      <c r="G7" s="54">
        <v>14.62</v>
      </c>
      <c r="H7" s="54">
        <v>900.4</v>
      </c>
      <c r="I7" s="54">
        <v>1.778</v>
      </c>
      <c r="J7" s="54">
        <v>0.52500000000000002</v>
      </c>
      <c r="K7" s="54">
        <v>900.4</v>
      </c>
      <c r="L7" s="54">
        <v>1.528</v>
      </c>
      <c r="M7" s="54">
        <v>0.53800000000000003</v>
      </c>
    </row>
    <row r="8" spans="1:13" ht="15" x14ac:dyDescent="0.25">
      <c r="A8" s="54">
        <v>90</v>
      </c>
      <c r="B8" s="54">
        <v>900.4</v>
      </c>
      <c r="C8" s="54">
        <v>134.49</v>
      </c>
      <c r="D8" s="54">
        <v>34.67</v>
      </c>
      <c r="E8" s="54">
        <v>900.4</v>
      </c>
      <c r="F8" s="54">
        <v>59.61</v>
      </c>
      <c r="G8" s="54">
        <v>14.62</v>
      </c>
      <c r="H8" s="54">
        <v>900.4</v>
      </c>
      <c r="I8" s="54">
        <v>1.778</v>
      </c>
      <c r="J8" s="54">
        <v>0.52500000000000002</v>
      </c>
      <c r="K8" s="54">
        <v>900.4</v>
      </c>
      <c r="L8" s="54">
        <v>1.528</v>
      </c>
      <c r="M8" s="54">
        <v>0.53800000000000003</v>
      </c>
    </row>
    <row r="9" spans="1:13" ht="15" x14ac:dyDescent="0.25">
      <c r="A9" s="54">
        <v>100</v>
      </c>
      <c r="B9" s="54">
        <v>869.1</v>
      </c>
      <c r="C9" s="54">
        <v>135.99</v>
      </c>
      <c r="D9" s="54">
        <v>34.36</v>
      </c>
      <c r="E9" s="54">
        <v>869.1</v>
      </c>
      <c r="F9" s="54">
        <v>60.23</v>
      </c>
      <c r="G9" s="54">
        <v>14.5</v>
      </c>
      <c r="H9" s="54">
        <v>869.1</v>
      </c>
      <c r="I9" s="54">
        <v>1.798</v>
      </c>
      <c r="J9" s="54">
        <v>0.52300000000000002</v>
      </c>
      <c r="K9" s="54">
        <v>869.1</v>
      </c>
      <c r="L9" s="54">
        <v>1.536</v>
      </c>
      <c r="M9" s="54">
        <v>0.54300000000000004</v>
      </c>
    </row>
    <row r="10" spans="1:13" ht="15" x14ac:dyDescent="0.25">
      <c r="A10" s="54">
        <v>200</v>
      </c>
      <c r="B10" s="54">
        <v>22.9</v>
      </c>
      <c r="C10" s="54">
        <v>310.74</v>
      </c>
      <c r="D10" s="54">
        <v>0</v>
      </c>
      <c r="E10" s="54">
        <v>22.9</v>
      </c>
      <c r="F10" s="54">
        <v>108.93</v>
      </c>
      <c r="G10" s="54">
        <v>0</v>
      </c>
      <c r="H10" s="54">
        <v>22.9</v>
      </c>
      <c r="I10" s="54">
        <v>4.47</v>
      </c>
      <c r="J10" s="54">
        <v>0</v>
      </c>
      <c r="K10" s="54">
        <v>22.9</v>
      </c>
      <c r="L10" s="54">
        <v>1.22</v>
      </c>
      <c r="M10" s="54">
        <v>0</v>
      </c>
    </row>
    <row r="11" spans="1:13" ht="15" x14ac:dyDescent="0.25">
      <c r="A11" s="54">
        <v>300</v>
      </c>
      <c r="B11" s="54">
        <v>22.9</v>
      </c>
      <c r="C11" s="54">
        <v>310.74</v>
      </c>
      <c r="D11" s="54">
        <v>0</v>
      </c>
      <c r="E11" s="54">
        <v>22.9</v>
      </c>
      <c r="F11" s="54">
        <v>108.93</v>
      </c>
      <c r="G11" s="54">
        <v>0</v>
      </c>
      <c r="H11" s="54">
        <v>22.9</v>
      </c>
      <c r="I11" s="54">
        <v>4.47</v>
      </c>
      <c r="J11" s="54">
        <v>0</v>
      </c>
      <c r="K11" s="54">
        <v>22.9</v>
      </c>
      <c r="L11" s="54">
        <v>1.22</v>
      </c>
      <c r="M11" s="54">
        <v>0</v>
      </c>
    </row>
    <row r="14" spans="1:13" x14ac:dyDescent="0.2">
      <c r="A14" s="5" t="s">
        <v>33</v>
      </c>
    </row>
    <row r="15" spans="1:13" ht="15" x14ac:dyDescent="0.2">
      <c r="A15" s="57" t="s">
        <v>5</v>
      </c>
      <c r="B15" s="57" t="s">
        <v>31</v>
      </c>
      <c r="C15" s="57" t="s">
        <v>50</v>
      </c>
      <c r="D15" s="57" t="s">
        <v>32</v>
      </c>
      <c r="E15" s="57" t="s">
        <v>123</v>
      </c>
      <c r="F15" s="57" t="s">
        <v>51</v>
      </c>
      <c r="G15" s="57" t="s">
        <v>124</v>
      </c>
      <c r="H15" s="57" t="s">
        <v>125</v>
      </c>
      <c r="I15" s="57" t="s">
        <v>52</v>
      </c>
      <c r="J15" s="57" t="s">
        <v>126</v>
      </c>
      <c r="K15" s="57" t="s">
        <v>127</v>
      </c>
      <c r="L15" s="57" t="s">
        <v>122</v>
      </c>
      <c r="M15" s="57" t="s">
        <v>128</v>
      </c>
    </row>
    <row r="16" spans="1:13" ht="15" x14ac:dyDescent="0.25">
      <c r="A16" s="56">
        <v>0</v>
      </c>
      <c r="B16" s="56">
        <v>75187.899999999994</v>
      </c>
      <c r="C16" s="56">
        <v>148.30000000000001</v>
      </c>
      <c r="D16" s="56">
        <v>87.22</v>
      </c>
      <c r="E16" s="56">
        <v>75187.899999999994</v>
      </c>
      <c r="F16" s="56">
        <v>57.58</v>
      </c>
      <c r="G16" s="56">
        <v>28.46</v>
      </c>
      <c r="H16" s="56">
        <v>75187.899999999994</v>
      </c>
      <c r="I16" s="56">
        <v>2.0630000000000002</v>
      </c>
      <c r="J16" s="56">
        <v>1.347</v>
      </c>
      <c r="K16" s="56">
        <v>75187.899999999994</v>
      </c>
      <c r="L16" s="56">
        <v>2.3290000000000002</v>
      </c>
      <c r="M16" s="56">
        <v>1.3640000000000001</v>
      </c>
    </row>
    <row r="17" spans="1:13" ht="15" x14ac:dyDescent="0.25">
      <c r="A17" s="56">
        <v>20</v>
      </c>
      <c r="B17" s="56">
        <v>75187.899999999994</v>
      </c>
      <c r="C17" s="56">
        <v>148.30000000000001</v>
      </c>
      <c r="D17" s="56">
        <v>87.22</v>
      </c>
      <c r="E17" s="56">
        <v>75187.899999999994</v>
      </c>
      <c r="F17" s="56">
        <v>57.58</v>
      </c>
      <c r="G17" s="56">
        <v>28.46</v>
      </c>
      <c r="H17" s="56">
        <v>75187.899999999994</v>
      </c>
      <c r="I17" s="56">
        <v>2.0630000000000002</v>
      </c>
      <c r="J17" s="56">
        <v>1.347</v>
      </c>
      <c r="K17" s="56">
        <v>75187.899999999994</v>
      </c>
      <c r="L17" s="56">
        <v>2.3290000000000002</v>
      </c>
      <c r="M17" s="56">
        <v>1.3640000000000001</v>
      </c>
    </row>
    <row r="18" spans="1:13" ht="15" x14ac:dyDescent="0.25">
      <c r="A18" s="56">
        <v>40</v>
      </c>
      <c r="B18" s="56">
        <v>74845.899999999994</v>
      </c>
      <c r="C18" s="56">
        <v>148.81</v>
      </c>
      <c r="D18" s="56">
        <v>87.09</v>
      </c>
      <c r="E18" s="56">
        <v>74845.899999999994</v>
      </c>
      <c r="F18" s="56">
        <v>57.77</v>
      </c>
      <c r="G18" s="56">
        <v>28.38</v>
      </c>
      <c r="H18" s="56">
        <v>74845.899999999994</v>
      </c>
      <c r="I18" s="56">
        <v>2.0699999999999998</v>
      </c>
      <c r="J18" s="56">
        <v>1.3460000000000001</v>
      </c>
      <c r="K18" s="56">
        <v>74845.899999999994</v>
      </c>
      <c r="L18" s="56">
        <v>2.3330000000000002</v>
      </c>
      <c r="M18" s="56">
        <v>1.3640000000000001</v>
      </c>
    </row>
    <row r="19" spans="1:13" ht="15" x14ac:dyDescent="0.25">
      <c r="A19" s="56">
        <v>60</v>
      </c>
      <c r="B19" s="56">
        <v>70071.5</v>
      </c>
      <c r="C19" s="56">
        <v>155.35</v>
      </c>
      <c r="D19" s="56">
        <v>86.2</v>
      </c>
      <c r="E19" s="56">
        <v>70071.5</v>
      </c>
      <c r="F19" s="56">
        <v>60.23</v>
      </c>
      <c r="G19" s="56">
        <v>27.65</v>
      </c>
      <c r="H19" s="56">
        <v>70071.5</v>
      </c>
      <c r="I19" s="56">
        <v>2.1619999999999999</v>
      </c>
      <c r="J19" s="56">
        <v>1.343</v>
      </c>
      <c r="K19" s="56">
        <v>70071.5</v>
      </c>
      <c r="L19" s="56">
        <v>2.2810000000000001</v>
      </c>
      <c r="M19" s="56">
        <v>1.375</v>
      </c>
    </row>
    <row r="20" spans="1:13" ht="15" x14ac:dyDescent="0.25">
      <c r="A20" s="56">
        <v>87.7</v>
      </c>
      <c r="B20" s="56">
        <v>53458</v>
      </c>
      <c r="C20" s="56">
        <v>180.34</v>
      </c>
      <c r="D20" s="56">
        <v>84.17</v>
      </c>
      <c r="E20" s="56">
        <v>53458</v>
      </c>
      <c r="F20" s="56">
        <v>68.61</v>
      </c>
      <c r="G20" s="56">
        <v>26.24</v>
      </c>
      <c r="H20" s="56">
        <v>53458</v>
      </c>
      <c r="I20" s="56">
        <v>2.5259999999999998</v>
      </c>
      <c r="J20" s="56">
        <v>1.341</v>
      </c>
      <c r="K20" s="56">
        <v>53458</v>
      </c>
      <c r="L20" s="56">
        <v>1.9990000000000001</v>
      </c>
      <c r="M20" s="56">
        <v>1.296</v>
      </c>
    </row>
    <row r="21" spans="1:13" ht="15" x14ac:dyDescent="0.25">
      <c r="A21" s="56">
        <v>90</v>
      </c>
      <c r="B21" s="56">
        <v>52048.5</v>
      </c>
      <c r="C21" s="56">
        <v>182.82</v>
      </c>
      <c r="D21" s="56">
        <v>83.92</v>
      </c>
      <c r="E21" s="56">
        <v>52048.5</v>
      </c>
      <c r="F21" s="56">
        <v>69.36</v>
      </c>
      <c r="G21" s="56">
        <v>26.17</v>
      </c>
      <c r="H21" s="56">
        <v>52048.5</v>
      </c>
      <c r="I21" s="56">
        <v>2.5640000000000001</v>
      </c>
      <c r="J21" s="56">
        <v>1.34</v>
      </c>
      <c r="K21" s="56">
        <v>52048.5</v>
      </c>
      <c r="L21" s="56">
        <v>1.9870000000000001</v>
      </c>
      <c r="M21" s="56">
        <v>1.2929999999999999</v>
      </c>
    </row>
    <row r="22" spans="1:13" ht="15" x14ac:dyDescent="0.25">
      <c r="A22" s="56">
        <v>100</v>
      </c>
      <c r="B22" s="56">
        <v>45949.599999999999</v>
      </c>
      <c r="C22" s="56">
        <v>194.49</v>
      </c>
      <c r="D22" s="56">
        <v>82.56</v>
      </c>
      <c r="E22" s="56">
        <v>45949.599999999999</v>
      </c>
      <c r="F22" s="56">
        <v>72.77</v>
      </c>
      <c r="G22" s="56">
        <v>25.88</v>
      </c>
      <c r="H22" s="56">
        <v>45949.599999999999</v>
      </c>
      <c r="I22" s="56">
        <v>2.74</v>
      </c>
      <c r="J22" s="56">
        <v>1.329</v>
      </c>
      <c r="K22" s="56">
        <v>45949.599999999999</v>
      </c>
      <c r="L22" s="56">
        <v>1.919</v>
      </c>
      <c r="M22" s="56">
        <v>1.2689999999999999</v>
      </c>
    </row>
    <row r="23" spans="1:13" ht="15" x14ac:dyDescent="0.25">
      <c r="A23" s="56">
        <v>200</v>
      </c>
      <c r="B23" s="56">
        <v>18871</v>
      </c>
      <c r="C23" s="56">
        <v>284.73</v>
      </c>
      <c r="D23" s="56">
        <v>43.88</v>
      </c>
      <c r="E23" s="56">
        <v>18871</v>
      </c>
      <c r="F23" s="56">
        <v>92.74</v>
      </c>
      <c r="G23" s="56">
        <v>21.28</v>
      </c>
      <c r="H23" s="56">
        <v>18871</v>
      </c>
      <c r="I23" s="56">
        <v>4.1849999999999996</v>
      </c>
      <c r="J23" s="56">
        <v>0.69</v>
      </c>
      <c r="K23" s="56">
        <v>18871</v>
      </c>
      <c r="L23" s="56">
        <v>1.1499999999999999</v>
      </c>
      <c r="M23" s="56">
        <v>0.17799999999999999</v>
      </c>
    </row>
    <row r="24" spans="1:13" ht="15" x14ac:dyDescent="0.25">
      <c r="A24" s="56">
        <v>300</v>
      </c>
      <c r="B24" s="56">
        <v>8205.7000000000007</v>
      </c>
      <c r="C24" s="56">
        <v>325.14</v>
      </c>
      <c r="D24" s="56">
        <v>19.41</v>
      </c>
      <c r="E24" s="56">
        <v>8205.7000000000007</v>
      </c>
      <c r="F24" s="56">
        <v>104.74</v>
      </c>
      <c r="G24" s="56">
        <v>19.73</v>
      </c>
      <c r="H24" s="56">
        <v>8205.7000000000007</v>
      </c>
      <c r="I24" s="56">
        <v>4.7930000000000001</v>
      </c>
      <c r="J24" s="56">
        <v>0.26700000000000002</v>
      </c>
      <c r="K24" s="56">
        <v>8205.7000000000007</v>
      </c>
      <c r="L24" s="56">
        <v>1.206</v>
      </c>
      <c r="M24" s="56">
        <v>0.156</v>
      </c>
    </row>
    <row r="25" spans="1:13" ht="15" x14ac:dyDescent="0.25">
      <c r="A25" s="56">
        <v>400</v>
      </c>
      <c r="B25" s="56">
        <v>27.7</v>
      </c>
      <c r="C25" s="56">
        <v>406.16</v>
      </c>
      <c r="D25" s="56">
        <v>1.69</v>
      </c>
      <c r="E25" s="56">
        <v>27.7</v>
      </c>
      <c r="F25" s="56">
        <v>144.19</v>
      </c>
      <c r="G25" s="56">
        <v>1</v>
      </c>
      <c r="H25" s="56">
        <v>27.7</v>
      </c>
      <c r="I25" s="56">
        <v>5.82</v>
      </c>
      <c r="J25" s="56">
        <v>3.1E-2</v>
      </c>
      <c r="K25" s="56">
        <v>27.7</v>
      </c>
      <c r="L25" s="56">
        <v>1.3149999999999999</v>
      </c>
      <c r="M25" s="56">
        <v>1.2999999999999999E-2</v>
      </c>
    </row>
    <row r="27" spans="1:13" x14ac:dyDescent="0.2">
      <c r="A27" s="5" t="s">
        <v>34</v>
      </c>
    </row>
    <row r="28" spans="1:13" ht="15" x14ac:dyDescent="0.2">
      <c r="A28" s="59" t="s">
        <v>5</v>
      </c>
      <c r="B28" s="59" t="s">
        <v>31</v>
      </c>
      <c r="C28" s="59" t="s">
        <v>50</v>
      </c>
      <c r="D28" s="59" t="s">
        <v>32</v>
      </c>
      <c r="E28" s="59" t="s">
        <v>123</v>
      </c>
      <c r="F28" s="59" t="s">
        <v>51</v>
      </c>
      <c r="G28" s="59" t="s">
        <v>124</v>
      </c>
      <c r="H28" s="59" t="s">
        <v>125</v>
      </c>
      <c r="I28" s="59" t="s">
        <v>52</v>
      </c>
      <c r="J28" s="59" t="s">
        <v>126</v>
      </c>
      <c r="K28" s="59" t="s">
        <v>127</v>
      </c>
      <c r="L28" s="59" t="s">
        <v>122</v>
      </c>
      <c r="M28" s="59" t="s">
        <v>128</v>
      </c>
    </row>
    <row r="29" spans="1:13" ht="15" x14ac:dyDescent="0.25">
      <c r="A29" s="58">
        <v>0</v>
      </c>
      <c r="B29" s="58">
        <v>530214.80000000005</v>
      </c>
      <c r="C29" s="58">
        <v>129.27000000000001</v>
      </c>
      <c r="D29" s="58">
        <v>91.7</v>
      </c>
      <c r="E29" s="58">
        <v>530214.80000000005</v>
      </c>
      <c r="F29" s="58">
        <v>62.44</v>
      </c>
      <c r="G29" s="58">
        <v>67.56</v>
      </c>
      <c r="H29" s="58">
        <v>530214.80000000005</v>
      </c>
      <c r="I29" s="58">
        <v>1.6439999999999999</v>
      </c>
      <c r="J29" s="58">
        <v>1.1779999999999999</v>
      </c>
      <c r="K29" s="58">
        <v>530214.80000000005</v>
      </c>
      <c r="L29" s="58">
        <v>1.48</v>
      </c>
      <c r="M29" s="58">
        <v>0.78700000000000003</v>
      </c>
    </row>
    <row r="30" spans="1:13" ht="15" x14ac:dyDescent="0.25">
      <c r="A30" s="58">
        <v>20</v>
      </c>
      <c r="B30" s="58">
        <v>486387</v>
      </c>
      <c r="C30" s="58">
        <v>140.49</v>
      </c>
      <c r="D30" s="58">
        <v>87.42</v>
      </c>
      <c r="E30" s="58">
        <v>486387</v>
      </c>
      <c r="F30" s="58">
        <v>67.84</v>
      </c>
      <c r="G30" s="58">
        <v>67.989999999999995</v>
      </c>
      <c r="H30" s="58">
        <v>486387</v>
      </c>
      <c r="I30" s="58">
        <v>1.7869999999999999</v>
      </c>
      <c r="J30" s="58">
        <v>1.125</v>
      </c>
      <c r="K30" s="58">
        <v>486387</v>
      </c>
      <c r="L30" s="58">
        <v>1.534</v>
      </c>
      <c r="M30" s="58">
        <v>0.79900000000000004</v>
      </c>
    </row>
    <row r="31" spans="1:13" ht="15" x14ac:dyDescent="0.25">
      <c r="A31" s="58">
        <v>40</v>
      </c>
      <c r="B31" s="58">
        <v>453693.4</v>
      </c>
      <c r="C31" s="58">
        <v>148.91</v>
      </c>
      <c r="D31" s="58">
        <v>84.48</v>
      </c>
      <c r="E31" s="58">
        <v>453693.4</v>
      </c>
      <c r="F31" s="58">
        <v>71.78</v>
      </c>
      <c r="G31" s="58">
        <v>68.709999999999994</v>
      </c>
      <c r="H31" s="58">
        <v>453693.4</v>
      </c>
      <c r="I31" s="58">
        <v>1.8959999999999999</v>
      </c>
      <c r="J31" s="58">
        <v>1.0860000000000001</v>
      </c>
      <c r="K31" s="58">
        <v>453693.4</v>
      </c>
      <c r="L31" s="58">
        <v>1.577</v>
      </c>
      <c r="M31" s="58">
        <v>0.81</v>
      </c>
    </row>
    <row r="32" spans="1:13" ht="15" x14ac:dyDescent="0.25">
      <c r="A32" s="58">
        <v>60</v>
      </c>
      <c r="B32" s="58">
        <v>408675.6</v>
      </c>
      <c r="C32" s="58">
        <v>160.32</v>
      </c>
      <c r="D32" s="58">
        <v>81.31</v>
      </c>
      <c r="E32" s="58">
        <v>408675.6</v>
      </c>
      <c r="F32" s="58">
        <v>78.89</v>
      </c>
      <c r="G32" s="58">
        <v>68.709999999999994</v>
      </c>
      <c r="H32" s="58">
        <v>408675.6</v>
      </c>
      <c r="I32" s="58">
        <v>2.0209999999999999</v>
      </c>
      <c r="J32" s="58">
        <v>1.073</v>
      </c>
      <c r="K32" s="58">
        <v>408675.6</v>
      </c>
      <c r="L32" s="58">
        <v>1.625</v>
      </c>
      <c r="M32" s="58">
        <v>0.83599999999999997</v>
      </c>
    </row>
    <row r="33" spans="1:13" ht="15" x14ac:dyDescent="0.25">
      <c r="A33" s="58">
        <v>87.7</v>
      </c>
      <c r="B33" s="58">
        <v>358456.5</v>
      </c>
      <c r="C33" s="58">
        <v>171.61</v>
      </c>
      <c r="D33" s="58">
        <v>80.569999999999993</v>
      </c>
      <c r="E33" s="58">
        <v>358456.5</v>
      </c>
      <c r="F33" s="58">
        <v>84.81</v>
      </c>
      <c r="G33" s="58">
        <v>71.2</v>
      </c>
      <c r="H33" s="58">
        <v>358456.5</v>
      </c>
      <c r="I33" s="58">
        <v>2.1589999999999998</v>
      </c>
      <c r="J33" s="58">
        <v>1.073</v>
      </c>
      <c r="K33" s="58">
        <v>358456.5</v>
      </c>
      <c r="L33" s="58">
        <v>1.6659999999999999</v>
      </c>
      <c r="M33" s="58">
        <v>0.84399999999999997</v>
      </c>
    </row>
    <row r="34" spans="1:13" ht="15" x14ac:dyDescent="0.25">
      <c r="A34" s="58">
        <v>90</v>
      </c>
      <c r="B34" s="58">
        <v>353390.2</v>
      </c>
      <c r="C34" s="58">
        <v>172.8</v>
      </c>
      <c r="D34" s="58">
        <v>80.53</v>
      </c>
      <c r="E34" s="58">
        <v>353390.2</v>
      </c>
      <c r="F34" s="58">
        <v>85.4</v>
      </c>
      <c r="G34" s="58">
        <v>71.510000000000005</v>
      </c>
      <c r="H34" s="58">
        <v>353390.2</v>
      </c>
      <c r="I34" s="58">
        <v>2.173</v>
      </c>
      <c r="J34" s="58">
        <v>1.073</v>
      </c>
      <c r="K34" s="58">
        <v>353390.2</v>
      </c>
      <c r="L34" s="58">
        <v>1.67</v>
      </c>
      <c r="M34" s="58">
        <v>0.84599999999999997</v>
      </c>
    </row>
    <row r="35" spans="1:13" ht="15" x14ac:dyDescent="0.25">
      <c r="A35" s="58">
        <v>100</v>
      </c>
      <c r="B35" s="58">
        <v>312890.40000000002</v>
      </c>
      <c r="C35" s="58">
        <v>182.83</v>
      </c>
      <c r="D35" s="58">
        <v>80.290000000000006</v>
      </c>
      <c r="E35" s="58">
        <v>312890.40000000002</v>
      </c>
      <c r="F35" s="58">
        <v>87.66</v>
      </c>
      <c r="G35" s="58">
        <v>75.3</v>
      </c>
      <c r="H35" s="58">
        <v>312890.40000000002</v>
      </c>
      <c r="I35" s="58">
        <v>2.3340000000000001</v>
      </c>
      <c r="J35" s="58">
        <v>1.0329999999999999</v>
      </c>
      <c r="K35" s="58">
        <v>312890.40000000002</v>
      </c>
      <c r="L35" s="58">
        <v>1.714</v>
      </c>
      <c r="M35" s="58">
        <v>0.879</v>
      </c>
    </row>
    <row r="36" spans="1:13" ht="15" x14ac:dyDescent="0.25">
      <c r="A36" s="58">
        <v>200</v>
      </c>
      <c r="B36" s="58">
        <v>82820.2</v>
      </c>
      <c r="C36" s="58">
        <v>291.99</v>
      </c>
      <c r="D36" s="58">
        <v>80.64</v>
      </c>
      <c r="E36" s="58">
        <v>82820.2</v>
      </c>
      <c r="F36" s="58">
        <v>143.68</v>
      </c>
      <c r="G36" s="58">
        <v>117.44</v>
      </c>
      <c r="H36" s="58">
        <v>82820.2</v>
      </c>
      <c r="I36" s="58">
        <v>3.681</v>
      </c>
      <c r="J36" s="58">
        <v>0.95399999999999996</v>
      </c>
      <c r="K36" s="58">
        <v>82820.2</v>
      </c>
      <c r="L36" s="58">
        <v>1.6140000000000001</v>
      </c>
      <c r="M36" s="58">
        <v>0.47099999999999997</v>
      </c>
    </row>
    <row r="37" spans="1:13" ht="15" x14ac:dyDescent="0.25">
      <c r="A37" s="58">
        <v>300</v>
      </c>
      <c r="B37" s="58">
        <v>21666.2</v>
      </c>
      <c r="C37" s="58">
        <v>412.29</v>
      </c>
      <c r="D37" s="58">
        <v>60.27</v>
      </c>
      <c r="E37" s="58">
        <v>21666.2</v>
      </c>
      <c r="F37" s="58">
        <v>300.97000000000003</v>
      </c>
      <c r="G37" s="58">
        <v>65.319999999999993</v>
      </c>
      <c r="H37" s="58">
        <v>21666.2</v>
      </c>
      <c r="I37" s="58">
        <v>3.9630000000000001</v>
      </c>
      <c r="J37" s="58">
        <v>0.81699999999999995</v>
      </c>
      <c r="K37" s="58">
        <v>21666.2</v>
      </c>
      <c r="L37" s="58">
        <v>1.925</v>
      </c>
      <c r="M37" s="58">
        <v>0.39400000000000002</v>
      </c>
    </row>
    <row r="38" spans="1:13" ht="15" x14ac:dyDescent="0.25">
      <c r="A38" s="58">
        <v>400</v>
      </c>
      <c r="B38" s="58">
        <v>12299.1</v>
      </c>
      <c r="C38" s="58">
        <v>459.49</v>
      </c>
      <c r="D38" s="58">
        <v>24.52</v>
      </c>
      <c r="E38" s="58">
        <v>12299.1</v>
      </c>
      <c r="F38" s="58">
        <v>339.57</v>
      </c>
      <c r="G38" s="58">
        <v>10.93</v>
      </c>
      <c r="H38" s="58">
        <v>12299.1</v>
      </c>
      <c r="I38" s="58">
        <v>4.3650000000000002</v>
      </c>
      <c r="J38" s="58">
        <v>0.38500000000000001</v>
      </c>
      <c r="K38" s="58">
        <v>12299.1</v>
      </c>
      <c r="L38" s="58">
        <v>1.8180000000000001</v>
      </c>
      <c r="M38" s="58">
        <v>0.29099999999999998</v>
      </c>
    </row>
    <row r="41" spans="1:13" x14ac:dyDescent="0.2">
      <c r="A41" s="5" t="s">
        <v>35</v>
      </c>
    </row>
    <row r="42" spans="1:13" ht="15" x14ac:dyDescent="0.2">
      <c r="A42" s="61" t="s">
        <v>5</v>
      </c>
      <c r="B42" s="61" t="s">
        <v>31</v>
      </c>
      <c r="C42" s="61" t="s">
        <v>50</v>
      </c>
      <c r="D42" s="61" t="s">
        <v>32</v>
      </c>
      <c r="E42" s="61" t="s">
        <v>123</v>
      </c>
      <c r="F42" s="61" t="s">
        <v>51</v>
      </c>
      <c r="G42" s="61" t="s">
        <v>124</v>
      </c>
      <c r="H42" s="61" t="s">
        <v>125</v>
      </c>
      <c r="I42" s="61" t="s">
        <v>52</v>
      </c>
      <c r="J42" s="61" t="s">
        <v>126</v>
      </c>
      <c r="K42" s="61" t="s">
        <v>127</v>
      </c>
      <c r="L42" s="61" t="s">
        <v>122</v>
      </c>
      <c r="M42" s="61" t="s">
        <v>128</v>
      </c>
    </row>
    <row r="43" spans="1:13" ht="15" x14ac:dyDescent="0.25">
      <c r="A43" s="60">
        <v>0</v>
      </c>
      <c r="B43" s="60">
        <v>76241.5</v>
      </c>
      <c r="C43" s="60">
        <v>147.97999999999999</v>
      </c>
      <c r="D43" s="60">
        <v>86.78</v>
      </c>
      <c r="E43" s="60">
        <v>76241.5</v>
      </c>
      <c r="F43" s="60">
        <v>57.55</v>
      </c>
      <c r="G43" s="60">
        <v>28.34</v>
      </c>
      <c r="H43" s="60">
        <v>76241.5</v>
      </c>
      <c r="I43" s="60">
        <v>2.0569999999999999</v>
      </c>
      <c r="J43" s="60">
        <v>1.34</v>
      </c>
      <c r="K43" s="60">
        <v>76241.5</v>
      </c>
      <c r="L43" s="60">
        <v>2.3170000000000002</v>
      </c>
      <c r="M43" s="60">
        <v>1.36</v>
      </c>
    </row>
    <row r="44" spans="1:13" ht="15" x14ac:dyDescent="0.25">
      <c r="A44" s="60">
        <v>20</v>
      </c>
      <c r="B44" s="60">
        <v>76241.5</v>
      </c>
      <c r="C44" s="60">
        <v>147.97999999999999</v>
      </c>
      <c r="D44" s="60">
        <v>86.78</v>
      </c>
      <c r="E44" s="60">
        <v>76241.5</v>
      </c>
      <c r="F44" s="60">
        <v>57.55</v>
      </c>
      <c r="G44" s="60">
        <v>28.34</v>
      </c>
      <c r="H44" s="60">
        <v>76241.5</v>
      </c>
      <c r="I44" s="60">
        <v>2.0569999999999999</v>
      </c>
      <c r="J44" s="60">
        <v>1.34</v>
      </c>
      <c r="K44" s="60">
        <v>76241.5</v>
      </c>
      <c r="L44" s="60">
        <v>2.3170000000000002</v>
      </c>
      <c r="M44" s="60">
        <v>1.36</v>
      </c>
    </row>
    <row r="45" spans="1:13" ht="15" x14ac:dyDescent="0.25">
      <c r="A45" s="60">
        <v>40</v>
      </c>
      <c r="B45" s="60">
        <v>75899.5</v>
      </c>
      <c r="C45" s="60">
        <v>148.47999999999999</v>
      </c>
      <c r="D45" s="60">
        <v>86.65</v>
      </c>
      <c r="E45" s="60">
        <v>75899.5</v>
      </c>
      <c r="F45" s="60">
        <v>57.74</v>
      </c>
      <c r="G45" s="60">
        <v>28.26</v>
      </c>
      <c r="H45" s="60">
        <v>75899.5</v>
      </c>
      <c r="I45" s="60">
        <v>2.0640000000000001</v>
      </c>
      <c r="J45" s="60">
        <v>1.339</v>
      </c>
      <c r="K45" s="60">
        <v>75899.5</v>
      </c>
      <c r="L45" s="60">
        <v>2.3210000000000002</v>
      </c>
      <c r="M45" s="60">
        <v>1.36</v>
      </c>
    </row>
    <row r="46" spans="1:13" ht="15" x14ac:dyDescent="0.25">
      <c r="A46" s="60">
        <v>60</v>
      </c>
      <c r="B46" s="60">
        <v>71075</v>
      </c>
      <c r="C46" s="60">
        <v>154.97</v>
      </c>
      <c r="D46" s="60">
        <v>85.76</v>
      </c>
      <c r="E46" s="60">
        <v>71075</v>
      </c>
      <c r="F46" s="60">
        <v>60.18</v>
      </c>
      <c r="G46" s="60">
        <v>27.52</v>
      </c>
      <c r="H46" s="60">
        <v>71075</v>
      </c>
      <c r="I46" s="60">
        <v>2.1560000000000001</v>
      </c>
      <c r="J46" s="60">
        <v>1.3360000000000001</v>
      </c>
      <c r="K46" s="60">
        <v>71075</v>
      </c>
      <c r="L46" s="60">
        <v>2.2690000000000001</v>
      </c>
      <c r="M46" s="60">
        <v>1.37</v>
      </c>
    </row>
    <row r="47" spans="1:13" ht="15" x14ac:dyDescent="0.25">
      <c r="A47" s="60">
        <v>87.7</v>
      </c>
      <c r="B47" s="60">
        <v>54358.400000000001</v>
      </c>
      <c r="C47" s="60">
        <v>179.58</v>
      </c>
      <c r="D47" s="60">
        <v>83.79</v>
      </c>
      <c r="E47" s="60">
        <v>54358.400000000001</v>
      </c>
      <c r="F47" s="60">
        <v>68.459999999999994</v>
      </c>
      <c r="G47" s="60">
        <v>26.11</v>
      </c>
      <c r="H47" s="60">
        <v>54358.400000000001</v>
      </c>
      <c r="I47" s="60">
        <v>2.5139999999999998</v>
      </c>
      <c r="J47" s="60">
        <v>1.335</v>
      </c>
      <c r="K47" s="60">
        <v>54358.400000000001</v>
      </c>
      <c r="L47" s="60">
        <v>1.9910000000000001</v>
      </c>
      <c r="M47" s="60">
        <v>1.2889999999999999</v>
      </c>
    </row>
    <row r="48" spans="1:13" ht="15" x14ac:dyDescent="0.25">
      <c r="A48" s="60">
        <v>90</v>
      </c>
      <c r="B48" s="60">
        <v>52948.9</v>
      </c>
      <c r="C48" s="60">
        <v>182</v>
      </c>
      <c r="D48" s="60">
        <v>83.56</v>
      </c>
      <c r="E48" s="60">
        <v>52948.9</v>
      </c>
      <c r="F48" s="60">
        <v>69.19</v>
      </c>
      <c r="G48" s="60">
        <v>26.04</v>
      </c>
      <c r="H48" s="60">
        <v>52948.9</v>
      </c>
      <c r="I48" s="60">
        <v>2.5499999999999998</v>
      </c>
      <c r="J48" s="60">
        <v>1.3340000000000001</v>
      </c>
      <c r="K48" s="60">
        <v>52948.9</v>
      </c>
      <c r="L48" s="60">
        <v>1.9790000000000001</v>
      </c>
      <c r="M48" s="60">
        <v>1.2849999999999999</v>
      </c>
    </row>
    <row r="49" spans="1:13" ht="15" x14ac:dyDescent="0.25">
      <c r="A49" s="60">
        <v>100</v>
      </c>
      <c r="B49" s="60">
        <v>46818.6</v>
      </c>
      <c r="C49" s="60">
        <v>193.4</v>
      </c>
      <c r="D49" s="60">
        <v>82.3</v>
      </c>
      <c r="E49" s="60">
        <v>46818.6</v>
      </c>
      <c r="F49" s="60">
        <v>72.540000000000006</v>
      </c>
      <c r="G49" s="60">
        <v>25.77</v>
      </c>
      <c r="H49" s="60">
        <v>46818.6</v>
      </c>
      <c r="I49" s="60">
        <v>2.7229999999999999</v>
      </c>
      <c r="J49" s="60">
        <v>1.325</v>
      </c>
      <c r="K49" s="60">
        <v>46818.6</v>
      </c>
      <c r="L49" s="60">
        <v>1.9119999999999999</v>
      </c>
      <c r="M49" s="60">
        <v>1.2609999999999999</v>
      </c>
    </row>
    <row r="50" spans="1:13" ht="15" x14ac:dyDescent="0.25">
      <c r="A50" s="60">
        <v>200</v>
      </c>
      <c r="B50" s="60">
        <v>18894</v>
      </c>
      <c r="C50" s="60">
        <v>284.76</v>
      </c>
      <c r="D50" s="60">
        <v>43.86</v>
      </c>
      <c r="E50" s="60">
        <v>18894</v>
      </c>
      <c r="F50" s="60">
        <v>92.76</v>
      </c>
      <c r="G50" s="60">
        <v>21.28</v>
      </c>
      <c r="H50" s="60">
        <v>18894</v>
      </c>
      <c r="I50" s="60">
        <v>4.1849999999999996</v>
      </c>
      <c r="J50" s="60">
        <v>0.68899999999999995</v>
      </c>
      <c r="K50" s="60">
        <v>18894</v>
      </c>
      <c r="L50" s="60">
        <v>1.1499999999999999</v>
      </c>
      <c r="M50" s="60">
        <v>0.17799999999999999</v>
      </c>
    </row>
    <row r="51" spans="1:13" ht="15" x14ac:dyDescent="0.25">
      <c r="A51" s="60">
        <v>300</v>
      </c>
      <c r="B51" s="60">
        <v>8228.6</v>
      </c>
      <c r="C51" s="60">
        <v>325.10000000000002</v>
      </c>
      <c r="D51" s="60">
        <v>19.399999999999999</v>
      </c>
      <c r="E51" s="60">
        <v>8228.6</v>
      </c>
      <c r="F51" s="60">
        <v>104.75</v>
      </c>
      <c r="G51" s="60">
        <v>19.7</v>
      </c>
      <c r="H51" s="60">
        <v>8228.6</v>
      </c>
      <c r="I51" s="60">
        <v>4.7919999999999998</v>
      </c>
      <c r="J51" s="60">
        <v>0.26700000000000002</v>
      </c>
      <c r="K51" s="60">
        <v>8228.6</v>
      </c>
      <c r="L51" s="60">
        <v>1.206</v>
      </c>
      <c r="M51" s="60">
        <v>0.155</v>
      </c>
    </row>
    <row r="52" spans="1:13" ht="15" x14ac:dyDescent="0.25">
      <c r="A52" s="60">
        <v>400</v>
      </c>
      <c r="B52" s="60">
        <v>27.7</v>
      </c>
      <c r="C52" s="60">
        <v>406.16</v>
      </c>
      <c r="D52" s="60">
        <v>1.69</v>
      </c>
      <c r="E52" s="60">
        <v>27.7</v>
      </c>
      <c r="F52" s="60">
        <v>144.19</v>
      </c>
      <c r="G52" s="60">
        <v>1</v>
      </c>
      <c r="H52" s="60">
        <v>27.7</v>
      </c>
      <c r="I52" s="60">
        <v>5.82</v>
      </c>
      <c r="J52" s="60">
        <v>3.1E-2</v>
      </c>
      <c r="K52" s="60">
        <v>27.7</v>
      </c>
      <c r="L52" s="60">
        <v>1.3149999999999999</v>
      </c>
      <c r="M52" s="60">
        <v>1.2999999999999999E-2</v>
      </c>
    </row>
    <row r="53" spans="1:13" x14ac:dyDescent="0.2">
      <c r="A53" s="1"/>
      <c r="B53">
        <f>+B7+B20</f>
        <v>54358.400000000001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63" t="s">
        <v>5</v>
      </c>
      <c r="B56" s="63" t="s">
        <v>31</v>
      </c>
      <c r="C56" s="63" t="s">
        <v>50</v>
      </c>
      <c r="D56" s="63" t="s">
        <v>32</v>
      </c>
      <c r="E56" s="63" t="s">
        <v>123</v>
      </c>
      <c r="F56" s="63" t="s">
        <v>51</v>
      </c>
      <c r="G56" s="63" t="s">
        <v>124</v>
      </c>
      <c r="H56" s="63" t="s">
        <v>125</v>
      </c>
      <c r="I56" s="63" t="s">
        <v>52</v>
      </c>
      <c r="J56" s="63" t="s">
        <v>126</v>
      </c>
      <c r="K56" s="63" t="s">
        <v>127</v>
      </c>
      <c r="L56" s="63" t="s">
        <v>122</v>
      </c>
      <c r="M56" s="63" t="s">
        <v>128</v>
      </c>
    </row>
    <row r="57" spans="1:13" ht="15" x14ac:dyDescent="0.25">
      <c r="A57" s="62">
        <v>0</v>
      </c>
      <c r="B57" s="62">
        <v>606456.19999999995</v>
      </c>
      <c r="C57" s="62">
        <v>131.63</v>
      </c>
      <c r="D57" s="62">
        <v>91.31</v>
      </c>
      <c r="E57" s="62">
        <v>606456.19999999995</v>
      </c>
      <c r="F57" s="62">
        <v>61.83</v>
      </c>
      <c r="G57" s="62">
        <v>63.98</v>
      </c>
      <c r="H57" s="62">
        <v>606456.19999999995</v>
      </c>
      <c r="I57" s="62">
        <v>1.696</v>
      </c>
      <c r="J57" s="62">
        <v>1.2070000000000001</v>
      </c>
      <c r="K57" s="62">
        <v>606456.19999999995</v>
      </c>
      <c r="L57" s="62">
        <v>1.585</v>
      </c>
      <c r="M57" s="62">
        <v>0.92300000000000004</v>
      </c>
    </row>
    <row r="58" spans="1:13" ht="15" x14ac:dyDescent="0.25">
      <c r="A58" s="62">
        <v>20</v>
      </c>
      <c r="B58" s="62">
        <v>562628.6</v>
      </c>
      <c r="C58" s="62">
        <v>141.51</v>
      </c>
      <c r="D58" s="62">
        <v>87.37</v>
      </c>
      <c r="E58" s="62">
        <v>562628.6</v>
      </c>
      <c r="F58" s="62">
        <v>66.45</v>
      </c>
      <c r="G58" s="62">
        <v>64.17</v>
      </c>
      <c r="H58" s="62">
        <v>562628.6</v>
      </c>
      <c r="I58" s="62">
        <v>1.8240000000000001</v>
      </c>
      <c r="J58" s="62">
        <v>1.1599999999999999</v>
      </c>
      <c r="K58" s="62">
        <v>562628.6</v>
      </c>
      <c r="L58" s="62">
        <v>1.641</v>
      </c>
      <c r="M58" s="62">
        <v>0.93500000000000005</v>
      </c>
    </row>
    <row r="59" spans="1:13" ht="15" x14ac:dyDescent="0.25">
      <c r="A59" s="62">
        <v>40</v>
      </c>
      <c r="B59" s="62">
        <v>529592.9</v>
      </c>
      <c r="C59" s="62">
        <v>148.85</v>
      </c>
      <c r="D59" s="62">
        <v>84.8</v>
      </c>
      <c r="E59" s="62">
        <v>529592.9</v>
      </c>
      <c r="F59" s="62">
        <v>69.77</v>
      </c>
      <c r="G59" s="62">
        <v>64.680000000000007</v>
      </c>
      <c r="H59" s="62">
        <v>529592.9</v>
      </c>
      <c r="I59" s="62">
        <v>1.92</v>
      </c>
      <c r="J59" s="62">
        <v>1.127</v>
      </c>
      <c r="K59" s="62">
        <v>529592.9</v>
      </c>
      <c r="L59" s="62">
        <v>1.6830000000000001</v>
      </c>
      <c r="M59" s="62">
        <v>0.94599999999999995</v>
      </c>
    </row>
    <row r="60" spans="1:13" ht="15" x14ac:dyDescent="0.25">
      <c r="A60" s="62">
        <v>60</v>
      </c>
      <c r="B60" s="62">
        <v>479750.6</v>
      </c>
      <c r="C60" s="62">
        <v>159.53</v>
      </c>
      <c r="D60" s="62">
        <v>82</v>
      </c>
      <c r="E60" s="62">
        <v>479750.6</v>
      </c>
      <c r="F60" s="62">
        <v>76.12</v>
      </c>
      <c r="G60" s="62">
        <v>64.64</v>
      </c>
      <c r="H60" s="62">
        <v>479750.6</v>
      </c>
      <c r="I60" s="62">
        <v>2.0409999999999999</v>
      </c>
      <c r="J60" s="62">
        <v>1.117</v>
      </c>
      <c r="K60" s="62">
        <v>479750.6</v>
      </c>
      <c r="L60" s="62">
        <v>1.72</v>
      </c>
      <c r="M60" s="62">
        <v>0.96199999999999997</v>
      </c>
    </row>
    <row r="61" spans="1:13" ht="15" x14ac:dyDescent="0.25">
      <c r="A61" s="62">
        <v>87.7</v>
      </c>
      <c r="B61" s="62">
        <v>412814.9</v>
      </c>
      <c r="C61" s="62">
        <v>172.66</v>
      </c>
      <c r="D61" s="62">
        <v>81.05</v>
      </c>
      <c r="E61" s="62">
        <v>412814.9</v>
      </c>
      <c r="F61" s="62">
        <v>82.66</v>
      </c>
      <c r="G61" s="62">
        <v>67.25</v>
      </c>
      <c r="H61" s="62">
        <v>412814.9</v>
      </c>
      <c r="I61" s="62">
        <v>2.2050000000000001</v>
      </c>
      <c r="J61" s="62">
        <v>1.117</v>
      </c>
      <c r="K61" s="62">
        <v>412814.9</v>
      </c>
      <c r="L61" s="62">
        <v>1.7090000000000001</v>
      </c>
      <c r="M61" s="62">
        <v>0.92200000000000004</v>
      </c>
    </row>
    <row r="62" spans="1:13" ht="15" x14ac:dyDescent="0.25">
      <c r="A62" s="62">
        <v>90</v>
      </c>
      <c r="B62" s="62">
        <v>406339.1</v>
      </c>
      <c r="C62" s="62">
        <v>174</v>
      </c>
      <c r="D62" s="62">
        <v>80.989999999999995</v>
      </c>
      <c r="E62" s="62">
        <v>406339.1</v>
      </c>
      <c r="F62" s="62">
        <v>83.29</v>
      </c>
      <c r="G62" s="62">
        <v>67.569999999999993</v>
      </c>
      <c r="H62" s="62">
        <v>406339.1</v>
      </c>
      <c r="I62" s="62">
        <v>2.2229999999999999</v>
      </c>
      <c r="J62" s="62">
        <v>1.117</v>
      </c>
      <c r="K62" s="62">
        <v>406339.1</v>
      </c>
      <c r="L62" s="62">
        <v>1.71</v>
      </c>
      <c r="M62" s="62">
        <v>0.92100000000000004</v>
      </c>
    </row>
    <row r="63" spans="1:13" ht="15" x14ac:dyDescent="0.25">
      <c r="A63" s="62">
        <v>100</v>
      </c>
      <c r="B63" s="62">
        <v>359709</v>
      </c>
      <c r="C63" s="62">
        <v>184.2</v>
      </c>
      <c r="D63" s="62">
        <v>80.63</v>
      </c>
      <c r="E63" s="62">
        <v>359709</v>
      </c>
      <c r="F63" s="62">
        <v>85.69</v>
      </c>
      <c r="G63" s="62">
        <v>71.02</v>
      </c>
      <c r="H63" s="62">
        <v>359709</v>
      </c>
      <c r="I63" s="62">
        <v>2.3839999999999999</v>
      </c>
      <c r="J63" s="62">
        <v>1.083</v>
      </c>
      <c r="K63" s="62">
        <v>359709</v>
      </c>
      <c r="L63" s="62">
        <v>1.74</v>
      </c>
      <c r="M63" s="62">
        <v>0.94</v>
      </c>
    </row>
    <row r="64" spans="1:13" ht="15" x14ac:dyDescent="0.25">
      <c r="A64" s="62">
        <v>200</v>
      </c>
      <c r="B64" s="62">
        <v>101714.2</v>
      </c>
      <c r="C64" s="62">
        <v>290.64999999999998</v>
      </c>
      <c r="D64" s="62">
        <v>75.23</v>
      </c>
      <c r="E64" s="62">
        <v>101714.2</v>
      </c>
      <c r="F64" s="62">
        <v>134.22999999999999</v>
      </c>
      <c r="G64" s="62">
        <v>108.19</v>
      </c>
      <c r="H64" s="62">
        <v>101714.2</v>
      </c>
      <c r="I64" s="62">
        <v>3.774</v>
      </c>
      <c r="J64" s="62">
        <v>0.93200000000000005</v>
      </c>
      <c r="K64" s="62">
        <v>101714.2</v>
      </c>
      <c r="L64" s="62">
        <v>1.528</v>
      </c>
      <c r="M64" s="62">
        <v>0.46800000000000003</v>
      </c>
    </row>
    <row r="65" spans="1:13" ht="15" x14ac:dyDescent="0.25">
      <c r="A65" s="62">
        <v>300</v>
      </c>
      <c r="B65" s="62">
        <v>29894.799999999999</v>
      </c>
      <c r="C65" s="62">
        <v>388.29</v>
      </c>
      <c r="D65" s="62">
        <v>65.209999999999994</v>
      </c>
      <c r="E65" s="62">
        <v>29894.799999999999</v>
      </c>
      <c r="F65" s="62">
        <v>246.96</v>
      </c>
      <c r="G65" s="62">
        <v>104.31</v>
      </c>
      <c r="H65" s="62">
        <v>29894.799999999999</v>
      </c>
      <c r="I65" s="62">
        <v>4.1920000000000002</v>
      </c>
      <c r="J65" s="62">
        <v>0.80100000000000005</v>
      </c>
      <c r="K65" s="62">
        <v>29894.799999999999</v>
      </c>
      <c r="L65" s="62">
        <v>1.7270000000000001</v>
      </c>
      <c r="M65" s="62">
        <v>0.47199999999999998</v>
      </c>
    </row>
    <row r="66" spans="1:13" ht="15" x14ac:dyDescent="0.25">
      <c r="A66" s="62">
        <v>400</v>
      </c>
      <c r="B66" s="62">
        <v>12326.8</v>
      </c>
      <c r="C66" s="62">
        <v>459.37</v>
      </c>
      <c r="D66" s="62">
        <v>24.62</v>
      </c>
      <c r="E66" s="62">
        <v>12326.8</v>
      </c>
      <c r="F66" s="62">
        <v>339.13</v>
      </c>
      <c r="G66" s="62">
        <v>14.31</v>
      </c>
      <c r="H66" s="62">
        <v>12326.8</v>
      </c>
      <c r="I66" s="62">
        <v>4.3680000000000003</v>
      </c>
      <c r="J66" s="62">
        <v>0.39</v>
      </c>
      <c r="K66" s="62">
        <v>12326.8</v>
      </c>
      <c r="L66" s="62">
        <v>1.8169999999999999</v>
      </c>
      <c r="M66" s="62">
        <v>0.29099999999999998</v>
      </c>
    </row>
    <row r="67" spans="1:13" x14ac:dyDescent="0.2">
      <c r="A67" s="1"/>
      <c r="B67">
        <f>+B7+B20+B33</f>
        <v>412814.9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4" workbookViewId="0">
      <selection activeCell="K71" sqref="K71"/>
    </sheetView>
  </sheetViews>
  <sheetFormatPr baseColWidth="10" defaultRowHeight="12.75" x14ac:dyDescent="0.2"/>
  <sheetData>
    <row r="1" spans="1:13" x14ac:dyDescent="0.2">
      <c r="A1" s="5" t="s">
        <v>30</v>
      </c>
    </row>
    <row r="2" spans="1:13" x14ac:dyDescent="0.2">
      <c r="A2" t="s">
        <v>5</v>
      </c>
      <c r="B2" t="s">
        <v>31</v>
      </c>
      <c r="C2" t="s">
        <v>50</v>
      </c>
      <c r="D2" t="s">
        <v>32</v>
      </c>
      <c r="E2" t="s">
        <v>31</v>
      </c>
      <c r="F2" t="s">
        <v>51</v>
      </c>
      <c r="G2" t="s">
        <v>32</v>
      </c>
      <c r="H2" t="s">
        <v>31</v>
      </c>
      <c r="I2" t="s">
        <v>52</v>
      </c>
      <c r="J2" t="s">
        <v>32</v>
      </c>
      <c r="K2" t="s">
        <v>31</v>
      </c>
      <c r="L2" t="s">
        <v>122</v>
      </c>
      <c r="M2" t="s">
        <v>32</v>
      </c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</row>
    <row r="14" spans="1:13" x14ac:dyDescent="0.2">
      <c r="A14" s="5" t="s">
        <v>33</v>
      </c>
    </row>
    <row r="15" spans="1:13" ht="15" x14ac:dyDescent="0.2">
      <c r="A15" s="105" t="s">
        <v>5</v>
      </c>
      <c r="B15" s="105" t="s">
        <v>31</v>
      </c>
      <c r="C15" s="105" t="s">
        <v>50</v>
      </c>
      <c r="D15" s="105" t="s">
        <v>32</v>
      </c>
      <c r="E15" s="105" t="s">
        <v>123</v>
      </c>
      <c r="F15" s="105" t="s">
        <v>51</v>
      </c>
      <c r="G15" s="105" t="s">
        <v>124</v>
      </c>
      <c r="H15" s="105" t="s">
        <v>125</v>
      </c>
      <c r="I15" s="105" t="s">
        <v>52</v>
      </c>
      <c r="J15" s="105" t="s">
        <v>126</v>
      </c>
      <c r="K15" s="105" t="s">
        <v>127</v>
      </c>
      <c r="L15" s="105" t="s">
        <v>122</v>
      </c>
      <c r="M15" s="105" t="s">
        <v>128</v>
      </c>
    </row>
    <row r="16" spans="1:13" ht="15" x14ac:dyDescent="0.25">
      <c r="A16" s="104">
        <v>0</v>
      </c>
      <c r="B16" s="104">
        <v>4415.8</v>
      </c>
      <c r="C16" s="104">
        <v>240.93</v>
      </c>
      <c r="D16" s="104">
        <v>243.18</v>
      </c>
      <c r="E16" s="104">
        <v>3894.7</v>
      </c>
      <c r="F16" s="104">
        <v>277.06</v>
      </c>
      <c r="G16" s="104">
        <v>310.47000000000003</v>
      </c>
      <c r="H16" s="104">
        <v>3894.7</v>
      </c>
      <c r="I16" s="104">
        <v>1.649</v>
      </c>
      <c r="J16" s="104">
        <v>0.71499999999999997</v>
      </c>
      <c r="K16" s="104">
        <v>4415.8</v>
      </c>
      <c r="L16" s="104">
        <v>0.874</v>
      </c>
      <c r="M16" s="104">
        <v>0.13900000000000001</v>
      </c>
    </row>
    <row r="17" spans="1:13" ht="15" x14ac:dyDescent="0.25">
      <c r="A17" s="104">
        <v>20</v>
      </c>
      <c r="B17" s="104">
        <v>3870.4</v>
      </c>
      <c r="C17" s="104">
        <v>274.76</v>
      </c>
      <c r="D17" s="104">
        <v>241.24</v>
      </c>
      <c r="E17" s="104">
        <v>3870.4</v>
      </c>
      <c r="F17" s="104">
        <v>278.76</v>
      </c>
      <c r="G17" s="104">
        <v>310.69</v>
      </c>
      <c r="H17" s="104">
        <v>3870.4</v>
      </c>
      <c r="I17" s="104">
        <v>1.6579999999999999</v>
      </c>
      <c r="J17" s="104">
        <v>0.70799999999999996</v>
      </c>
      <c r="K17" s="104">
        <v>3870.4</v>
      </c>
      <c r="L17" s="104">
        <v>0.88100000000000001</v>
      </c>
      <c r="M17" s="104">
        <v>0.14399999999999999</v>
      </c>
    </row>
    <row r="18" spans="1:13" ht="15" x14ac:dyDescent="0.25">
      <c r="A18" s="104">
        <v>40</v>
      </c>
      <c r="B18" s="104">
        <v>3764.8</v>
      </c>
      <c r="C18" s="104">
        <v>281.54000000000002</v>
      </c>
      <c r="D18" s="104">
        <v>241.13</v>
      </c>
      <c r="E18" s="104">
        <v>3764.8</v>
      </c>
      <c r="F18" s="104">
        <v>286.25</v>
      </c>
      <c r="G18" s="104">
        <v>311.74</v>
      </c>
      <c r="H18" s="104">
        <v>3764.8</v>
      </c>
      <c r="I18" s="104">
        <v>1.6910000000000001</v>
      </c>
      <c r="J18" s="104">
        <v>0.68899999999999995</v>
      </c>
      <c r="K18" s="104">
        <v>3764.8</v>
      </c>
      <c r="L18" s="104">
        <v>0.88300000000000001</v>
      </c>
      <c r="M18" s="104">
        <v>0.14599999999999999</v>
      </c>
    </row>
    <row r="19" spans="1:13" ht="15" x14ac:dyDescent="0.25">
      <c r="A19" s="104">
        <v>60</v>
      </c>
      <c r="B19" s="104">
        <v>3541.9</v>
      </c>
      <c r="C19" s="104">
        <v>296.13</v>
      </c>
      <c r="D19" s="104">
        <v>241.26</v>
      </c>
      <c r="E19" s="104">
        <v>3541.9</v>
      </c>
      <c r="F19" s="104">
        <v>303.29000000000002</v>
      </c>
      <c r="G19" s="104">
        <v>313.66000000000003</v>
      </c>
      <c r="H19" s="104">
        <v>3541.9</v>
      </c>
      <c r="I19" s="104">
        <v>1.7509999999999999</v>
      </c>
      <c r="J19" s="104">
        <v>0.66500000000000004</v>
      </c>
      <c r="K19" s="104">
        <v>3541.9</v>
      </c>
      <c r="L19" s="104">
        <v>0.88900000000000001</v>
      </c>
      <c r="M19" s="104">
        <v>0.14899999999999999</v>
      </c>
    </row>
    <row r="20" spans="1:13" ht="15" x14ac:dyDescent="0.25">
      <c r="A20" s="104">
        <v>87.7</v>
      </c>
      <c r="B20" s="104">
        <v>2705.6</v>
      </c>
      <c r="C20" s="104">
        <v>363.7</v>
      </c>
      <c r="D20" s="104">
        <v>238.43</v>
      </c>
      <c r="E20" s="104">
        <v>2705.6</v>
      </c>
      <c r="F20" s="104">
        <v>391.95</v>
      </c>
      <c r="G20" s="104">
        <v>309.01</v>
      </c>
      <c r="H20" s="104">
        <v>2705.6</v>
      </c>
      <c r="I20" s="104">
        <v>1.9059999999999999</v>
      </c>
      <c r="J20" s="104">
        <v>0.68600000000000005</v>
      </c>
      <c r="K20" s="104">
        <v>2705.6</v>
      </c>
      <c r="L20" s="104">
        <v>0.88300000000000001</v>
      </c>
      <c r="M20" s="104">
        <v>0.156</v>
      </c>
    </row>
    <row r="21" spans="1:13" ht="15" x14ac:dyDescent="0.25">
      <c r="A21" s="104">
        <v>90</v>
      </c>
      <c r="B21" s="104">
        <v>2532.5</v>
      </c>
      <c r="C21" s="104">
        <v>382.48</v>
      </c>
      <c r="D21" s="104">
        <v>234.99</v>
      </c>
      <c r="E21" s="104">
        <v>2532.5</v>
      </c>
      <c r="F21" s="104">
        <v>417.62</v>
      </c>
      <c r="G21" s="104">
        <v>302.86</v>
      </c>
      <c r="H21" s="104">
        <v>2532.5</v>
      </c>
      <c r="I21" s="104">
        <v>1.9359999999999999</v>
      </c>
      <c r="J21" s="104">
        <v>0.69899999999999995</v>
      </c>
      <c r="K21" s="104">
        <v>2532.5</v>
      </c>
      <c r="L21" s="104">
        <v>0.871</v>
      </c>
      <c r="M21" s="104">
        <v>0.15</v>
      </c>
    </row>
    <row r="22" spans="1:13" ht="15" x14ac:dyDescent="0.25">
      <c r="A22" s="104">
        <v>100</v>
      </c>
      <c r="B22" s="104">
        <v>2289.1</v>
      </c>
      <c r="C22" s="104">
        <v>413.26</v>
      </c>
      <c r="D22" s="104">
        <v>226.35</v>
      </c>
      <c r="E22" s="104">
        <v>2289.1</v>
      </c>
      <c r="F22" s="104">
        <v>459.97</v>
      </c>
      <c r="G22" s="104">
        <v>287.73</v>
      </c>
      <c r="H22" s="104">
        <v>2289.1</v>
      </c>
      <c r="I22" s="104">
        <v>1.982</v>
      </c>
      <c r="J22" s="104">
        <v>0.71799999999999997</v>
      </c>
      <c r="K22" s="104">
        <v>2289.1</v>
      </c>
      <c r="L22" s="104">
        <v>0.83099999999999996</v>
      </c>
      <c r="M22" s="104">
        <v>7.8E-2</v>
      </c>
    </row>
    <row r="23" spans="1:13" ht="15" x14ac:dyDescent="0.25">
      <c r="A23" s="104">
        <v>200</v>
      </c>
      <c r="B23" s="104">
        <v>2031.7</v>
      </c>
      <c r="C23" s="104">
        <v>444.91</v>
      </c>
      <c r="D23" s="104">
        <v>220.72</v>
      </c>
      <c r="E23" s="104">
        <v>2031.7</v>
      </c>
      <c r="F23" s="104">
        <v>497.96</v>
      </c>
      <c r="G23" s="104">
        <v>283.42</v>
      </c>
      <c r="H23" s="104">
        <v>2031.7</v>
      </c>
      <c r="I23" s="104">
        <v>2.0990000000000002</v>
      </c>
      <c r="J23" s="104">
        <v>0.67300000000000004</v>
      </c>
      <c r="K23" s="104">
        <v>2031.7</v>
      </c>
      <c r="L23" s="104">
        <v>0.83399999999999996</v>
      </c>
      <c r="M23" s="104">
        <v>8.2000000000000003E-2</v>
      </c>
    </row>
    <row r="24" spans="1:13" ht="15" x14ac:dyDescent="0.25">
      <c r="A24" s="104">
        <v>300</v>
      </c>
      <c r="B24" s="104">
        <v>1559.3</v>
      </c>
      <c r="C24" s="104">
        <v>502.01</v>
      </c>
      <c r="D24" s="104">
        <v>221.82</v>
      </c>
      <c r="E24" s="104">
        <v>1559.3</v>
      </c>
      <c r="F24" s="104">
        <v>568.85</v>
      </c>
      <c r="G24" s="104">
        <v>287.37</v>
      </c>
      <c r="H24" s="104">
        <v>1559.3</v>
      </c>
      <c r="I24" s="104">
        <v>2.2799999999999998</v>
      </c>
      <c r="J24" s="104">
        <v>0.65100000000000002</v>
      </c>
      <c r="K24" s="104">
        <v>1559.3</v>
      </c>
      <c r="L24" s="104">
        <v>0.84399999999999997</v>
      </c>
      <c r="M24" s="104">
        <v>9.0999999999999998E-2</v>
      </c>
    </row>
    <row r="25" spans="1:13" ht="15" x14ac:dyDescent="0.25">
      <c r="A25" s="104">
        <v>400</v>
      </c>
      <c r="B25" s="104">
        <v>803.1</v>
      </c>
      <c r="C25" s="104">
        <v>658.53</v>
      </c>
      <c r="D25" s="104">
        <v>210.61</v>
      </c>
      <c r="E25" s="104">
        <v>803.1</v>
      </c>
      <c r="F25" s="104">
        <v>771.5</v>
      </c>
      <c r="G25" s="104">
        <v>270.61</v>
      </c>
      <c r="H25" s="104">
        <v>803.1</v>
      </c>
      <c r="I25" s="104">
        <v>2.673</v>
      </c>
      <c r="J25" s="104">
        <v>0.623</v>
      </c>
      <c r="K25" s="104">
        <v>803.1</v>
      </c>
      <c r="L25" s="104">
        <v>0.80900000000000005</v>
      </c>
      <c r="M25" s="104">
        <v>3.5000000000000003E-2</v>
      </c>
    </row>
    <row r="27" spans="1:13" x14ac:dyDescent="0.2">
      <c r="A27" s="5" t="s">
        <v>34</v>
      </c>
    </row>
    <row r="28" spans="1:13" ht="15" x14ac:dyDescent="0.2">
      <c r="A28" s="107" t="s">
        <v>5</v>
      </c>
      <c r="B28" s="107" t="s">
        <v>31</v>
      </c>
      <c r="C28" s="107" t="s">
        <v>50</v>
      </c>
      <c r="D28" s="107" t="s">
        <v>32</v>
      </c>
      <c r="E28" s="107" t="s">
        <v>123</v>
      </c>
      <c r="F28" s="107" t="s">
        <v>51</v>
      </c>
      <c r="G28" s="107" t="s">
        <v>124</v>
      </c>
      <c r="H28" s="107" t="s">
        <v>125</v>
      </c>
      <c r="I28" s="107" t="s">
        <v>52</v>
      </c>
      <c r="J28" s="107" t="s">
        <v>126</v>
      </c>
      <c r="K28" s="107" t="s">
        <v>127</v>
      </c>
      <c r="L28" s="107" t="s">
        <v>122</v>
      </c>
      <c r="M28" s="107" t="s">
        <v>128</v>
      </c>
    </row>
    <row r="29" spans="1:13" ht="15" x14ac:dyDescent="0.25">
      <c r="A29" s="106">
        <v>0</v>
      </c>
      <c r="B29" s="106">
        <v>141841.4</v>
      </c>
      <c r="C29" s="106">
        <v>145.57</v>
      </c>
      <c r="D29" s="106">
        <v>110.41</v>
      </c>
      <c r="E29" s="106">
        <v>134099.79999999999</v>
      </c>
      <c r="F29" s="106">
        <v>110.19</v>
      </c>
      <c r="G29" s="106">
        <v>127.78</v>
      </c>
      <c r="H29" s="106">
        <v>134099.79999999999</v>
      </c>
      <c r="I29" s="106">
        <v>1.508</v>
      </c>
      <c r="J29" s="106">
        <v>0.78700000000000003</v>
      </c>
      <c r="K29" s="106">
        <v>141841.4</v>
      </c>
      <c r="L29" s="106">
        <v>1.625</v>
      </c>
      <c r="M29" s="106">
        <v>0.79</v>
      </c>
    </row>
    <row r="30" spans="1:13" ht="15" x14ac:dyDescent="0.25">
      <c r="A30" s="106">
        <v>20</v>
      </c>
      <c r="B30" s="106">
        <v>134012.70000000001</v>
      </c>
      <c r="C30" s="106">
        <v>154.06</v>
      </c>
      <c r="D30" s="106">
        <v>107.68</v>
      </c>
      <c r="E30" s="106">
        <v>134012.70000000001</v>
      </c>
      <c r="F30" s="106">
        <v>110.26</v>
      </c>
      <c r="G30" s="106">
        <v>127.79</v>
      </c>
      <c r="H30" s="106">
        <v>134012.70000000001</v>
      </c>
      <c r="I30" s="106">
        <v>1.5089999999999999</v>
      </c>
      <c r="J30" s="106">
        <v>0.78700000000000003</v>
      </c>
      <c r="K30" s="106">
        <v>134012.70000000001</v>
      </c>
      <c r="L30" s="106">
        <v>1.6619999999999999</v>
      </c>
      <c r="M30" s="106">
        <v>0.78900000000000003</v>
      </c>
    </row>
    <row r="31" spans="1:13" ht="15" x14ac:dyDescent="0.25">
      <c r="A31" s="106">
        <v>40</v>
      </c>
      <c r="B31" s="106">
        <v>131802.29999999999</v>
      </c>
      <c r="C31" s="106">
        <v>156.09</v>
      </c>
      <c r="D31" s="106">
        <v>107.42</v>
      </c>
      <c r="E31" s="106">
        <v>131802.29999999999</v>
      </c>
      <c r="F31" s="106">
        <v>111.83</v>
      </c>
      <c r="G31" s="106">
        <v>128.27000000000001</v>
      </c>
      <c r="H31" s="106">
        <v>131802.29999999999</v>
      </c>
      <c r="I31" s="106">
        <v>1.5269999999999999</v>
      </c>
      <c r="J31" s="106">
        <v>0.78</v>
      </c>
      <c r="K31" s="106">
        <v>131802.29999999999</v>
      </c>
      <c r="L31" s="106">
        <v>1.677</v>
      </c>
      <c r="M31" s="106">
        <v>0.78800000000000003</v>
      </c>
    </row>
    <row r="32" spans="1:13" ht="15" x14ac:dyDescent="0.25">
      <c r="A32" s="106">
        <v>60</v>
      </c>
      <c r="B32" s="106">
        <v>122908</v>
      </c>
      <c r="C32" s="106">
        <v>163.75</v>
      </c>
      <c r="D32" s="106">
        <v>107.25</v>
      </c>
      <c r="E32" s="106">
        <v>122908</v>
      </c>
      <c r="F32" s="106">
        <v>117.84</v>
      </c>
      <c r="G32" s="106">
        <v>130.75</v>
      </c>
      <c r="H32" s="106">
        <v>122908</v>
      </c>
      <c r="I32" s="106">
        <v>1.5960000000000001</v>
      </c>
      <c r="J32" s="106">
        <v>0.76200000000000001</v>
      </c>
      <c r="K32" s="106">
        <v>122908</v>
      </c>
      <c r="L32" s="106">
        <v>1.728</v>
      </c>
      <c r="M32" s="106">
        <v>0.78700000000000003</v>
      </c>
    </row>
    <row r="33" spans="1:13" ht="15" x14ac:dyDescent="0.25">
      <c r="A33" s="106">
        <v>87.7</v>
      </c>
      <c r="B33" s="106">
        <v>97671.7</v>
      </c>
      <c r="C33" s="106">
        <v>186.25</v>
      </c>
      <c r="D33" s="106">
        <v>109.55</v>
      </c>
      <c r="E33" s="106">
        <v>97671.7</v>
      </c>
      <c r="F33" s="106">
        <v>134.26</v>
      </c>
      <c r="G33" s="106">
        <v>141.93</v>
      </c>
      <c r="H33" s="106">
        <v>97671.7</v>
      </c>
      <c r="I33" s="106">
        <v>1.8120000000000001</v>
      </c>
      <c r="J33" s="106">
        <v>0.70299999999999996</v>
      </c>
      <c r="K33" s="106">
        <v>97671.7</v>
      </c>
      <c r="L33" s="106">
        <v>1.833</v>
      </c>
      <c r="M33" s="106">
        <v>0.80500000000000005</v>
      </c>
    </row>
    <row r="34" spans="1:13" ht="15" x14ac:dyDescent="0.25">
      <c r="A34" s="106">
        <v>90</v>
      </c>
      <c r="B34" s="106">
        <v>96598.3</v>
      </c>
      <c r="C34" s="106">
        <v>187.33</v>
      </c>
      <c r="D34" s="106">
        <v>109.67</v>
      </c>
      <c r="E34" s="106">
        <v>96598.3</v>
      </c>
      <c r="F34" s="106">
        <v>135.08000000000001</v>
      </c>
      <c r="G34" s="106">
        <v>142.46</v>
      </c>
      <c r="H34" s="106">
        <v>96598.3</v>
      </c>
      <c r="I34" s="106">
        <v>1.8220000000000001</v>
      </c>
      <c r="J34" s="106">
        <v>0.69899999999999995</v>
      </c>
      <c r="K34" s="106">
        <v>96598.3</v>
      </c>
      <c r="L34" s="106">
        <v>1.839</v>
      </c>
      <c r="M34" s="106">
        <v>0.80500000000000005</v>
      </c>
    </row>
    <row r="35" spans="1:13" ht="15" x14ac:dyDescent="0.25">
      <c r="A35" s="106">
        <v>100</v>
      </c>
      <c r="B35" s="106">
        <v>89653.6</v>
      </c>
      <c r="C35" s="106">
        <v>194.42</v>
      </c>
      <c r="D35" s="106">
        <v>110.72</v>
      </c>
      <c r="E35" s="106">
        <v>89653.6</v>
      </c>
      <c r="F35" s="106">
        <v>140.63</v>
      </c>
      <c r="G35" s="106">
        <v>146.18</v>
      </c>
      <c r="H35" s="106">
        <v>89653.6</v>
      </c>
      <c r="I35" s="106">
        <v>1.885</v>
      </c>
      <c r="J35" s="106">
        <v>0.67800000000000005</v>
      </c>
      <c r="K35" s="106">
        <v>89653.6</v>
      </c>
      <c r="L35" s="106">
        <v>1.8759999999999999</v>
      </c>
      <c r="M35" s="106">
        <v>0.80300000000000005</v>
      </c>
    </row>
    <row r="36" spans="1:13" ht="15" x14ac:dyDescent="0.25">
      <c r="A36" s="106">
        <v>200</v>
      </c>
      <c r="B36" s="106">
        <v>28344.9</v>
      </c>
      <c r="C36" s="106">
        <v>302.56</v>
      </c>
      <c r="D36" s="106">
        <v>141.19</v>
      </c>
      <c r="E36" s="106">
        <v>28344.9</v>
      </c>
      <c r="F36" s="106">
        <v>274.98</v>
      </c>
      <c r="G36" s="106">
        <v>195.33</v>
      </c>
      <c r="H36" s="106">
        <v>28344.9</v>
      </c>
      <c r="I36" s="106">
        <v>2.2280000000000002</v>
      </c>
      <c r="J36" s="106">
        <v>0.60699999999999998</v>
      </c>
      <c r="K36" s="106">
        <v>28344.9</v>
      </c>
      <c r="L36" s="106">
        <v>2.2639999999999998</v>
      </c>
      <c r="M36" s="106">
        <v>0.84699999999999998</v>
      </c>
    </row>
    <row r="37" spans="1:13" ht="15" x14ac:dyDescent="0.25">
      <c r="A37" s="106">
        <v>300</v>
      </c>
      <c r="B37" s="106">
        <v>5140.3999999999996</v>
      </c>
      <c r="C37" s="106">
        <v>515.6</v>
      </c>
      <c r="D37" s="106">
        <v>223.93</v>
      </c>
      <c r="E37" s="106">
        <v>5140.3999999999996</v>
      </c>
      <c r="F37" s="106">
        <v>566.67999999999995</v>
      </c>
      <c r="G37" s="106">
        <v>313.43</v>
      </c>
      <c r="H37" s="106">
        <v>5140.3999999999996</v>
      </c>
      <c r="I37" s="106">
        <v>2.5630000000000002</v>
      </c>
      <c r="J37" s="106">
        <v>0.56299999999999994</v>
      </c>
      <c r="K37" s="106">
        <v>5140.3999999999996</v>
      </c>
      <c r="L37" s="106">
        <v>1.5469999999999999</v>
      </c>
      <c r="M37" s="106">
        <v>0.86799999999999999</v>
      </c>
    </row>
    <row r="38" spans="1:13" ht="15" x14ac:dyDescent="0.25">
      <c r="A38" s="106">
        <v>400</v>
      </c>
      <c r="B38" s="106">
        <v>2272.9</v>
      </c>
      <c r="C38" s="106">
        <v>742.66</v>
      </c>
      <c r="D38" s="106">
        <v>141.72</v>
      </c>
      <c r="E38" s="106">
        <v>2272.9</v>
      </c>
      <c r="F38" s="106">
        <v>888.29</v>
      </c>
      <c r="G38" s="106">
        <v>186.4</v>
      </c>
      <c r="H38" s="106">
        <v>2272.9</v>
      </c>
      <c r="I38" s="106">
        <v>2.786</v>
      </c>
      <c r="J38" s="106">
        <v>0.63800000000000001</v>
      </c>
      <c r="K38" s="106">
        <v>2272.9</v>
      </c>
      <c r="L38" s="106">
        <v>0.87</v>
      </c>
      <c r="M38" s="106">
        <v>0.14699999999999999</v>
      </c>
    </row>
    <row r="41" spans="1:13" x14ac:dyDescent="0.2">
      <c r="A41" s="5" t="s">
        <v>35</v>
      </c>
    </row>
    <row r="42" spans="1:13" ht="15" x14ac:dyDescent="0.2">
      <c r="A42" s="109" t="s">
        <v>5</v>
      </c>
      <c r="B42" s="109" t="s">
        <v>31</v>
      </c>
      <c r="C42" s="109" t="s">
        <v>50</v>
      </c>
      <c r="D42" s="109" t="s">
        <v>32</v>
      </c>
      <c r="E42" s="109" t="s">
        <v>123</v>
      </c>
      <c r="F42" s="109" t="s">
        <v>51</v>
      </c>
      <c r="G42" s="109" t="s">
        <v>124</v>
      </c>
      <c r="H42" s="109" t="s">
        <v>125</v>
      </c>
      <c r="I42" s="109" t="s">
        <v>52</v>
      </c>
      <c r="J42" s="109" t="s">
        <v>126</v>
      </c>
      <c r="K42" s="109" t="s">
        <v>127</v>
      </c>
      <c r="L42" s="109" t="s">
        <v>122</v>
      </c>
      <c r="M42" s="109" t="s">
        <v>128</v>
      </c>
    </row>
    <row r="43" spans="1:13" ht="15" x14ac:dyDescent="0.25">
      <c r="A43" s="108">
        <v>0</v>
      </c>
      <c r="B43" s="108">
        <v>4415.8</v>
      </c>
      <c r="C43" s="108">
        <v>240.93</v>
      </c>
      <c r="D43" s="108">
        <v>243.18</v>
      </c>
      <c r="E43" s="108">
        <v>3894.7</v>
      </c>
      <c r="F43" s="108">
        <v>277.06</v>
      </c>
      <c r="G43" s="108">
        <v>310.47000000000003</v>
      </c>
      <c r="H43" s="108">
        <v>3894.7</v>
      </c>
      <c r="I43" s="108">
        <v>1.649</v>
      </c>
      <c r="J43" s="108">
        <v>0.71499999999999997</v>
      </c>
      <c r="K43" s="108">
        <v>4415.8</v>
      </c>
      <c r="L43" s="108">
        <v>0.874</v>
      </c>
      <c r="M43" s="108">
        <v>0.13900000000000001</v>
      </c>
    </row>
    <row r="44" spans="1:13" ht="15" x14ac:dyDescent="0.25">
      <c r="A44" s="108">
        <v>20</v>
      </c>
      <c r="B44" s="108">
        <v>3870.4</v>
      </c>
      <c r="C44" s="108">
        <v>274.76</v>
      </c>
      <c r="D44" s="108">
        <v>241.24</v>
      </c>
      <c r="E44" s="108">
        <v>3870.4</v>
      </c>
      <c r="F44" s="108">
        <v>278.76</v>
      </c>
      <c r="G44" s="108">
        <v>310.69</v>
      </c>
      <c r="H44" s="108">
        <v>3870.4</v>
      </c>
      <c r="I44" s="108">
        <v>1.6579999999999999</v>
      </c>
      <c r="J44" s="108">
        <v>0.70799999999999996</v>
      </c>
      <c r="K44" s="108">
        <v>3870.4</v>
      </c>
      <c r="L44" s="108">
        <v>0.88100000000000001</v>
      </c>
      <c r="M44" s="108">
        <v>0.14399999999999999</v>
      </c>
    </row>
    <row r="45" spans="1:13" ht="15" x14ac:dyDescent="0.25">
      <c r="A45" s="108">
        <v>40</v>
      </c>
      <c r="B45" s="108">
        <v>3764.8</v>
      </c>
      <c r="C45" s="108">
        <v>281.54000000000002</v>
      </c>
      <c r="D45" s="108">
        <v>241.13</v>
      </c>
      <c r="E45" s="108">
        <v>3764.8</v>
      </c>
      <c r="F45" s="108">
        <v>286.25</v>
      </c>
      <c r="G45" s="108">
        <v>311.74</v>
      </c>
      <c r="H45" s="108">
        <v>3764.8</v>
      </c>
      <c r="I45" s="108">
        <v>1.6910000000000001</v>
      </c>
      <c r="J45" s="108">
        <v>0.68899999999999995</v>
      </c>
      <c r="K45" s="108">
        <v>3764.8</v>
      </c>
      <c r="L45" s="108">
        <v>0.88300000000000001</v>
      </c>
      <c r="M45" s="108">
        <v>0.14599999999999999</v>
      </c>
    </row>
    <row r="46" spans="1:13" ht="15" x14ac:dyDescent="0.25">
      <c r="A46" s="108">
        <v>60</v>
      </c>
      <c r="B46" s="108">
        <v>3541.9</v>
      </c>
      <c r="C46" s="108">
        <v>296.13</v>
      </c>
      <c r="D46" s="108">
        <v>241.26</v>
      </c>
      <c r="E46" s="108">
        <v>3541.9</v>
      </c>
      <c r="F46" s="108">
        <v>303.29000000000002</v>
      </c>
      <c r="G46" s="108">
        <v>313.66000000000003</v>
      </c>
      <c r="H46" s="108">
        <v>3541.9</v>
      </c>
      <c r="I46" s="108">
        <v>1.7509999999999999</v>
      </c>
      <c r="J46" s="108">
        <v>0.66500000000000004</v>
      </c>
      <c r="K46" s="108">
        <v>3541.9</v>
      </c>
      <c r="L46" s="108">
        <v>0.88900000000000001</v>
      </c>
      <c r="M46" s="108">
        <v>0.14899999999999999</v>
      </c>
    </row>
    <row r="47" spans="1:13" ht="15" x14ac:dyDescent="0.25">
      <c r="A47" s="108">
        <v>87.7</v>
      </c>
      <c r="B47" s="108">
        <v>2705.6</v>
      </c>
      <c r="C47" s="108">
        <v>363.7</v>
      </c>
      <c r="D47" s="108">
        <v>238.43</v>
      </c>
      <c r="E47" s="108">
        <v>2705.6</v>
      </c>
      <c r="F47" s="108">
        <v>391.95</v>
      </c>
      <c r="G47" s="108">
        <v>309.01</v>
      </c>
      <c r="H47" s="108">
        <v>2705.6</v>
      </c>
      <c r="I47" s="108">
        <v>1.9059999999999999</v>
      </c>
      <c r="J47" s="108">
        <v>0.68600000000000005</v>
      </c>
      <c r="K47" s="108">
        <v>2705.6</v>
      </c>
      <c r="L47" s="108">
        <v>0.88300000000000001</v>
      </c>
      <c r="M47" s="108">
        <v>0.156</v>
      </c>
    </row>
    <row r="48" spans="1:13" ht="15" x14ac:dyDescent="0.25">
      <c r="A48" s="108">
        <v>90</v>
      </c>
      <c r="B48" s="108">
        <v>2532.5</v>
      </c>
      <c r="C48" s="108">
        <v>382.48</v>
      </c>
      <c r="D48" s="108">
        <v>234.99</v>
      </c>
      <c r="E48" s="108">
        <v>2532.5</v>
      </c>
      <c r="F48" s="108">
        <v>417.62</v>
      </c>
      <c r="G48" s="108">
        <v>302.86</v>
      </c>
      <c r="H48" s="108">
        <v>2532.5</v>
      </c>
      <c r="I48" s="108">
        <v>1.9359999999999999</v>
      </c>
      <c r="J48" s="108">
        <v>0.69899999999999995</v>
      </c>
      <c r="K48" s="108">
        <v>2532.5</v>
      </c>
      <c r="L48" s="108">
        <v>0.871</v>
      </c>
      <c r="M48" s="108">
        <v>0.15</v>
      </c>
    </row>
    <row r="49" spans="1:13" ht="15" x14ac:dyDescent="0.25">
      <c r="A49" s="108">
        <v>100</v>
      </c>
      <c r="B49" s="108">
        <v>2289.1</v>
      </c>
      <c r="C49" s="108">
        <v>413.26</v>
      </c>
      <c r="D49" s="108">
        <v>226.35</v>
      </c>
      <c r="E49" s="108">
        <v>2289.1</v>
      </c>
      <c r="F49" s="108">
        <v>459.97</v>
      </c>
      <c r="G49" s="108">
        <v>287.73</v>
      </c>
      <c r="H49" s="108">
        <v>2289.1</v>
      </c>
      <c r="I49" s="108">
        <v>1.982</v>
      </c>
      <c r="J49" s="108">
        <v>0.71799999999999997</v>
      </c>
      <c r="K49" s="108">
        <v>2289.1</v>
      </c>
      <c r="L49" s="108">
        <v>0.83099999999999996</v>
      </c>
      <c r="M49" s="108">
        <v>7.8E-2</v>
      </c>
    </row>
    <row r="50" spans="1:13" ht="15" x14ac:dyDescent="0.25">
      <c r="A50" s="108">
        <v>200</v>
      </c>
      <c r="B50" s="108">
        <v>2031.7</v>
      </c>
      <c r="C50" s="108">
        <v>444.91</v>
      </c>
      <c r="D50" s="108">
        <v>220.72</v>
      </c>
      <c r="E50" s="108">
        <v>2031.7</v>
      </c>
      <c r="F50" s="108">
        <v>497.96</v>
      </c>
      <c r="G50" s="108">
        <v>283.42</v>
      </c>
      <c r="H50" s="108">
        <v>2031.7</v>
      </c>
      <c r="I50" s="108">
        <v>2.0990000000000002</v>
      </c>
      <c r="J50" s="108">
        <v>0.67300000000000004</v>
      </c>
      <c r="K50" s="108">
        <v>2031.7</v>
      </c>
      <c r="L50" s="108">
        <v>0.83399999999999996</v>
      </c>
      <c r="M50" s="108">
        <v>8.2000000000000003E-2</v>
      </c>
    </row>
    <row r="51" spans="1:13" ht="15" x14ac:dyDescent="0.25">
      <c r="A51" s="108">
        <v>300</v>
      </c>
      <c r="B51" s="108">
        <v>1559.3</v>
      </c>
      <c r="C51" s="108">
        <v>502.01</v>
      </c>
      <c r="D51" s="108">
        <v>221.82</v>
      </c>
      <c r="E51" s="108">
        <v>1559.3</v>
      </c>
      <c r="F51" s="108">
        <v>568.85</v>
      </c>
      <c r="G51" s="108">
        <v>287.37</v>
      </c>
      <c r="H51" s="108">
        <v>1559.3</v>
      </c>
      <c r="I51" s="108">
        <v>2.2799999999999998</v>
      </c>
      <c r="J51" s="108">
        <v>0.65100000000000002</v>
      </c>
      <c r="K51" s="108">
        <v>1559.3</v>
      </c>
      <c r="L51" s="108">
        <v>0.84399999999999997</v>
      </c>
      <c r="M51" s="108">
        <v>9.0999999999999998E-2</v>
      </c>
    </row>
    <row r="52" spans="1:13" ht="15" x14ac:dyDescent="0.25">
      <c r="A52" s="108">
        <v>400</v>
      </c>
      <c r="B52" s="108">
        <v>803.1</v>
      </c>
      <c r="C52" s="108">
        <v>658.53</v>
      </c>
      <c r="D52" s="108">
        <v>210.61</v>
      </c>
      <c r="E52" s="108">
        <v>803.1</v>
      </c>
      <c r="F52" s="108">
        <v>771.5</v>
      </c>
      <c r="G52" s="108">
        <v>270.61</v>
      </c>
      <c r="H52" s="108">
        <v>803.1</v>
      </c>
      <c r="I52" s="108">
        <v>2.673</v>
      </c>
      <c r="J52" s="108">
        <v>0.623</v>
      </c>
      <c r="K52" s="108">
        <v>803.1</v>
      </c>
      <c r="L52" s="108">
        <v>0.80900000000000005</v>
      </c>
      <c r="M52" s="108">
        <v>3.5000000000000003E-2</v>
      </c>
    </row>
    <row r="53" spans="1:13" x14ac:dyDescent="0.2">
      <c r="A53" s="1"/>
      <c r="B53">
        <f>+B7+B20</f>
        <v>2705.6</v>
      </c>
    </row>
    <row r="54" spans="1:13" x14ac:dyDescent="0.2">
      <c r="A54" s="2"/>
      <c r="B54" s="7">
        <f>+B47-B53</f>
        <v>0</v>
      </c>
      <c r="C54" s="7"/>
      <c r="D54" s="7"/>
      <c r="E54" s="7"/>
    </row>
    <row r="55" spans="1:13" x14ac:dyDescent="0.2">
      <c r="A55" s="5" t="s">
        <v>36</v>
      </c>
    </row>
    <row r="56" spans="1:13" ht="15" x14ac:dyDescent="0.2">
      <c r="A56" s="111" t="s">
        <v>5</v>
      </c>
      <c r="B56" s="111" t="s">
        <v>31</v>
      </c>
      <c r="C56" s="111" t="s">
        <v>50</v>
      </c>
      <c r="D56" s="111" t="s">
        <v>32</v>
      </c>
      <c r="E56" s="111" t="s">
        <v>123</v>
      </c>
      <c r="F56" s="111" t="s">
        <v>51</v>
      </c>
      <c r="G56" s="111" t="s">
        <v>124</v>
      </c>
      <c r="H56" s="111" t="s">
        <v>125</v>
      </c>
      <c r="I56" s="111" t="s">
        <v>52</v>
      </c>
      <c r="J56" s="111" t="s">
        <v>126</v>
      </c>
      <c r="K56" s="111" t="s">
        <v>127</v>
      </c>
      <c r="L56" s="111" t="s">
        <v>122</v>
      </c>
      <c r="M56" s="111" t="s">
        <v>128</v>
      </c>
    </row>
    <row r="57" spans="1:13" ht="15" x14ac:dyDescent="0.25">
      <c r="A57" s="110">
        <v>0</v>
      </c>
      <c r="B57" s="110">
        <v>146257.20000000001</v>
      </c>
      <c r="C57" s="110">
        <v>148.44999999999999</v>
      </c>
      <c r="D57" s="110">
        <v>117.79</v>
      </c>
      <c r="E57" s="110">
        <v>137994.5</v>
      </c>
      <c r="F57" s="110">
        <v>114.9</v>
      </c>
      <c r="G57" s="110">
        <v>139.11000000000001</v>
      </c>
      <c r="H57" s="110">
        <v>137994.5</v>
      </c>
      <c r="I57" s="110">
        <v>1.512</v>
      </c>
      <c r="J57" s="110">
        <v>0.78600000000000003</v>
      </c>
      <c r="K57" s="110">
        <v>146257.20000000001</v>
      </c>
      <c r="L57" s="110">
        <v>1.603</v>
      </c>
      <c r="M57" s="110">
        <v>0.78900000000000003</v>
      </c>
    </row>
    <row r="58" spans="1:13" ht="15" x14ac:dyDescent="0.25">
      <c r="A58" s="110">
        <v>20</v>
      </c>
      <c r="B58" s="110">
        <v>137883.1</v>
      </c>
      <c r="C58" s="110">
        <v>157.44999999999999</v>
      </c>
      <c r="D58" s="110">
        <v>115.33</v>
      </c>
      <c r="E58" s="110">
        <v>137883.1</v>
      </c>
      <c r="F58" s="110">
        <v>114.99</v>
      </c>
      <c r="G58" s="110">
        <v>139.13</v>
      </c>
      <c r="H58" s="110">
        <v>137883.1</v>
      </c>
      <c r="I58" s="110">
        <v>1.5129999999999999</v>
      </c>
      <c r="J58" s="110">
        <v>0.78500000000000003</v>
      </c>
      <c r="K58" s="110">
        <v>137883.1</v>
      </c>
      <c r="L58" s="110">
        <v>1.64</v>
      </c>
      <c r="M58" s="110">
        <v>0.78900000000000003</v>
      </c>
    </row>
    <row r="59" spans="1:13" ht="15" x14ac:dyDescent="0.25">
      <c r="A59" s="110">
        <v>40</v>
      </c>
      <c r="B59" s="110">
        <v>135567.1</v>
      </c>
      <c r="C59" s="110">
        <v>159.58000000000001</v>
      </c>
      <c r="D59" s="110">
        <v>115.14</v>
      </c>
      <c r="E59" s="110">
        <v>135567.1</v>
      </c>
      <c r="F59" s="110">
        <v>116.67</v>
      </c>
      <c r="G59" s="110">
        <v>139.69999999999999</v>
      </c>
      <c r="H59" s="110">
        <v>135567.1</v>
      </c>
      <c r="I59" s="110">
        <v>1.532</v>
      </c>
      <c r="J59" s="110">
        <v>0.77800000000000002</v>
      </c>
      <c r="K59" s="110">
        <v>135567.1</v>
      </c>
      <c r="L59" s="110">
        <v>1.6539999999999999</v>
      </c>
      <c r="M59" s="110">
        <v>0.78800000000000003</v>
      </c>
    </row>
    <row r="60" spans="1:13" ht="15" x14ac:dyDescent="0.25">
      <c r="A60" s="110">
        <v>60</v>
      </c>
      <c r="B60" s="110">
        <v>126449.9</v>
      </c>
      <c r="C60" s="110">
        <v>167.46</v>
      </c>
      <c r="D60" s="110">
        <v>115.27</v>
      </c>
      <c r="E60" s="110">
        <v>126449.9</v>
      </c>
      <c r="F60" s="110">
        <v>123.03</v>
      </c>
      <c r="G60" s="110">
        <v>142.5</v>
      </c>
      <c r="H60" s="110">
        <v>126449.9</v>
      </c>
      <c r="I60" s="110">
        <v>1.6</v>
      </c>
      <c r="J60" s="110">
        <v>0.76</v>
      </c>
      <c r="K60" s="110">
        <v>126449.9</v>
      </c>
      <c r="L60" s="110">
        <v>1.704</v>
      </c>
      <c r="M60" s="110">
        <v>0.78900000000000003</v>
      </c>
    </row>
    <row r="61" spans="1:13" ht="15" x14ac:dyDescent="0.25">
      <c r="A61" s="110">
        <v>87.7</v>
      </c>
      <c r="B61" s="110">
        <v>100377.3</v>
      </c>
      <c r="C61" s="110">
        <v>191.03</v>
      </c>
      <c r="D61" s="110">
        <v>118.47</v>
      </c>
      <c r="E61" s="110">
        <v>100377.3</v>
      </c>
      <c r="F61" s="110">
        <v>141.19999999999999</v>
      </c>
      <c r="G61" s="110">
        <v>154.65</v>
      </c>
      <c r="H61" s="110">
        <v>100377.3</v>
      </c>
      <c r="I61" s="110">
        <v>1.8140000000000001</v>
      </c>
      <c r="J61" s="110">
        <v>0.70299999999999996</v>
      </c>
      <c r="K61" s="110">
        <v>100377.3</v>
      </c>
      <c r="L61" s="110">
        <v>1.8069999999999999</v>
      </c>
      <c r="M61" s="110">
        <v>0.80900000000000005</v>
      </c>
    </row>
    <row r="62" spans="1:13" ht="15" x14ac:dyDescent="0.25">
      <c r="A62" s="110">
        <v>90</v>
      </c>
      <c r="B62" s="110">
        <v>99130.8</v>
      </c>
      <c r="C62" s="110">
        <v>192.31</v>
      </c>
      <c r="D62" s="110">
        <v>118.65</v>
      </c>
      <c r="E62" s="110">
        <v>99130.8</v>
      </c>
      <c r="F62" s="110">
        <v>142.30000000000001</v>
      </c>
      <c r="G62" s="110">
        <v>155.26</v>
      </c>
      <c r="H62" s="110">
        <v>99130.8</v>
      </c>
      <c r="I62" s="110">
        <v>1.825</v>
      </c>
      <c r="J62" s="110">
        <v>0.69899999999999995</v>
      </c>
      <c r="K62" s="110">
        <v>99130.8</v>
      </c>
      <c r="L62" s="110">
        <v>1.8149999999999999</v>
      </c>
      <c r="M62" s="110">
        <v>0.80900000000000005</v>
      </c>
    </row>
    <row r="63" spans="1:13" ht="15" x14ac:dyDescent="0.25">
      <c r="A63" s="110">
        <v>100</v>
      </c>
      <c r="B63" s="110">
        <v>91942.6</v>
      </c>
      <c r="C63" s="110">
        <v>199.86</v>
      </c>
      <c r="D63" s="110">
        <v>119.97</v>
      </c>
      <c r="E63" s="110">
        <v>91942.6</v>
      </c>
      <c r="F63" s="110">
        <v>148.58000000000001</v>
      </c>
      <c r="G63" s="110">
        <v>159.29</v>
      </c>
      <c r="H63" s="110">
        <v>91942.6</v>
      </c>
      <c r="I63" s="110">
        <v>1.8879999999999999</v>
      </c>
      <c r="J63" s="110">
        <v>0.68</v>
      </c>
      <c r="K63" s="110">
        <v>91942.6</v>
      </c>
      <c r="L63" s="110">
        <v>1.85</v>
      </c>
      <c r="M63" s="110">
        <v>0.81</v>
      </c>
    </row>
    <row r="64" spans="1:13" ht="15" x14ac:dyDescent="0.25">
      <c r="A64" s="110">
        <v>200</v>
      </c>
      <c r="B64" s="110">
        <v>30376.6</v>
      </c>
      <c r="C64" s="110">
        <v>312.08</v>
      </c>
      <c r="D64" s="110">
        <v>152.06</v>
      </c>
      <c r="E64" s="110">
        <v>30376.6</v>
      </c>
      <c r="F64" s="110">
        <v>289.89999999999998</v>
      </c>
      <c r="G64" s="110">
        <v>209.94</v>
      </c>
      <c r="H64" s="110">
        <v>30376.6</v>
      </c>
      <c r="I64" s="110">
        <v>2.2189999999999999</v>
      </c>
      <c r="J64" s="110">
        <v>0.61199999999999999</v>
      </c>
      <c r="K64" s="110">
        <v>30376.6</v>
      </c>
      <c r="L64" s="110">
        <v>2.169</v>
      </c>
      <c r="M64" s="110">
        <v>0.89300000000000002</v>
      </c>
    </row>
    <row r="65" spans="1:13" ht="15" x14ac:dyDescent="0.25">
      <c r="A65" s="110">
        <v>300</v>
      </c>
      <c r="B65" s="110">
        <v>6699.6</v>
      </c>
      <c r="C65" s="110">
        <v>512.44000000000005</v>
      </c>
      <c r="D65" s="110">
        <v>223.5</v>
      </c>
      <c r="E65" s="110">
        <v>6699.6</v>
      </c>
      <c r="F65" s="110">
        <v>567.17999999999995</v>
      </c>
      <c r="G65" s="110">
        <v>307.55</v>
      </c>
      <c r="H65" s="110">
        <v>6699.6</v>
      </c>
      <c r="I65" s="110">
        <v>2.4969999999999999</v>
      </c>
      <c r="J65" s="110">
        <v>0.59599999999999997</v>
      </c>
      <c r="K65" s="110">
        <v>6699.6</v>
      </c>
      <c r="L65" s="110">
        <v>1.3839999999999999</v>
      </c>
      <c r="M65" s="110">
        <v>0.81699999999999995</v>
      </c>
    </row>
    <row r="66" spans="1:13" ht="15" x14ac:dyDescent="0.25">
      <c r="A66" s="110">
        <v>400</v>
      </c>
      <c r="B66" s="110">
        <v>3076</v>
      </c>
      <c r="C66" s="110">
        <v>720.7</v>
      </c>
      <c r="D66" s="110">
        <v>166.66</v>
      </c>
      <c r="E66" s="110">
        <v>3076</v>
      </c>
      <c r="F66" s="110">
        <v>857.8</v>
      </c>
      <c r="G66" s="110">
        <v>217.72</v>
      </c>
      <c r="H66" s="110">
        <v>3076</v>
      </c>
      <c r="I66" s="110">
        <v>2.7559999999999998</v>
      </c>
      <c r="J66" s="110">
        <v>0.63600000000000001</v>
      </c>
      <c r="K66" s="110">
        <v>3076</v>
      </c>
      <c r="L66" s="110">
        <v>0.85399999999999998</v>
      </c>
      <c r="M66" s="110">
        <v>0.13</v>
      </c>
    </row>
    <row r="67" spans="1:13" x14ac:dyDescent="0.2">
      <c r="A67" s="1"/>
      <c r="B67">
        <f>+B7+B20+B33</f>
        <v>100377.3</v>
      </c>
    </row>
    <row r="68" spans="1:13" x14ac:dyDescent="0.2">
      <c r="A68" s="3"/>
      <c r="B68" s="6">
        <f>+B61-B67</f>
        <v>0</v>
      </c>
      <c r="C68" s="6"/>
      <c r="D68" s="6"/>
      <c r="E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Reporte Total</vt:lpstr>
      <vt:lpstr>Reporte Recursos</vt:lpstr>
      <vt:lpstr>Reporte Inventario Total</vt:lpstr>
      <vt:lpstr>Divina</vt:lpstr>
      <vt:lpstr>Lizina</vt:lpstr>
      <vt:lpstr>Lola</vt:lpstr>
      <vt:lpstr>Olga</vt:lpstr>
      <vt:lpstr>Lady</vt:lpstr>
      <vt:lpstr>Rosy</vt:lpstr>
      <vt:lpstr>Gera</vt:lpstr>
      <vt:lpstr>Naty</vt:lpstr>
      <vt:lpstr>Nora</vt:lpstr>
      <vt:lpstr>Ross</vt:lpstr>
      <vt:lpstr>Diana</vt:lpstr>
      <vt:lpstr>Lady_Norte</vt:lpstr>
      <vt:lpstr>Peta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Alberto Salazar Milla</dc:creator>
  <cp:lastModifiedBy>user</cp:lastModifiedBy>
  <dcterms:created xsi:type="dcterms:W3CDTF">2021-11-29T15:06:40Z</dcterms:created>
  <dcterms:modified xsi:type="dcterms:W3CDTF">2024-01-23T16:31:24Z</dcterms:modified>
</cp:coreProperties>
</file>