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CC0E81A7-E819-44A7-BE11-01AA0D0630C2}" xr6:coauthVersionLast="47" xr6:coauthVersionMax="47" xr10:uidLastSave="{00000000-0000-0000-0000-000000000000}"/>
  <bookViews>
    <workbookView xWindow="3615" yWindow="120" windowWidth="28545" windowHeight="20430" tabRatio="813" xr2:uid="{C63D6C1A-9657-428B-8672-618831580EB1}"/>
  </bookViews>
  <sheets>
    <sheet name="Mission Case 1 No. of Sims" sheetId="1" r:id="rId1"/>
    <sheet name="Mission Case 2 No. of Sims" sheetId="5" r:id="rId2"/>
    <sheet name="Mission Case 3 No. of Sims" sheetId="6" r:id="rId3"/>
    <sheet name="Mission Case 4 No. of Sims" sheetId="7" r:id="rId4"/>
    <sheet name="Mission Case 5 No. of Sims" sheetId="8" r:id="rId5"/>
    <sheet name="Mission Case 6 No. of Sims" sheetId="9" r:id="rId6"/>
    <sheet name="Mission Case 7 No. of Sims" sheetId="10" r:id="rId7"/>
    <sheet name="Mission Case 8 No. of Sims" sheetId="11" r:id="rId8"/>
    <sheet name="Mission Case 9 No. of Sims" sheetId="12" r:id="rId9"/>
    <sheet name="Mission Case 10 No. of Sims" sheetId="13" r:id="rId10"/>
    <sheet name="Mission Case 11 No. of Sims" sheetId="14" r:id="rId11"/>
    <sheet name="Mission Case 12 No. of Sims" sheetId="15" r:id="rId12"/>
    <sheet name="Mission Case 13 No. of Sims" sheetId="16" r:id="rId13"/>
    <sheet name="Mission Case 14 No. of Sims" sheetId="17" r:id="rId14"/>
    <sheet name="Mission Case 15 No. of Sims" sheetId="18" r:id="rId15"/>
    <sheet name="Mission Case 16 No. of Sims" sheetId="19" r:id="rId16"/>
    <sheet name="Mission Case 17 No. of Sims" sheetId="20" r:id="rId17"/>
    <sheet name="Mission Case 18 No. of Sims" sheetId="21" r:id="rId18"/>
    <sheet name="Mission Case 19 No. of Sims" sheetId="22" r:id="rId19"/>
    <sheet name="Mission Case 20 No. of Sims" sheetId="23" r:id="rId20"/>
    <sheet name="Mission Case 21 No. of Sims" sheetId="24" r:id="rId21"/>
    <sheet name="Mission Case 22 No. of Sims" sheetId="2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3" l="1"/>
  <c r="C18" i="14"/>
  <c r="C18" i="13"/>
  <c r="C18" i="25" l="1"/>
  <c r="C16" i="25"/>
  <c r="C22" i="25" s="1"/>
  <c r="C15" i="25"/>
  <c r="C21" i="25" s="1"/>
  <c r="C18" i="24"/>
  <c r="C16" i="24"/>
  <c r="C22" i="24" s="1"/>
  <c r="C15" i="24"/>
  <c r="C21" i="24" s="1"/>
  <c r="C18" i="23"/>
  <c r="C16" i="23"/>
  <c r="C22" i="23" s="1"/>
  <c r="C15" i="23"/>
  <c r="C21" i="23" s="1"/>
  <c r="C18" i="22"/>
  <c r="C16" i="22"/>
  <c r="C22" i="22" s="1"/>
  <c r="C15" i="22"/>
  <c r="C21" i="22" s="1"/>
  <c r="C18" i="21"/>
  <c r="C16" i="21"/>
  <c r="C22" i="21" s="1"/>
  <c r="C15" i="21"/>
  <c r="C21" i="21" s="1"/>
  <c r="C18" i="20"/>
  <c r="C16" i="20"/>
  <c r="C22" i="20" s="1"/>
  <c r="C15" i="20"/>
  <c r="C21" i="20" s="1"/>
  <c r="C18" i="19"/>
  <c r="C16" i="19"/>
  <c r="C22" i="19" s="1"/>
  <c r="C15" i="19"/>
  <c r="C21" i="19" s="1"/>
  <c r="C18" i="18"/>
  <c r="C16" i="18"/>
  <c r="C22" i="18" s="1"/>
  <c r="C15" i="18"/>
  <c r="C21" i="18" s="1"/>
  <c r="C18" i="17"/>
  <c r="C16" i="17"/>
  <c r="C22" i="17" s="1"/>
  <c r="C15" i="17"/>
  <c r="C21" i="17" s="1"/>
  <c r="C18" i="16"/>
  <c r="C16" i="16"/>
  <c r="C22" i="16" s="1"/>
  <c r="C15" i="16"/>
  <c r="C21" i="16" s="1"/>
  <c r="C18" i="15"/>
  <c r="C16" i="15"/>
  <c r="C22" i="15" s="1"/>
  <c r="C15" i="15"/>
  <c r="C21" i="15" s="1"/>
  <c r="C22" i="14"/>
  <c r="C21" i="14"/>
  <c r="C16" i="14"/>
  <c r="C15" i="14"/>
  <c r="C16" i="13"/>
  <c r="C22" i="13" s="1"/>
  <c r="C21" i="13"/>
  <c r="C18" i="12"/>
  <c r="C16" i="12"/>
  <c r="C22" i="12" s="1"/>
  <c r="C15" i="12"/>
  <c r="C21" i="12" s="1"/>
  <c r="C18" i="11"/>
  <c r="C16" i="11"/>
  <c r="C22" i="11" s="1"/>
  <c r="C15" i="11"/>
  <c r="C21" i="11" s="1"/>
  <c r="C18" i="10"/>
  <c r="C16" i="10"/>
  <c r="C22" i="10" s="1"/>
  <c r="C15" i="10"/>
  <c r="C21" i="10" s="1"/>
  <c r="C18" i="9"/>
  <c r="C16" i="9"/>
  <c r="C22" i="9" s="1"/>
  <c r="C15" i="9"/>
  <c r="C21" i="9" s="1"/>
  <c r="C18" i="8"/>
  <c r="C16" i="8"/>
  <c r="C22" i="8" s="1"/>
  <c r="C15" i="8"/>
  <c r="C21" i="8" s="1"/>
  <c r="C18" i="7"/>
  <c r="C16" i="7"/>
  <c r="C22" i="7" s="1"/>
  <c r="C15" i="7"/>
  <c r="C21" i="7" s="1"/>
  <c r="C21" i="5"/>
  <c r="C18" i="6"/>
  <c r="C16" i="6"/>
  <c r="C22" i="6" s="1"/>
  <c r="C15" i="6"/>
  <c r="C21" i="6" s="1"/>
  <c r="C16" i="5"/>
  <c r="C22" i="5" s="1"/>
  <c r="C18" i="5"/>
  <c r="C18" i="1"/>
  <c r="C23" i="1" s="1"/>
  <c r="C12" i="1"/>
  <c r="C13" i="1"/>
  <c r="C14" i="1"/>
  <c r="C15" i="1"/>
  <c r="C21" i="1" s="1"/>
  <c r="C16" i="1"/>
  <c r="C22" i="1" s="1"/>
  <c r="C23" i="13" l="1"/>
  <c r="C23" i="12"/>
  <c r="C23" i="5"/>
  <c r="C23" i="6"/>
  <c r="C23" i="7"/>
  <c r="C23" i="8"/>
  <c r="C23" i="9"/>
  <c r="C23" i="10"/>
  <c r="C23" i="11"/>
  <c r="C23" i="14"/>
  <c r="C23" i="17"/>
  <c r="C23" i="21"/>
  <c r="C23" i="22"/>
  <c r="C23" i="23"/>
  <c r="C23" i="24"/>
  <c r="C23" i="25"/>
  <c r="C23" i="20"/>
  <c r="C23" i="19"/>
  <c r="C23" i="18"/>
  <c r="C23" i="16"/>
  <c r="C23" i="15"/>
</calcChain>
</file>

<file path=xl/sharedStrings.xml><?xml version="1.0" encoding="utf-8"?>
<sst xmlns="http://schemas.openxmlformats.org/spreadsheetml/2006/main" count="418" uniqueCount="40">
  <si>
    <t>Time Requirement:</t>
  </si>
  <si>
    <t>Minimum Duration:</t>
  </si>
  <si>
    <t>Maximum Duration:</t>
  </si>
  <si>
    <t>Mean Duration:</t>
  </si>
  <si>
    <t>Standard Deviation:</t>
  </si>
  <si>
    <t>HH:MM:SS.mm</t>
  </si>
  <si>
    <t>MSWA Report</t>
  </si>
  <si>
    <t>Scenario Performance</t>
  </si>
  <si>
    <t>Analysis Name:</t>
  </si>
  <si>
    <t>Scenario:</t>
  </si>
  <si>
    <t>Initial RNS:</t>
  </si>
  <si>
    <t>Times Performed:</t>
  </si>
  <si>
    <t>Mean Duration (in seconds):</t>
  </si>
  <si>
    <t>Standard Deviation (in seconds):</t>
  </si>
  <si>
    <t>Optimal Number of Simulations:</t>
  </si>
  <si>
    <t>Z-Value (95%):</t>
  </si>
  <si>
    <r>
      <t>Margin of Error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"/>
        <family val="2"/>
        <scheme val="minor"/>
      </rPr>
      <t>3%):</t>
    </r>
  </si>
  <si>
    <t>Mission Case 1</t>
  </si>
  <si>
    <t>ISR Human Operator</t>
  </si>
  <si>
    <t>Mission Case 2</t>
  </si>
  <si>
    <t>Mission Case 3</t>
  </si>
  <si>
    <t>Mission Case 4</t>
  </si>
  <si>
    <t>Mission Case 5</t>
  </si>
  <si>
    <t>Mission Case 6</t>
  </si>
  <si>
    <t>Mission Case 7</t>
  </si>
  <si>
    <t>Mission Case 8</t>
  </si>
  <si>
    <t>Mission Case 9</t>
  </si>
  <si>
    <t>Mission Case 10</t>
  </si>
  <si>
    <t>Mission Case 11</t>
  </si>
  <si>
    <t>Mission Case 12</t>
  </si>
  <si>
    <t>Mission Case 13</t>
  </si>
  <si>
    <t>Mission Case 14</t>
  </si>
  <si>
    <t>Mission Case 15</t>
  </si>
  <si>
    <t>Mission Case 16</t>
  </si>
  <si>
    <t>Mission Case 17</t>
  </si>
  <si>
    <t>Mission Case 18</t>
  </si>
  <si>
    <t>Mission Case 19</t>
  </si>
  <si>
    <t>Mission Case 20</t>
  </si>
  <si>
    <t>Mission Case 21</t>
  </si>
  <si>
    <t>Mission Case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</si>
</sst>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.00"/>
    <numFmt numFmtId="165" formatCode="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/>
    <xf numFmtId="1" fontId="5" fillId="0" borderId="0" xfId="0" applyNumberFormat="1" applyFont="1"/>
    <xf numFmtId="1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EB95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7B58C8-B23C-EB1E-189F-5270E933A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0</xdr:col>
      <xdr:colOff>981075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6FA19-A511-45C9-B113-9E136914D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7625"/>
          <a:ext cx="952500" cy="619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952500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AF213-DA1B-4131-BE5B-724E269B3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952500" cy="6191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952500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BDCD6-605F-47EB-BE36-8D541D3DAA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952500" cy="619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952500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27E3F-2EF2-4A75-9F40-C444BDCBA3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952500</xdr:colOff>
      <xdr:row>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BF4A28-94C2-49F7-8DAC-E5FC42FC7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952500" cy="6191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952500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A8CB53-2084-4E50-A2F7-F36A520927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952500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1AC8B-DFEF-48D0-98B6-C31608559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952500" cy="619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952500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0E113-FCFA-4AE5-A24F-B9E228ED0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952500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B8090-56E1-44B2-AE43-ACDF81EA0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952500" cy="6191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962025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3A466-1308-4CD3-BB11-A816953D10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8100"/>
          <a:ext cx="952500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952500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A5E7B-1C4B-4E4B-B1CB-EFA92D6F9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952500" cy="619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952500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5B56D2-7D4C-4BDA-B84B-22F507194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952500" cy="6191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952500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7225A-DC45-4402-80EE-0CD3ECEB7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952500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590D6C-89EA-44BF-8454-31BA58C40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1028700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886998-7E28-4B8C-B6A3-D4C95F5B6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952500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A6957-ED7E-4CA3-9D89-A6BA37A226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952500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1009650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324E4F-C474-4816-B0A1-A194A668C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952500" cy="619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952500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4DD64-835E-4761-A5EA-1DFC3DC743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952500" cy="619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952500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F337B-E61E-45B1-AF1E-0EC7F44B4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952500" cy="619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0</xdr:col>
      <xdr:colOff>981075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0F97D-5C3A-4EC5-9736-B36215DA8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952500" cy="6191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952500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71B01-33FC-4EBE-86FC-53DA32254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9525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F742-43F9-49ED-831B-206B0A53DE8C}">
  <dimension ref="A1:D35"/>
  <sheetViews>
    <sheetView tabSelected="1" workbookViewId="0">
      <selection activeCell="D40" sqref="D40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23.7109375" customWidth="1"/>
  </cols>
  <sheetData>
    <row r="1" spans="1:4" x14ac:dyDescent="0.25">
      <c r="A1" s="13"/>
    </row>
    <row r="2" spans="1:4" ht="18.75" x14ac:dyDescent="0.3">
      <c r="A2" s="13"/>
      <c r="B2" s="6" t="s">
        <v>6</v>
      </c>
    </row>
    <row r="3" spans="1:4" ht="17.25" x14ac:dyDescent="0.3">
      <c r="A3" s="13"/>
      <c r="B3" s="7" t="s">
        <v>7</v>
      </c>
    </row>
    <row r="4" spans="1:4" x14ac:dyDescent="0.25">
      <c r="A4" s="13"/>
      <c r="B4" s="9"/>
    </row>
    <row r="5" spans="1:4" x14ac:dyDescent="0.25">
      <c r="A5" s="5" t="s">
        <v>8</v>
      </c>
      <c r="B5" s="8" t="s">
        <v>18</v>
      </c>
    </row>
    <row r="6" spans="1:4" x14ac:dyDescent="0.25">
      <c r="A6" s="5" t="s">
        <v>9</v>
      </c>
      <c r="B6" s="8" t="s">
        <v>17</v>
      </c>
    </row>
    <row r="7" spans="1:4" x14ac:dyDescent="0.25">
      <c r="A7" s="5"/>
      <c r="B7" s="9"/>
    </row>
    <row r="8" spans="1:4" x14ac:dyDescent="0.25">
      <c r="A8" s="5" t="s">
        <v>10</v>
      </c>
      <c r="B8" s="10">
        <v>65498</v>
      </c>
    </row>
    <row r="9" spans="1:4" x14ac:dyDescent="0.25">
      <c r="A9" s="5" t="s">
        <v>11</v>
      </c>
      <c r="B9" s="8">
        <v>20</v>
      </c>
    </row>
    <row r="11" spans="1:4" x14ac:dyDescent="0.25">
      <c r="C11" s="1" t="s">
        <v>5</v>
      </c>
      <c r="D11" s="5"/>
    </row>
    <row r="12" spans="1:4" x14ac:dyDescent="0.25">
      <c r="B12" s="1" t="s">
        <v>0</v>
      </c>
      <c r="C12" s="2">
        <f xml:space="preserve"> 0 / 86400</f>
        <v>0</v>
      </c>
      <c r="D12" s="3"/>
    </row>
    <row r="13" spans="1:4" x14ac:dyDescent="0.25">
      <c r="B13" s="1" t="s">
        <v>1</v>
      </c>
      <c r="C13" s="2">
        <f xml:space="preserve"> 31925.2242401762 / 86400</f>
        <v>0.36950491018722453</v>
      </c>
      <c r="D13" s="3"/>
    </row>
    <row r="14" spans="1:4" x14ac:dyDescent="0.25">
      <c r="B14" s="1" t="s">
        <v>2</v>
      </c>
      <c r="C14" s="2">
        <f xml:space="preserve"> 46353.0874408515 / 86400</f>
        <v>0.53649406760244789</v>
      </c>
      <c r="D14" s="3"/>
    </row>
    <row r="15" spans="1:4" x14ac:dyDescent="0.25">
      <c r="B15" s="1" t="s">
        <v>3</v>
      </c>
      <c r="C15" s="2">
        <f xml:space="preserve"> 40354.6960165167 / 86400</f>
        <v>0.46706824093190619</v>
      </c>
    </row>
    <row r="16" spans="1:4" x14ac:dyDescent="0.25">
      <c r="B16" s="1" t="s">
        <v>4</v>
      </c>
      <c r="C16" s="2">
        <f xml:space="preserve"> 4102.09863168557 / 86400</f>
        <v>4.7477993422286688E-2</v>
      </c>
    </row>
    <row r="17" spans="2:4" x14ac:dyDescent="0.25">
      <c r="B17" s="1"/>
      <c r="C17" s="4"/>
    </row>
    <row r="18" spans="2:4" x14ac:dyDescent="0.25">
      <c r="B18" s="1" t="s">
        <v>15</v>
      </c>
      <c r="C18" s="4">
        <f>_xlfn.NORM.S.INV(1-(1-0.95)/2)</f>
        <v>1.9599639845400536</v>
      </c>
    </row>
    <row r="19" spans="2:4" x14ac:dyDescent="0.25">
      <c r="B19" s="1" t="s">
        <v>16</v>
      </c>
      <c r="C19" s="4">
        <v>0.03</v>
      </c>
    </row>
    <row r="20" spans="2:4" x14ac:dyDescent="0.25">
      <c r="C20" s="3"/>
      <c r="D20" s="3"/>
    </row>
    <row r="21" spans="2:4" x14ac:dyDescent="0.25">
      <c r="B21" s="1" t="s">
        <v>12</v>
      </c>
      <c r="C21" s="3">
        <f>C15*86400</f>
        <v>40354.696016516697</v>
      </c>
      <c r="D21" s="3"/>
    </row>
    <row r="22" spans="2:4" x14ac:dyDescent="0.25">
      <c r="B22" s="1" t="s">
        <v>13</v>
      </c>
      <c r="C22" s="3">
        <f>C16*86400</f>
        <v>4102.0986316855697</v>
      </c>
      <c r="D22" s="3"/>
    </row>
    <row r="23" spans="2:4" x14ac:dyDescent="0.25">
      <c r="B23" s="11" t="s">
        <v>14</v>
      </c>
      <c r="C23" s="15">
        <f>ROUNDUP(POWER((C18*C22)/(C19*C21),2), 0)</f>
        <v>45</v>
      </c>
      <c r="D23" s="3"/>
    </row>
    <row r="24" spans="2:4" x14ac:dyDescent="0.25">
      <c r="C24" s="3"/>
      <c r="D24" s="3"/>
    </row>
    <row r="25" spans="2:4" x14ac:dyDescent="0.25">
      <c r="B25" s="1"/>
      <c r="C25" s="4"/>
      <c r="D25" s="3"/>
    </row>
    <row r="26" spans="2:4" x14ac:dyDescent="0.25">
      <c r="B26" s="1"/>
      <c r="C26" s="4"/>
      <c r="D26" s="3"/>
    </row>
    <row r="27" spans="2:4" x14ac:dyDescent="0.25">
      <c r="B27" s="1"/>
      <c r="C27" s="4"/>
      <c r="D27" s="3"/>
    </row>
    <row r="28" spans="2:4" x14ac:dyDescent="0.25">
      <c r="C28" s="3"/>
      <c r="D28" s="3"/>
    </row>
    <row r="29" spans="2:4" x14ac:dyDescent="0.25">
      <c r="B29" s="1"/>
      <c r="C29" s="4"/>
      <c r="D29" s="3"/>
    </row>
    <row r="30" spans="2:4" x14ac:dyDescent="0.25">
      <c r="B30" s="1"/>
      <c r="C30" s="4"/>
      <c r="D30" s="3"/>
    </row>
    <row r="31" spans="2:4" x14ac:dyDescent="0.25">
      <c r="B31" s="1"/>
      <c r="C31" s="4"/>
      <c r="D31" s="3"/>
    </row>
    <row r="32" spans="2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</row>
    <row r="35" spans="3:4" x14ac:dyDescent="0.25">
      <c r="C35" s="3"/>
    </row>
  </sheetData>
  <mergeCells count="1">
    <mergeCell ref="A1:A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B16-FA0E-4314-BC3C-CE149E51DD73}">
  <dimension ref="A1:D45"/>
  <sheetViews>
    <sheetView workbookViewId="0">
      <selection activeCell="N45" sqref="N45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  <col min="4" max="4" width="10.7109375" bestFit="1" customWidth="1"/>
  </cols>
  <sheetData>
    <row r="1" spans="1:4" x14ac:dyDescent="0.25">
      <c r="A1" s="13"/>
    </row>
    <row r="2" spans="1:4" ht="18.75" x14ac:dyDescent="0.3">
      <c r="A2" s="13"/>
      <c r="B2" s="6" t="s">
        <v>6</v>
      </c>
    </row>
    <row r="3" spans="1:4" ht="17.25" x14ac:dyDescent="0.3">
      <c r="A3" s="13"/>
      <c r="B3" s="7" t="s">
        <v>7</v>
      </c>
    </row>
    <row r="4" spans="1:4" x14ac:dyDescent="0.25">
      <c r="A4" s="13"/>
      <c r="B4" s="9"/>
    </row>
    <row r="5" spans="1:4" x14ac:dyDescent="0.25">
      <c r="A5" s="5" t="s">
        <v>8</v>
      </c>
      <c r="B5" s="8" t="s">
        <v>18</v>
      </c>
    </row>
    <row r="6" spans="1:4" x14ac:dyDescent="0.25">
      <c r="A6" s="5" t="s">
        <v>9</v>
      </c>
      <c r="B6" s="8" t="s">
        <v>27</v>
      </c>
    </row>
    <row r="7" spans="1:4" x14ac:dyDescent="0.25">
      <c r="A7" s="5"/>
      <c r="B7" s="9"/>
    </row>
    <row r="8" spans="1:4" x14ac:dyDescent="0.25">
      <c r="A8" s="5" t="s">
        <v>10</v>
      </c>
      <c r="B8" s="10">
        <v>50491</v>
      </c>
    </row>
    <row r="9" spans="1:4" x14ac:dyDescent="0.25">
      <c r="A9" s="5" t="s">
        <v>11</v>
      </c>
      <c r="B9" s="8">
        <v>20</v>
      </c>
    </row>
    <row r="11" spans="1:4" x14ac:dyDescent="0.25">
      <c r="C11" s="1" t="s">
        <v>5</v>
      </c>
    </row>
    <row r="12" spans="1:4" x14ac:dyDescent="0.25">
      <c r="B12" s="1" t="s">
        <v>0</v>
      </c>
      <c r="C12" s="2">
        <v>0</v>
      </c>
    </row>
    <row r="13" spans="1:4" x14ac:dyDescent="0.25">
      <c r="B13" s="1" t="s">
        <v>1</v>
      </c>
      <c r="C13" s="2">
        <v>10.430402569027187</v>
      </c>
    </row>
    <row r="14" spans="1:4" x14ac:dyDescent="0.25">
      <c r="B14" s="1" t="s">
        <v>2</v>
      </c>
      <c r="C14" s="2">
        <v>11.040268150494583</v>
      </c>
    </row>
    <row r="15" spans="1:4" x14ac:dyDescent="0.25">
      <c r="B15" s="1" t="s">
        <v>3</v>
      </c>
      <c r="C15" s="2">
        <f xml:space="preserve"> 925871.268784792 / 86400</f>
        <v>10.71610264797213</v>
      </c>
      <c r="D15" s="3"/>
    </row>
    <row r="16" spans="1:4" x14ac:dyDescent="0.25">
      <c r="B16" s="1" t="s">
        <v>4</v>
      </c>
      <c r="C16" s="2">
        <f xml:space="preserve"> 13225.6875653935 / 86400</f>
        <v>0.15307508756242477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925871.26878479205</v>
      </c>
    </row>
    <row r="22" spans="2:3" x14ac:dyDescent="0.25">
      <c r="B22" s="1" t="s">
        <v>13</v>
      </c>
      <c r="C22" s="3">
        <f>C16*86400</f>
        <v>13225.6875653935</v>
      </c>
    </row>
    <row r="23" spans="2:3" x14ac:dyDescent="0.25">
      <c r="B23" s="11" t="s">
        <v>14</v>
      </c>
      <c r="C23" s="14">
        <f>ROUNDUP(POWER((C18*C22)/(C19*C21),2), 0)</f>
        <v>1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  <row r="27" spans="2:3" x14ac:dyDescent="0.25">
      <c r="C27" s="3"/>
    </row>
    <row r="28" spans="2:3" x14ac:dyDescent="0.25">
      <c r="C28" s="3"/>
    </row>
    <row r="29" spans="2:3" x14ac:dyDescent="0.25">
      <c r="C29" s="3"/>
    </row>
    <row r="30" spans="2:3" x14ac:dyDescent="0.25">
      <c r="C30" s="3"/>
    </row>
    <row r="31" spans="2:3" x14ac:dyDescent="0.25">
      <c r="C31" s="3"/>
    </row>
    <row r="32" spans="2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</sheetData>
  <mergeCells count="1">
    <mergeCell ref="A1:A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903E-4F66-4001-A02D-148CC97319D5}">
  <dimension ref="A1:C25"/>
  <sheetViews>
    <sheetView workbookViewId="0">
      <selection activeCell="K22" sqref="K22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28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51178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0.10299347735934687</v>
      </c>
    </row>
    <row r="14" spans="1:3" x14ac:dyDescent="0.25">
      <c r="B14" s="1" t="s">
        <v>2</v>
      </c>
      <c r="C14" s="2">
        <v>0.18232124971526389</v>
      </c>
    </row>
    <row r="15" spans="1:3" x14ac:dyDescent="0.25">
      <c r="B15" s="1" t="s">
        <v>3</v>
      </c>
      <c r="C15" s="2">
        <f xml:space="preserve"> 12118.0822340873 / 86400</f>
        <v>0.14025558141304745</v>
      </c>
    </row>
    <row r="16" spans="1:3" x14ac:dyDescent="0.25">
      <c r="B16" s="1" t="s">
        <v>4</v>
      </c>
      <c r="C16" s="2">
        <f xml:space="preserve"> 2087.10573254381 / 86400</f>
        <v>2.4156316348886691E-2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12118.0822340873</v>
      </c>
    </row>
    <row r="22" spans="2:3" x14ac:dyDescent="0.25">
      <c r="B22" s="1" t="s">
        <v>13</v>
      </c>
      <c r="C22" s="3">
        <f>C16*86400</f>
        <v>2087.1057325438101</v>
      </c>
    </row>
    <row r="23" spans="2:3" x14ac:dyDescent="0.25">
      <c r="B23" s="11" t="s">
        <v>14</v>
      </c>
      <c r="C23" s="14">
        <f>ROUNDUP(POWER((C18*C22)/(C19*C21),2), 0)</f>
        <v>127</v>
      </c>
    </row>
    <row r="24" spans="2:3" x14ac:dyDescent="0.25">
      <c r="C24" s="3"/>
    </row>
    <row r="25" spans="2:3" x14ac:dyDescent="0.25">
      <c r="C25" s="3"/>
    </row>
  </sheetData>
  <mergeCells count="1">
    <mergeCell ref="A1:A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7AC7-5A9A-4681-A5FC-3A6F18D33641}">
  <dimension ref="A1:C26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29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39040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0.29106723213578356</v>
      </c>
    </row>
    <row r="14" spans="1:3" x14ac:dyDescent="0.25">
      <c r="B14" s="1" t="s">
        <v>2</v>
      </c>
      <c r="C14" s="2">
        <v>0.46162477320032519</v>
      </c>
    </row>
    <row r="15" spans="1:3" x14ac:dyDescent="0.25">
      <c r="B15" s="1" t="s">
        <v>3</v>
      </c>
      <c r="C15" s="2">
        <f xml:space="preserve"> 31039.2873088719 / 86400</f>
        <v>0.35925101051935066</v>
      </c>
    </row>
    <row r="16" spans="1:3" x14ac:dyDescent="0.25">
      <c r="B16" s="1" t="s">
        <v>4</v>
      </c>
      <c r="C16" s="2">
        <f xml:space="preserve"> 3425.04878103824 / 86400</f>
        <v>3.9641768299053706E-2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31039.287308871895</v>
      </c>
    </row>
    <row r="22" spans="2:3" x14ac:dyDescent="0.25">
      <c r="B22" s="1" t="s">
        <v>13</v>
      </c>
      <c r="C22" s="3">
        <f>C16*86400</f>
        <v>3425.0487810382401</v>
      </c>
    </row>
    <row r="23" spans="2:3" x14ac:dyDescent="0.25">
      <c r="B23" s="11" t="s">
        <v>14</v>
      </c>
      <c r="C23" s="14">
        <f>ROUNDUP(POWER((C18*C22)/(C19*C21),2), 0)</f>
        <v>52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9A25-B568-4D08-870D-0D6DD65DAAD4}">
  <dimension ref="A1:C26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30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9367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0.14403155423956249</v>
      </c>
    </row>
    <row r="14" spans="1:3" x14ac:dyDescent="0.25">
      <c r="B14" s="1" t="s">
        <v>2</v>
      </c>
      <c r="C14" s="2">
        <v>0.19207180808635185</v>
      </c>
    </row>
    <row r="15" spans="1:3" x14ac:dyDescent="0.25">
      <c r="B15" s="1" t="s">
        <v>3</v>
      </c>
      <c r="C15" s="2">
        <f xml:space="preserve"> 13964.8410487779 / 86400</f>
        <v>0.16163010473122569</v>
      </c>
    </row>
    <row r="16" spans="1:3" x14ac:dyDescent="0.25">
      <c r="B16" s="1" t="s">
        <v>4</v>
      </c>
      <c r="C16" s="2">
        <f xml:space="preserve"> 1165.21344766853 / 86400</f>
        <v>1.3486266755422803E-2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13964.8410487779</v>
      </c>
    </row>
    <row r="22" spans="2:3" x14ac:dyDescent="0.25">
      <c r="B22" s="1" t="s">
        <v>13</v>
      </c>
      <c r="C22" s="3">
        <f>C16*86400</f>
        <v>1165.2134476685301</v>
      </c>
    </row>
    <row r="23" spans="2:3" x14ac:dyDescent="0.25">
      <c r="B23" s="11" t="s">
        <v>14</v>
      </c>
      <c r="C23" s="14">
        <f>ROUNDUP(POWER((C18*C22)/(C19*C21),2), 0)</f>
        <v>30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5648-FC1D-404A-A577-3A77E3CB15A1}">
  <dimension ref="A1:C26"/>
  <sheetViews>
    <sheetView workbookViewId="0">
      <selection activeCell="C23" sqref="C23"/>
    </sheetView>
  </sheetViews>
  <sheetFormatPr defaultRowHeight="15" x14ac:dyDescent="0.25"/>
  <cols>
    <col min="1" max="1" width="15.85546875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31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61302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0.10109311400083935</v>
      </c>
    </row>
    <row r="14" spans="1:3" x14ac:dyDescent="0.25">
      <c r="B14" s="1" t="s">
        <v>2</v>
      </c>
      <c r="C14" s="2">
        <v>0.14942543697235763</v>
      </c>
    </row>
    <row r="15" spans="1:3" x14ac:dyDescent="0.25">
      <c r="B15" s="1" t="s">
        <v>3</v>
      </c>
      <c r="C15" s="2">
        <f xml:space="preserve"> 10469.4309645938 / 86400</f>
        <v>0.12117396949761342</v>
      </c>
    </row>
    <row r="16" spans="1:3" x14ac:dyDescent="0.25">
      <c r="B16" s="1" t="s">
        <v>4</v>
      </c>
      <c r="C16" s="2">
        <f xml:space="preserve"> 1000.8055950186 / 86400</f>
        <v>1.1583398090493056E-2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10469.430964593799</v>
      </c>
    </row>
    <row r="22" spans="2:3" x14ac:dyDescent="0.25">
      <c r="B22" s="1" t="s">
        <v>13</v>
      </c>
      <c r="C22" s="3">
        <f>C16*86400</f>
        <v>1000.8055950186</v>
      </c>
    </row>
    <row r="23" spans="2:3" x14ac:dyDescent="0.25">
      <c r="B23" s="11" t="s">
        <v>14</v>
      </c>
      <c r="C23" s="14">
        <f>ROUNDUP(POWER((C18*C22)/(C19*C21),2), 0)</f>
        <v>40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166B-2825-496A-A3C0-210A4A98A356}">
  <dimension ref="A1:C26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32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20591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0.10026332347080555</v>
      </c>
    </row>
    <row r="14" spans="1:3" x14ac:dyDescent="0.25">
      <c r="B14" s="1" t="s">
        <v>2</v>
      </c>
      <c r="C14" s="2">
        <v>0.13861326939052893</v>
      </c>
    </row>
    <row r="15" spans="1:3" x14ac:dyDescent="0.25">
      <c r="B15" s="1" t="s">
        <v>3</v>
      </c>
      <c r="C15" s="2">
        <f xml:space="preserve"> 10522.8228116613 / 86400</f>
        <v>0.12179193069052431</v>
      </c>
    </row>
    <row r="16" spans="1:3" x14ac:dyDescent="0.25">
      <c r="B16" s="1" t="s">
        <v>4</v>
      </c>
      <c r="C16" s="2">
        <f xml:space="preserve"> 914.425179770455 / 86400</f>
        <v>1.0583624765861747E-2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10522.822811661301</v>
      </c>
    </row>
    <row r="22" spans="2:3" x14ac:dyDescent="0.25">
      <c r="B22" s="1" t="s">
        <v>13</v>
      </c>
      <c r="C22" s="3">
        <f>C16*86400</f>
        <v>914.42517977045497</v>
      </c>
    </row>
    <row r="23" spans="2:3" x14ac:dyDescent="0.25">
      <c r="B23" s="11" t="s">
        <v>14</v>
      </c>
      <c r="C23" s="14">
        <f>ROUNDUP(POWER((C18*C22)/(C19*C21),2), 0)</f>
        <v>33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4527-4E01-4056-A05C-5C28D4F9003B}">
  <dimension ref="A1:C27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33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11318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0.18484600544517477</v>
      </c>
    </row>
    <row r="14" spans="1:3" x14ac:dyDescent="0.25">
      <c r="B14" s="1" t="s">
        <v>2</v>
      </c>
      <c r="C14" s="2">
        <v>0.2835376389570729</v>
      </c>
    </row>
    <row r="15" spans="1:3" x14ac:dyDescent="0.25">
      <c r="B15" s="1" t="s">
        <v>3</v>
      </c>
      <c r="C15" s="2">
        <f xml:space="preserve"> 19630.4303569289 / 86400</f>
        <v>0.22720405505704747</v>
      </c>
    </row>
    <row r="16" spans="1:3" x14ac:dyDescent="0.25">
      <c r="B16" s="1" t="s">
        <v>4</v>
      </c>
      <c r="C16" s="2">
        <f xml:space="preserve"> 1726.09723371658 / 86400</f>
        <v>1.9977977242090047E-2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19630.4303569289</v>
      </c>
    </row>
    <row r="22" spans="2:3" x14ac:dyDescent="0.25">
      <c r="B22" s="1" t="s">
        <v>13</v>
      </c>
      <c r="C22" s="3">
        <f>C16*86400</f>
        <v>1726.0972337165801</v>
      </c>
    </row>
    <row r="23" spans="2:3" x14ac:dyDescent="0.25">
      <c r="B23" s="11" t="s">
        <v>14</v>
      </c>
      <c r="C23" s="14">
        <f>ROUNDUP(POWER((C18*C22)/(C19*C21),2), 0)</f>
        <v>34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  <row r="27" spans="2:3" x14ac:dyDescent="0.25">
      <c r="C27" s="3"/>
    </row>
  </sheetData>
  <mergeCells count="1">
    <mergeCell ref="A1:A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1546-F3A5-470A-A28F-CF9A7BA4571E}">
  <dimension ref="A1:C27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34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229150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7.4713874376877545</v>
      </c>
    </row>
    <row r="14" spans="1:3" x14ac:dyDescent="0.25">
      <c r="B14" s="1" t="s">
        <v>2</v>
      </c>
      <c r="C14" s="2">
        <v>8.1386997399976497</v>
      </c>
    </row>
    <row r="15" spans="1:3" x14ac:dyDescent="0.25">
      <c r="B15" s="1" t="s">
        <v>3</v>
      </c>
      <c r="C15" s="2">
        <f xml:space="preserve"> 669419.160702981 / 86400</f>
        <v>7.7479069525807995</v>
      </c>
    </row>
    <row r="16" spans="1:3" x14ac:dyDescent="0.25">
      <c r="B16" s="1" t="s">
        <v>4</v>
      </c>
      <c r="C16" s="2">
        <f xml:space="preserve"> 15088.4666449008 / 86400</f>
        <v>0.17463503061227778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669419.16070298105</v>
      </c>
    </row>
    <row r="22" spans="2:3" x14ac:dyDescent="0.25">
      <c r="B22" s="1" t="s">
        <v>13</v>
      </c>
      <c r="C22" s="3">
        <f>C16*86400</f>
        <v>15088.4666449008</v>
      </c>
    </row>
    <row r="23" spans="2:3" x14ac:dyDescent="0.25">
      <c r="B23" s="11" t="s">
        <v>14</v>
      </c>
      <c r="C23" s="14">
        <f>ROUNDUP(POWER((C18*C22)/(C19*C21),2), 0)</f>
        <v>3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  <row r="27" spans="2:3" x14ac:dyDescent="0.25">
      <c r="C27" s="3"/>
    </row>
  </sheetData>
  <mergeCells count="1">
    <mergeCell ref="A1:A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7BA3-9CD6-44B5-AED8-BA5AFF1AD0FD}">
  <dimension ref="A1:C25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35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101387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0.64287170555658912</v>
      </c>
    </row>
    <row r="14" spans="1:3" x14ac:dyDescent="0.25">
      <c r="B14" s="1" t="s">
        <v>2</v>
      </c>
      <c r="C14" s="2">
        <v>0.91931394335340966</v>
      </c>
    </row>
    <row r="15" spans="1:3" x14ac:dyDescent="0.25">
      <c r="B15" s="1" t="s">
        <v>3</v>
      </c>
      <c r="C15" s="2">
        <f xml:space="preserve"> 68249.1264185614 / 86400</f>
        <v>0.78992044465927547</v>
      </c>
    </row>
    <row r="16" spans="1:3" x14ac:dyDescent="0.25">
      <c r="B16" s="1" t="s">
        <v>4</v>
      </c>
      <c r="C16" s="2">
        <f xml:space="preserve"> 6450.27930780559 / 86400</f>
        <v>7.4656010507009152E-2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68249.126418561398</v>
      </c>
    </row>
    <row r="22" spans="2:3" x14ac:dyDescent="0.25">
      <c r="B22" s="1" t="s">
        <v>13</v>
      </c>
      <c r="C22" s="3">
        <f>C16*86400</f>
        <v>6450.2793078055911</v>
      </c>
    </row>
    <row r="23" spans="2:3" x14ac:dyDescent="0.25">
      <c r="B23" s="11" t="s">
        <v>14</v>
      </c>
      <c r="C23" s="14">
        <f>ROUNDUP(POWER((C18*C22)/(C19*C21),2), 0)</f>
        <v>39</v>
      </c>
    </row>
    <row r="24" spans="2:3" x14ac:dyDescent="0.25">
      <c r="C24" s="3"/>
    </row>
    <row r="25" spans="2:3" x14ac:dyDescent="0.25">
      <c r="C25" s="3"/>
    </row>
  </sheetData>
  <mergeCells count="1">
    <mergeCell ref="A1:A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EB91-9FEA-4175-9776-FECFDE1B0C31}">
  <dimension ref="A1:C25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36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99860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0.25817390241405558</v>
      </c>
    </row>
    <row r="14" spans="1:3" x14ac:dyDescent="0.25">
      <c r="B14" s="1" t="s">
        <v>2</v>
      </c>
      <c r="C14" s="2">
        <v>0.36431422640929167</v>
      </c>
    </row>
    <row r="15" spans="1:3" x14ac:dyDescent="0.25">
      <c r="B15" s="1" t="s">
        <v>3</v>
      </c>
      <c r="C15" s="2">
        <f xml:space="preserve"> 26315.8715772955 / 86400</f>
        <v>0.30458184695943868</v>
      </c>
    </row>
    <row r="16" spans="1:3" x14ac:dyDescent="0.25">
      <c r="B16" s="1" t="s">
        <v>4</v>
      </c>
      <c r="C16" s="2">
        <f xml:space="preserve"> 2302.3612429484 / 86400</f>
        <v>2.6647699571162038E-2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26315.871577295504</v>
      </c>
    </row>
    <row r="22" spans="2:3" x14ac:dyDescent="0.25">
      <c r="B22" s="1" t="s">
        <v>13</v>
      </c>
      <c r="C22" s="3">
        <f>C16*86400</f>
        <v>2302.3612429484001</v>
      </c>
    </row>
    <row r="23" spans="2:3" x14ac:dyDescent="0.25">
      <c r="B23" s="11" t="s">
        <v>14</v>
      </c>
      <c r="C23" s="14">
        <f>ROUNDUP(POWER((C18*C22)/(C19*C21),2), 0)</f>
        <v>33</v>
      </c>
    </row>
    <row r="24" spans="2:3" x14ac:dyDescent="0.25">
      <c r="C24" s="3"/>
    </row>
    <row r="25" spans="2:3" x14ac:dyDescent="0.25">
      <c r="C25" s="3"/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3314-7D5C-4729-B1C9-CA06F478DCC1}">
  <dimension ref="A1:C32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710937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19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3219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0.97664335962262272</v>
      </c>
    </row>
    <row r="14" spans="1:3" x14ac:dyDescent="0.25">
      <c r="B14" s="1" t="s">
        <v>2</v>
      </c>
      <c r="C14" s="2">
        <v>1.3334635270054052</v>
      </c>
    </row>
    <row r="15" spans="1:3" x14ac:dyDescent="0.25">
      <c r="B15" s="1" t="s">
        <v>3</v>
      </c>
      <c r="C15" s="2">
        <v>1.1329976851851851</v>
      </c>
    </row>
    <row r="16" spans="1:3" x14ac:dyDescent="0.25">
      <c r="B16" s="1" t="s">
        <v>4</v>
      </c>
      <c r="C16" s="2">
        <f xml:space="preserve"> 6943.67933196685 / 86400</f>
        <v>8.0366658934801508E-2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97890.999999999985</v>
      </c>
    </row>
    <row r="22" spans="2:3" x14ac:dyDescent="0.25">
      <c r="B22" s="1" t="s">
        <v>13</v>
      </c>
      <c r="C22" s="3">
        <f>C16*86400</f>
        <v>6943.6793319668504</v>
      </c>
    </row>
    <row r="23" spans="2:3" x14ac:dyDescent="0.25">
      <c r="B23" s="11" t="s">
        <v>14</v>
      </c>
      <c r="C23" s="14">
        <f>ROUNDUP(POWER((C18*C22)/(C19*C21),2), 0)</f>
        <v>22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  <row r="27" spans="2:3" x14ac:dyDescent="0.25">
      <c r="C27" s="3"/>
    </row>
    <row r="28" spans="2:3" x14ac:dyDescent="0.25">
      <c r="C28" s="3"/>
    </row>
    <row r="29" spans="2:3" x14ac:dyDescent="0.25">
      <c r="C29" s="3"/>
    </row>
    <row r="30" spans="2:3" x14ac:dyDescent="0.25">
      <c r="C30" s="3"/>
    </row>
    <row r="31" spans="2:3" x14ac:dyDescent="0.25">
      <c r="C31" s="3"/>
    </row>
    <row r="32" spans="2:3" x14ac:dyDescent="0.25">
      <c r="C32" s="3"/>
    </row>
  </sheetData>
  <mergeCells count="1">
    <mergeCell ref="A1:A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D3C4-FD41-4868-A2A2-2E2D4A7A9A25}">
  <dimension ref="A1:C24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37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193503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0.29993218032093055</v>
      </c>
    </row>
    <row r="14" spans="1:3" x14ac:dyDescent="0.25">
      <c r="B14" s="1" t="s">
        <v>2</v>
      </c>
      <c r="C14" s="2">
        <v>0.42662544943831249</v>
      </c>
    </row>
    <row r="15" spans="1:3" x14ac:dyDescent="0.25">
      <c r="B15" s="1" t="s">
        <v>3</v>
      </c>
      <c r="C15" s="2">
        <f xml:space="preserve"> 30936.4452474051 / 86400</f>
        <v>0.35806070888200348</v>
      </c>
    </row>
    <row r="16" spans="1:3" x14ac:dyDescent="0.25">
      <c r="B16" s="1" t="s">
        <v>4</v>
      </c>
      <c r="C16" s="2">
        <f xml:space="preserve"> 3313.95860669177 / 86400</f>
        <v>3.8356002392265859E-2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30936.4452474051</v>
      </c>
    </row>
    <row r="22" spans="2:3" x14ac:dyDescent="0.25">
      <c r="B22" s="1" t="s">
        <v>13</v>
      </c>
      <c r="C22" s="3">
        <f>C16*86400</f>
        <v>3313.95860669177</v>
      </c>
    </row>
    <row r="23" spans="2:3" x14ac:dyDescent="0.25">
      <c r="B23" s="11" t="s">
        <v>14</v>
      </c>
      <c r="C23" s="14">
        <f>ROUNDUP(POWER((C18*C22)/(C19*C21),2), 0)</f>
        <v>49</v>
      </c>
    </row>
    <row r="24" spans="2:3" x14ac:dyDescent="0.25">
      <c r="C24" s="3"/>
    </row>
  </sheetData>
  <mergeCells count="1">
    <mergeCell ref="A1:A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FED2-0AB5-4D57-B919-C09B3C38E32E}">
  <dimension ref="A1:C26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38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438901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0.15801062156831597</v>
      </c>
    </row>
    <row r="14" spans="1:3" x14ac:dyDescent="0.25">
      <c r="B14" s="1" t="s">
        <v>2</v>
      </c>
      <c r="C14" s="2">
        <v>0.31077796447568284</v>
      </c>
    </row>
    <row r="15" spans="1:3" x14ac:dyDescent="0.25">
      <c r="B15" s="1" t="s">
        <v>3</v>
      </c>
      <c r="C15" s="2">
        <f xml:space="preserve"> 18903.9578142482 / 86400</f>
        <v>0.21879580803528006</v>
      </c>
    </row>
    <row r="16" spans="1:3" x14ac:dyDescent="0.25">
      <c r="B16" s="1" t="s">
        <v>4</v>
      </c>
      <c r="C16" s="2">
        <f xml:space="preserve"> 3747.62908531962 / 86400</f>
        <v>4.3375336635643753E-2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18903.957814248199</v>
      </c>
    </row>
    <row r="22" spans="2:3" x14ac:dyDescent="0.25">
      <c r="B22" s="1" t="s">
        <v>13</v>
      </c>
      <c r="C22" s="3">
        <f>C16*86400</f>
        <v>3747.6290853196201</v>
      </c>
    </row>
    <row r="23" spans="2:3" x14ac:dyDescent="0.25">
      <c r="B23" s="11" t="s">
        <v>14</v>
      </c>
      <c r="C23" s="14">
        <f>ROUNDUP(POWER((C18*C22)/(C19*C21),2), 0)</f>
        <v>168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AE65-D2F7-4BA0-B497-67054B011633}">
  <dimension ref="A1:C25"/>
  <sheetViews>
    <sheetView workbookViewId="0">
      <selection activeCell="N42" sqref="N42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39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110180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0.77827221800943758</v>
      </c>
    </row>
    <row r="14" spans="1:3" x14ac:dyDescent="0.25">
      <c r="B14" s="1" t="s">
        <v>2</v>
      </c>
      <c r="C14" s="2">
        <v>1.0425583080323739</v>
      </c>
    </row>
    <row r="15" spans="1:3" x14ac:dyDescent="0.25">
      <c r="B15" s="1" t="s">
        <v>3</v>
      </c>
      <c r="C15" s="2">
        <f xml:space="preserve"> 74827.730294396 / 86400</f>
        <v>0.86606169322217585</v>
      </c>
    </row>
    <row r="16" spans="1:3" x14ac:dyDescent="0.25">
      <c r="B16" s="1" t="s">
        <v>4</v>
      </c>
      <c r="C16" s="2">
        <f xml:space="preserve"> 5617.94191490172 / 86400</f>
        <v>6.5022475866918061E-2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74827.730294395995</v>
      </c>
    </row>
    <row r="22" spans="2:3" x14ac:dyDescent="0.25">
      <c r="B22" s="1" t="s">
        <v>13</v>
      </c>
      <c r="C22" s="3">
        <f>C16*86400</f>
        <v>5617.9419149017203</v>
      </c>
    </row>
    <row r="23" spans="2:3" x14ac:dyDescent="0.25">
      <c r="B23" s="11" t="s">
        <v>14</v>
      </c>
      <c r="C23" s="14">
        <f>ROUNDUP(POWER((C18*C22)/(C19*C21),2), 0)</f>
        <v>25</v>
      </c>
    </row>
    <row r="24" spans="2:3" x14ac:dyDescent="0.25">
      <c r="C24" s="3"/>
    </row>
    <row r="25" spans="2:3" x14ac:dyDescent="0.25">
      <c r="C25" s="3"/>
    </row>
  </sheetData>
  <mergeCells count="1">
    <mergeCell ref="A1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9E9C-D458-45BD-A9CA-D06222CD2D4A}">
  <dimension ref="A1:C23"/>
  <sheetViews>
    <sheetView workbookViewId="0">
      <selection activeCell="C26" sqref="C26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20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3439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1.8510514751837268</v>
      </c>
    </row>
    <row r="14" spans="1:3" x14ac:dyDescent="0.25">
      <c r="B14" s="1" t="s">
        <v>2</v>
      </c>
      <c r="C14" s="2">
        <v>2.1868933882858679</v>
      </c>
    </row>
    <row r="15" spans="1:3" x14ac:dyDescent="0.25">
      <c r="B15" s="1" t="s">
        <v>3</v>
      </c>
      <c r="C15" s="2">
        <f xml:space="preserve"> 175787.83860583 / 86400</f>
        <v>2.0345814653452545</v>
      </c>
    </row>
    <row r="16" spans="1:3" x14ac:dyDescent="0.25">
      <c r="B16" s="1" t="s">
        <v>4</v>
      </c>
      <c r="C16" s="2">
        <f xml:space="preserve"> 8420.83365169201 / 86400</f>
        <v>9.7463352450138999E-2</v>
      </c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175787.83860582998</v>
      </c>
    </row>
    <row r="22" spans="2:3" x14ac:dyDescent="0.25">
      <c r="B22" s="1" t="s">
        <v>13</v>
      </c>
      <c r="C22" s="3">
        <f>C16*86400</f>
        <v>8420.8336516920099</v>
      </c>
    </row>
    <row r="23" spans="2:3" x14ac:dyDescent="0.25">
      <c r="B23" s="11" t="s">
        <v>14</v>
      </c>
      <c r="C23" s="12">
        <f>ROUNDUP(POWER((C18*C22)/(C19*C21),2), 0)</f>
        <v>10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311A-C038-4184-9F34-EBA453E75187}">
  <dimension ref="A1:C26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21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31970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0.40357406182217709</v>
      </c>
    </row>
    <row r="14" spans="1:3" x14ac:dyDescent="0.25">
      <c r="B14" s="1" t="s">
        <v>2</v>
      </c>
      <c r="C14" s="2">
        <v>0.54152505502551851</v>
      </c>
    </row>
    <row r="15" spans="1:3" x14ac:dyDescent="0.25">
      <c r="B15" s="1" t="s">
        <v>3</v>
      </c>
      <c r="C15" s="2">
        <f xml:space="preserve"> 40674.420139155 / 86400</f>
        <v>0.47076875161059029</v>
      </c>
    </row>
    <row r="16" spans="1:3" x14ac:dyDescent="0.25">
      <c r="B16" s="1" t="s">
        <v>4</v>
      </c>
      <c r="C16" s="2">
        <f xml:space="preserve"> 3244.65156836125 / 86400</f>
        <v>3.7553837596773727E-2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40674.420139155001</v>
      </c>
    </row>
    <row r="22" spans="2:3" x14ac:dyDescent="0.25">
      <c r="B22" s="1" t="s">
        <v>13</v>
      </c>
      <c r="C22" s="3">
        <f>C16*86400</f>
        <v>3244.6515683612502</v>
      </c>
    </row>
    <row r="23" spans="2:3" x14ac:dyDescent="0.25">
      <c r="B23" s="11" t="s">
        <v>14</v>
      </c>
      <c r="C23" s="14">
        <f>ROUNDUP(POWER((C18*C22)/(C19*C21),2), 0)</f>
        <v>28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B0B9-F954-477A-8C1C-68A71265B9FA}">
  <dimension ref="A1:C26"/>
  <sheetViews>
    <sheetView workbookViewId="0">
      <selection activeCell="J40" sqref="J40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22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8403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0.21103373844291434</v>
      </c>
    </row>
    <row r="14" spans="1:3" x14ac:dyDescent="0.25">
      <c r="B14" s="1" t="s">
        <v>2</v>
      </c>
      <c r="C14" s="2">
        <v>0.30193015700848497</v>
      </c>
    </row>
    <row r="15" spans="1:3" x14ac:dyDescent="0.25">
      <c r="B15" s="1" t="s">
        <v>3</v>
      </c>
      <c r="C15" s="2">
        <f xml:space="preserve"> 21981.0922173031 / 86400</f>
        <v>0.25441078955211921</v>
      </c>
    </row>
    <row r="16" spans="1:3" x14ac:dyDescent="0.25">
      <c r="B16" s="1" t="s">
        <v>4</v>
      </c>
      <c r="C16" s="2">
        <f xml:space="preserve"> 1978.60198177916 / 86400</f>
        <v>2.290048590022176E-2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21981.092217303099</v>
      </c>
    </row>
    <row r="22" spans="2:3" x14ac:dyDescent="0.25">
      <c r="B22" s="1" t="s">
        <v>13</v>
      </c>
      <c r="C22" s="3">
        <f>C16*86400</f>
        <v>1978.60198177916</v>
      </c>
    </row>
    <row r="23" spans="2:3" x14ac:dyDescent="0.25">
      <c r="B23" s="11" t="s">
        <v>14</v>
      </c>
      <c r="C23" s="14">
        <f>ROUNDUP(POWER((C18*C22)/(C19*C21),2), 0)</f>
        <v>35</v>
      </c>
    </row>
    <row r="24" spans="2:3" x14ac:dyDescent="0.25">
      <c r="C24" s="3"/>
    </row>
    <row r="25" spans="2:3" x14ac:dyDescent="0.25">
      <c r="C25" s="3"/>
    </row>
    <row r="26" spans="2:3" x14ac:dyDescent="0.25">
      <c r="C26" s="3"/>
    </row>
  </sheetData>
  <mergeCells count="1">
    <mergeCell ref="A1:A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3FC5-3C6B-42B0-98C0-1F78AA4ABF17}">
  <dimension ref="A1:C23"/>
  <sheetViews>
    <sheetView workbookViewId="0">
      <selection activeCell="K33" sqref="K3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23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898124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0.66376601440659955</v>
      </c>
    </row>
    <row r="14" spans="1:3" x14ac:dyDescent="0.25">
      <c r="B14" s="1" t="s">
        <v>2</v>
      </c>
      <c r="C14" s="2">
        <v>0.79074724584587264</v>
      </c>
    </row>
    <row r="15" spans="1:3" x14ac:dyDescent="0.25">
      <c r="B15" s="1" t="s">
        <v>3</v>
      </c>
      <c r="C15" s="2">
        <f xml:space="preserve"> 61133.7070080054 / 86400</f>
        <v>0.70756605333339584</v>
      </c>
    </row>
    <row r="16" spans="1:3" x14ac:dyDescent="0.25">
      <c r="B16" s="1" t="s">
        <v>4</v>
      </c>
      <c r="C16" s="2">
        <f xml:space="preserve"> 2911.38680255075 / 86400</f>
        <v>3.3696606511004049E-2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61133.707008005404</v>
      </c>
    </row>
    <row r="22" spans="2:3" x14ac:dyDescent="0.25">
      <c r="B22" s="1" t="s">
        <v>13</v>
      </c>
      <c r="C22" s="3">
        <f>C16*86400</f>
        <v>2911.38680255075</v>
      </c>
    </row>
    <row r="23" spans="2:3" x14ac:dyDescent="0.25">
      <c r="B23" s="11" t="s">
        <v>14</v>
      </c>
      <c r="C23" s="14">
        <f>ROUNDUP(POWER((C18*C22)/(C19*C21),2), 0)</f>
        <v>10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4185-52F9-4E83-AF7C-EEB2F5FDE58A}">
  <dimension ref="A1:C24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24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2558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0.38469876979175122</v>
      </c>
    </row>
    <row r="14" spans="1:3" x14ac:dyDescent="0.25">
      <c r="B14" s="1" t="s">
        <v>2</v>
      </c>
      <c r="C14" s="2">
        <v>0.49472486416586342</v>
      </c>
    </row>
    <row r="15" spans="1:3" x14ac:dyDescent="0.25">
      <c r="B15" s="1" t="s">
        <v>3</v>
      </c>
      <c r="C15" s="2">
        <f xml:space="preserve"> 37579.3133891706 / 86400</f>
        <v>0.43494575681910419</v>
      </c>
    </row>
    <row r="16" spans="1:3" x14ac:dyDescent="0.25">
      <c r="B16" s="1" t="s">
        <v>4</v>
      </c>
      <c r="C16" s="2">
        <f xml:space="preserve"> 2203.57546290306 / 86400</f>
        <v>2.5504345635452081E-2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37579.313389170602</v>
      </c>
    </row>
    <row r="22" spans="2:3" x14ac:dyDescent="0.25">
      <c r="B22" s="1" t="s">
        <v>13</v>
      </c>
      <c r="C22" s="3">
        <f>C16*86400</f>
        <v>2203.5754629030598</v>
      </c>
    </row>
    <row r="23" spans="2:3" x14ac:dyDescent="0.25">
      <c r="B23" s="11" t="s">
        <v>14</v>
      </c>
      <c r="C23" s="14">
        <f>ROUNDUP(POWER((C18*C22)/(C19*C21),2), 0)</f>
        <v>15</v>
      </c>
    </row>
    <row r="24" spans="2:3" x14ac:dyDescent="0.25">
      <c r="C24" s="3"/>
    </row>
  </sheetData>
  <mergeCells count="1">
    <mergeCell ref="A1:A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EAD2-94A0-4321-AD2B-402F44F51970}">
  <dimension ref="A1:C24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25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11089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0.15815321352482639</v>
      </c>
    </row>
    <row r="14" spans="1:3" x14ac:dyDescent="0.25">
      <c r="B14" s="1" t="s">
        <v>2</v>
      </c>
      <c r="C14" s="2">
        <v>0.28267840304978586</v>
      </c>
    </row>
    <row r="15" spans="1:3" x14ac:dyDescent="0.25">
      <c r="B15" s="1" t="s">
        <v>3</v>
      </c>
      <c r="C15" s="2">
        <f xml:space="preserve"> 19187.5555027797 / 86400</f>
        <v>0.22207818868957988</v>
      </c>
    </row>
    <row r="16" spans="1:3" x14ac:dyDescent="0.25">
      <c r="B16" s="1" t="s">
        <v>4</v>
      </c>
      <c r="C16" s="2">
        <f xml:space="preserve"> 2933.41323319423 / 86400</f>
        <v>3.3951542050859145E-2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19187.555502779702</v>
      </c>
    </row>
    <row r="22" spans="2:3" x14ac:dyDescent="0.25">
      <c r="B22" s="1" t="s">
        <v>13</v>
      </c>
      <c r="C22" s="3">
        <f>C16*86400</f>
        <v>2933.4132331942301</v>
      </c>
    </row>
    <row r="23" spans="2:3" x14ac:dyDescent="0.25">
      <c r="B23" s="11" t="s">
        <v>14</v>
      </c>
      <c r="C23" s="14">
        <f>ROUNDUP(POWER((C18*C22)/(C19*C21),2), 0)</f>
        <v>100</v>
      </c>
    </row>
    <row r="24" spans="2:3" x14ac:dyDescent="0.25">
      <c r="C24" s="3"/>
    </row>
  </sheetData>
  <mergeCells count="1">
    <mergeCell ref="A1:A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EF57-70AE-43BC-B92D-DA85C537B0AE}">
  <dimension ref="A1:C25"/>
  <sheetViews>
    <sheetView workbookViewId="0">
      <selection activeCell="C23" sqref="C23"/>
    </sheetView>
  </sheetViews>
  <sheetFormatPr defaultRowHeight="15" x14ac:dyDescent="0.25"/>
  <cols>
    <col min="1" max="1" width="17" bestFit="1" customWidth="1"/>
    <col min="2" max="2" width="30.28515625" bestFit="1" customWidth="1"/>
    <col min="3" max="3" width="14.5703125" bestFit="1" customWidth="1"/>
  </cols>
  <sheetData>
    <row r="1" spans="1:3" x14ac:dyDescent="0.25">
      <c r="A1" s="13"/>
    </row>
    <row r="2" spans="1:3" ht="18.75" x14ac:dyDescent="0.3">
      <c r="A2" s="13"/>
      <c r="B2" s="6" t="s">
        <v>6</v>
      </c>
    </row>
    <row r="3" spans="1:3" ht="17.25" x14ac:dyDescent="0.3">
      <c r="A3" s="13"/>
      <c r="B3" s="7" t="s">
        <v>7</v>
      </c>
    </row>
    <row r="4" spans="1:3" x14ac:dyDescent="0.25">
      <c r="A4" s="13"/>
      <c r="B4" s="9"/>
    </row>
    <row r="5" spans="1:3" x14ac:dyDescent="0.25">
      <c r="A5" s="5" t="s">
        <v>8</v>
      </c>
      <c r="B5" s="8" t="s">
        <v>18</v>
      </c>
    </row>
    <row r="6" spans="1:3" x14ac:dyDescent="0.25">
      <c r="A6" s="5" t="s">
        <v>9</v>
      </c>
      <c r="B6" s="8" t="s">
        <v>26</v>
      </c>
    </row>
    <row r="7" spans="1:3" x14ac:dyDescent="0.25">
      <c r="A7" s="5"/>
      <c r="B7" s="9"/>
    </row>
    <row r="8" spans="1:3" x14ac:dyDescent="0.25">
      <c r="A8" s="5" t="s">
        <v>10</v>
      </c>
      <c r="B8" s="10">
        <v>220984</v>
      </c>
    </row>
    <row r="9" spans="1:3" x14ac:dyDescent="0.25">
      <c r="A9" s="5" t="s">
        <v>11</v>
      </c>
      <c r="B9" s="8">
        <v>20</v>
      </c>
    </row>
    <row r="11" spans="1:3" x14ac:dyDescent="0.25">
      <c r="C11" s="1" t="s">
        <v>5</v>
      </c>
    </row>
    <row r="12" spans="1:3" x14ac:dyDescent="0.25">
      <c r="B12" s="1" t="s">
        <v>0</v>
      </c>
      <c r="C12" s="2">
        <v>0</v>
      </c>
    </row>
    <row r="13" spans="1:3" x14ac:dyDescent="0.25">
      <c r="B13" s="1" t="s">
        <v>1</v>
      </c>
      <c r="C13" s="2">
        <v>0.87243730902746996</v>
      </c>
    </row>
    <row r="14" spans="1:3" x14ac:dyDescent="0.25">
      <c r="B14" s="1" t="s">
        <v>2</v>
      </c>
      <c r="C14" s="2">
        <v>1.1585385140371876</v>
      </c>
    </row>
    <row r="15" spans="1:3" x14ac:dyDescent="0.25">
      <c r="B15" s="1" t="s">
        <v>3</v>
      </c>
      <c r="C15" s="2">
        <f xml:space="preserve"> 91040.1622316872 / 86400</f>
        <v>1.0537055813852685</v>
      </c>
    </row>
    <row r="16" spans="1:3" x14ac:dyDescent="0.25">
      <c r="B16" s="1" t="s">
        <v>4</v>
      </c>
      <c r="C16" s="2">
        <f xml:space="preserve"> 6736.99883802779 / 86400</f>
        <v>7.7974523588284606E-2</v>
      </c>
    </row>
    <row r="17" spans="2:3" x14ac:dyDescent="0.25">
      <c r="C17" s="3"/>
    </row>
    <row r="18" spans="2:3" x14ac:dyDescent="0.25">
      <c r="B18" s="1" t="s">
        <v>15</v>
      </c>
      <c r="C18" s="4">
        <f>_xlfn.NORM.S.INV(1-(1-0.95)/2)</f>
        <v>1.9599639845400536</v>
      </c>
    </row>
    <row r="19" spans="2:3" x14ac:dyDescent="0.25">
      <c r="B19" s="1" t="s">
        <v>16</v>
      </c>
      <c r="C19" s="4">
        <v>0.03</v>
      </c>
    </row>
    <row r="20" spans="2:3" x14ac:dyDescent="0.25">
      <c r="C20" s="3"/>
    </row>
    <row r="21" spans="2:3" x14ac:dyDescent="0.25">
      <c r="B21" s="1" t="s">
        <v>12</v>
      </c>
      <c r="C21" s="3">
        <f>C15*86400</f>
        <v>91040.162231687194</v>
      </c>
    </row>
    <row r="22" spans="2:3" x14ac:dyDescent="0.25">
      <c r="B22" s="1" t="s">
        <v>13</v>
      </c>
      <c r="C22" s="3">
        <f>C16*86400</f>
        <v>6736.99883802779</v>
      </c>
    </row>
    <row r="23" spans="2:3" x14ac:dyDescent="0.25">
      <c r="B23" s="11" t="s">
        <v>14</v>
      </c>
      <c r="C23" s="14">
        <f>ROUNDUP(POWER((C18*C22)/(C19*C21),2), 0)</f>
        <v>24</v>
      </c>
    </row>
    <row r="24" spans="2:3" x14ac:dyDescent="0.25">
      <c r="C24" s="3"/>
    </row>
    <row r="25" spans="2:3" x14ac:dyDescent="0.25">
      <c r="C25" s="3"/>
    </row>
  </sheetData>
  <mergeCells count="1">
    <mergeCell ref="A1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Mission Case 1 No. of Sims</vt:lpstr>
      <vt:lpstr>Mission Case 2 No. of Sims</vt:lpstr>
      <vt:lpstr>Mission Case 3 No. of Sims</vt:lpstr>
      <vt:lpstr>Mission Case 4 No. of Sims</vt:lpstr>
      <vt:lpstr>Mission Case 5 No. of Sims</vt:lpstr>
      <vt:lpstr>Mission Case 6 No. of Sims</vt:lpstr>
      <vt:lpstr>Mission Case 7 No. of Sims</vt:lpstr>
      <vt:lpstr>Mission Case 8 No. of Sims</vt:lpstr>
      <vt:lpstr>Mission Case 9 No. of Sims</vt:lpstr>
      <vt:lpstr>Mission Case 10 No. of Sims</vt:lpstr>
      <vt:lpstr>Mission Case 11 No. of Sims</vt:lpstr>
      <vt:lpstr>Mission Case 12 No. of Sims</vt:lpstr>
      <vt:lpstr>Mission Case 13 No. of Sims</vt:lpstr>
      <vt:lpstr>Mission Case 14 No. of Sims</vt:lpstr>
      <vt:lpstr>Mission Case 15 No. of Sims</vt:lpstr>
      <vt:lpstr>Mission Case 16 No. of Sims</vt:lpstr>
      <vt:lpstr>Mission Case 17 No. of Sims</vt:lpstr>
      <vt:lpstr>Mission Case 18 No. of Sims</vt:lpstr>
      <vt:lpstr>Mission Case 19 No. of Sims</vt:lpstr>
      <vt:lpstr>Mission Case 20 No. of Sims</vt:lpstr>
      <vt:lpstr>Mission Case 21 No. of Sims</vt:lpstr>
      <vt:lpstr>Mission Case 22 No. of 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2025-05-08T22:29:21Z</dcterms:created>
  <dcterms:modified xsi:type="dcterms:W3CDTF">2025-05-31T23:01:38Z</dcterms:modified>
</cp:coreProperties>
</file>