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Praxis Upload\Human Operator Simulation Results\"/>
    </mc:Choice>
  </mc:AlternateContent>
  <xr:revisionPtr revIDLastSave="0" documentId="13_ncr:1_{D269EABC-C84D-4070-8D45-A4C5A11BC59A}" xr6:coauthVersionLast="47" xr6:coauthVersionMax="47" xr10:uidLastSave="{00000000-0000-0000-0000-000000000000}"/>
  <bookViews>
    <workbookView xWindow="18600" yWindow="270" windowWidth="31875" windowHeight="20265" tabRatio="722" activeTab="2" xr2:uid="{FDF0A8AF-0BD2-489D-98AB-E96B3DBCB6A7}"/>
  </bookViews>
  <sheets>
    <sheet name="Scenario Performance" sheetId="1" r:id="rId1"/>
    <sheet name="Task Performance" sheetId="3" r:id="rId2"/>
    <sheet name="Task Performance (Cleaned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4" l="1"/>
  <c r="H48" i="4"/>
  <c r="H60" i="4"/>
  <c r="H59" i="4"/>
  <c r="H58" i="4"/>
  <c r="H57" i="4"/>
  <c r="H56" i="4"/>
  <c r="H51" i="4"/>
  <c r="H50" i="4"/>
  <c r="H49" i="4"/>
  <c r="H47" i="4"/>
  <c r="H46" i="4"/>
  <c r="H45" i="4"/>
  <c r="H44" i="4"/>
  <c r="H43" i="4"/>
  <c r="H38" i="4"/>
  <c r="H37" i="4"/>
  <c r="H36" i="4"/>
  <c r="I59" i="4"/>
  <c r="I57" i="4"/>
  <c r="I43" i="4"/>
  <c r="I36" i="4"/>
  <c r="D16" i="1"/>
  <c r="F58" i="4"/>
  <c r="F36" i="4"/>
  <c r="L31" i="4"/>
  <c r="K31" i="4"/>
  <c r="J31" i="4"/>
  <c r="I31" i="4"/>
  <c r="L30" i="4"/>
  <c r="K30" i="4"/>
  <c r="F60" i="4" s="1"/>
  <c r="I60" i="4" s="1"/>
  <c r="J30" i="4"/>
  <c r="I30" i="4"/>
  <c r="L29" i="4"/>
  <c r="K29" i="4"/>
  <c r="F59" i="4" s="1"/>
  <c r="J29" i="4"/>
  <c r="I29" i="4"/>
  <c r="L28" i="4"/>
  <c r="K28" i="4"/>
  <c r="J28" i="4"/>
  <c r="I28" i="4"/>
  <c r="L27" i="4"/>
  <c r="K27" i="4"/>
  <c r="F57" i="4" s="1"/>
  <c r="J27" i="4"/>
  <c r="I27" i="4"/>
  <c r="L26" i="4"/>
  <c r="K26" i="4"/>
  <c r="F56" i="4" s="1"/>
  <c r="J26" i="4"/>
  <c r="I26" i="4"/>
  <c r="L25" i="4"/>
  <c r="K25" i="4"/>
  <c r="F51" i="4" s="1"/>
  <c r="I51" i="4" s="1"/>
  <c r="J25" i="4"/>
  <c r="I25" i="4"/>
  <c r="L24" i="4"/>
  <c r="K24" i="4"/>
  <c r="F50" i="4" s="1"/>
  <c r="I50" i="4" s="1"/>
  <c r="J24" i="4"/>
  <c r="I24" i="4"/>
  <c r="L23" i="4"/>
  <c r="K23" i="4"/>
  <c r="F49" i="4" s="1"/>
  <c r="J23" i="4"/>
  <c r="I23" i="4"/>
  <c r="L22" i="4"/>
  <c r="K22" i="4"/>
  <c r="F48" i="4" s="1"/>
  <c r="I48" i="4" s="1"/>
  <c r="J22" i="4"/>
  <c r="I22" i="4"/>
  <c r="L21" i="4"/>
  <c r="K21" i="4"/>
  <c r="F47" i="4" s="1"/>
  <c r="I47" i="4" s="1"/>
  <c r="J21" i="4"/>
  <c r="I21" i="4"/>
  <c r="L20" i="4"/>
  <c r="K20" i="4"/>
  <c r="F46" i="4" s="1"/>
  <c r="I46" i="4" s="1"/>
  <c r="J20" i="4"/>
  <c r="I20" i="4"/>
  <c r="L19" i="4"/>
  <c r="K19" i="4"/>
  <c r="F45" i="4" s="1"/>
  <c r="I45" i="4" s="1"/>
  <c r="J19" i="4"/>
  <c r="I19" i="4"/>
  <c r="L18" i="4"/>
  <c r="K18" i="4"/>
  <c r="F44" i="4" s="1"/>
  <c r="I44" i="4" s="1"/>
  <c r="J18" i="4"/>
  <c r="I18" i="4"/>
  <c r="L17" i="4"/>
  <c r="K17" i="4"/>
  <c r="F43" i="4" s="1"/>
  <c r="J17" i="4"/>
  <c r="I17" i="4"/>
  <c r="L16" i="4"/>
  <c r="K16" i="4"/>
  <c r="F38" i="4" s="1"/>
  <c r="I38" i="4" s="1"/>
  <c r="J16" i="4"/>
  <c r="I16" i="4"/>
  <c r="L15" i="4"/>
  <c r="K15" i="4"/>
  <c r="F37" i="4" s="1"/>
  <c r="I37" i="4" s="1"/>
  <c r="J15" i="4"/>
  <c r="I15" i="4"/>
  <c r="L14" i="4"/>
  <c r="K14" i="4"/>
  <c r="J14" i="4"/>
  <c r="I14" i="4"/>
  <c r="L13" i="4"/>
  <c r="K13" i="4"/>
  <c r="J13" i="4"/>
  <c r="I13" i="4"/>
  <c r="F39" i="4" l="1"/>
  <c r="I39" i="4"/>
  <c r="I58" i="4"/>
  <c r="F61" i="4"/>
  <c r="I56" i="4"/>
  <c r="I49" i="4"/>
  <c r="I52" i="4"/>
  <c r="I61" i="4"/>
  <c r="F52" i="4"/>
  <c r="C17" i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C13" i="1"/>
  <c r="C14" i="1"/>
  <c r="C15" i="1"/>
  <c r="C16" i="1"/>
  <c r="I64" i="4" l="1"/>
</calcChain>
</file>

<file path=xl/sharedStrings.xml><?xml version="1.0" encoding="utf-8"?>
<sst xmlns="http://schemas.openxmlformats.org/spreadsheetml/2006/main" count="305" uniqueCount="84">
  <si>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</si>
  <si>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</si>
  <si>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</si>
  <si>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</si>
  <si>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</si>
  <si>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</si>
  <si>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</si>
  <si>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</si>
  <si>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</si>
  <si>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</si>
  <si>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</si>
  <si>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</si>
  <si>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</si>
  <si>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</si>
  <si>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</si>
  <si>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</si>
  <si>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</si>
  <si>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</si>
  <si>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</si>
  <si>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</si>
  <si>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</si>
  <si>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</si>
  <si>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</si>
  <si>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</si>
  <si>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</si>
  <si>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</si>
  <si>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</si>
  <si>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</si>
  <si>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</si>
  <si>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</si>
  <si>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</si>
  <si>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</si>
  <si>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</si>
  <si>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</si>
  <si>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</si>
  <si>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</si>
  <si>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</si>
  <si>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</si>
  <si>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</si>
  <si>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</si>
  <si>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</si>
  <si>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</si>
  <si>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</si>
  <si>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</si>
  <si>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</si>
  <si>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</si>
  <si>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</si>
  <si>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</si>
  <si>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</si>
  <si>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</si>
  <si>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</si>
  <si>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</si>
  <si>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</si>
  <si>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</si>
  <si>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</si>
  <si>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</si>
  <si>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</si>
  <si>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</si>
  <si>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</si>
  <si>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</si>
  <si>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</si>
  <si>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</si>
  <si>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</si>
  <si>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</si>
  <si>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</si>
  <si>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</si>
  <si>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</si>
  <si>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</si>
  <si>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</si>
  <si>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Mission Case 1</t>
  </si>
  <si>
    <t>ISR Human Operator</t>
  </si>
  <si>
    <t>Satellite Contact Window Requirement</t>
  </si>
  <si>
    <t>Mean (Minutes)</t>
  </si>
  <si>
    <t>Image Processing and Analysis</t>
  </si>
  <si>
    <t>Group 3 - Task Name</t>
  </si>
  <si>
    <t>Group 2 - Task Name</t>
  </si>
  <si>
    <t>Group 1 - Task Name</t>
  </si>
  <si>
    <t>Analytical Tasks Requiring Accuracy - Mean (Minutes)</t>
  </si>
  <si>
    <t>(minutes)</t>
  </si>
  <si>
    <t># of Simulations</t>
  </si>
  <si>
    <t># of Repetitions</t>
  </si>
  <si>
    <t>Sum of Mean (Minutes)</t>
  </si>
  <si>
    <t>Total Sim. Time</t>
  </si>
  <si>
    <r>
      <t xml:space="preserve"> </t>
    </r>
    <r>
      <rPr>
        <b/>
        <sz val="11"/>
        <color theme="1"/>
        <rFont val="Calibri"/>
        <family val="2"/>
      </rPr>
      <t>←</t>
    </r>
    <r>
      <rPr>
        <b/>
        <sz val="11"/>
        <color theme="1"/>
        <rFont val="Calibri"/>
        <family val="2"/>
        <scheme val="minor"/>
      </rPr>
      <t xml:space="preserve"> Downlink time is used for both human operator and AI operator simulations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</si>
</sst>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left"/>
    </xf>
    <xf numFmtId="49" fontId="1" fillId="0" borderId="0" xfId="0" applyNumberFormat="1" applyFont="1" applyAlignment="1">
      <alignment horizontal="left"/>
    </xf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1" xfId="0" applyBorder="1"/>
    <xf numFmtId="0" fontId="1" fillId="0" borderId="0" xfId="0" applyFon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167" fontId="0" fillId="0" borderId="0" xfId="0" applyNumberFormat="1"/>
    <xf numFmtId="167" fontId="1" fillId="0" borderId="0" xfId="0" applyNumberFormat="1" applyFont="1"/>
    <xf numFmtId="49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7" fontId="1" fillId="6" borderId="0" xfId="0" applyNumberFormat="1" applyFont="1" applyFill="1"/>
    <xf numFmtId="0" fontId="1" fillId="6" borderId="0" xfId="0" applyFont="1" applyFill="1"/>
    <xf numFmtId="1" fontId="0" fillId="0" borderId="0" xfId="0" applyNumberFormat="1"/>
    <xf numFmtId="167" fontId="0" fillId="0" borderId="1" xfId="0" applyNumberFormat="1" applyBorder="1"/>
    <xf numFmtId="2" fontId="1" fillId="0" borderId="0" xfId="0" applyNumberFormat="1" applyFont="1"/>
    <xf numFmtId="2" fontId="1" fillId="6" borderId="0" xfId="0" applyNumberFormat="1" applyFont="1" applyFill="1"/>
    <xf numFmtId="167" fontId="0" fillId="6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1344EF-1C87-9EED-A00B-E73C610511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02707F-0AE4-19E3-AA30-807F04F7AC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06B6DB-ABBA-4CD3-A092-B3F0D3A214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1550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F679-0BD1-4C19-AE84-0975E410665A}">
  <dimension ref="A1:E30"/>
  <sheetViews>
    <sheetView workbookViewId="0">
      <selection activeCell="D16" sqref="D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4" customWidth="1"/>
  </cols>
  <sheetData>
    <row r="1" spans="1:5" x14ac:dyDescent="0.25">
      <c r="A1" s="45"/>
    </row>
    <row r="2" spans="1:5" ht="18.75" x14ac:dyDescent="0.3">
      <c r="A2" s="45"/>
      <c r="B2" s="6" t="s">
        <v>16</v>
      </c>
    </row>
    <row r="3" spans="1:5" ht="17.25" x14ac:dyDescent="0.3">
      <c r="A3" s="45"/>
      <c r="B3" s="7" t="s">
        <v>17</v>
      </c>
    </row>
    <row r="4" spans="1:5" x14ac:dyDescent="0.25">
      <c r="A4" s="45"/>
      <c r="B4" s="9"/>
    </row>
    <row r="5" spans="1:5" x14ac:dyDescent="0.25">
      <c r="A5" s="5" t="s">
        <v>18</v>
      </c>
      <c r="B5" s="8" t="s">
        <v>70</v>
      </c>
    </row>
    <row r="6" spans="1:5" x14ac:dyDescent="0.25">
      <c r="A6" s="5" t="s">
        <v>19</v>
      </c>
      <c r="B6" s="8" t="s">
        <v>69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72901</v>
      </c>
    </row>
    <row r="10" spans="1:5" x14ac:dyDescent="0.25">
      <c r="A10" s="5" t="s">
        <v>21</v>
      </c>
      <c r="B10" s="8">
        <v>45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26864.4206734187 / 86400</f>
        <v>0.31093079483123492</v>
      </c>
    </row>
    <row r="15" spans="1:5" x14ac:dyDescent="0.25">
      <c r="B15" s="1" t="s">
        <v>2</v>
      </c>
      <c r="C15" s="2">
        <f xml:space="preserve"> 47734.8525751165 / 86400</f>
        <v>0.55248671961940399</v>
      </c>
    </row>
    <row r="16" spans="1:5" x14ac:dyDescent="0.25">
      <c r="B16" s="36" t="s">
        <v>3</v>
      </c>
      <c r="C16" s="37">
        <f xml:space="preserve"> 37403.9723476119 / 86400</f>
        <v>0.43291634661587852</v>
      </c>
      <c r="D16" s="38">
        <f>(C16*86400)/60</f>
        <v>623.39953912686508</v>
      </c>
      <c r="E16" s="39" t="s">
        <v>78</v>
      </c>
    </row>
    <row r="17" spans="2:3" x14ac:dyDescent="0.25">
      <c r="B17" s="1" t="s">
        <v>4</v>
      </c>
      <c r="C17" s="2">
        <f xml:space="preserve"> 4715.97336481887 / 86400</f>
        <v>5.4583025055773962E-2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0688-BD24-4B1B-880F-23D695A6E262}">
  <dimension ref="A1:X44"/>
  <sheetViews>
    <sheetView workbookViewId="0">
      <selection activeCell="F47" sqref="F47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51.42578125" bestFit="1" customWidth="1"/>
    <col min="6" max="6" width="16.140625" bestFit="1" customWidth="1"/>
    <col min="7" max="7" width="16.42578125" bestFit="1" customWidth="1"/>
    <col min="8" max="8" width="10.42578125" bestFit="1" customWidth="1"/>
    <col min="9" max="11" width="10.7109375" bestFit="1" customWidth="1"/>
    <col min="12" max="12" width="11.855468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5"/>
    </row>
    <row r="2" spans="1:24" ht="18.75" x14ac:dyDescent="0.3">
      <c r="A2" s="45"/>
      <c r="B2" s="6" t="s">
        <v>16</v>
      </c>
    </row>
    <row r="3" spans="1:24" ht="17.25" x14ac:dyDescent="0.3">
      <c r="A3" s="45"/>
      <c r="B3" s="7" t="s">
        <v>66</v>
      </c>
    </row>
    <row r="4" spans="1:24" x14ac:dyDescent="0.25">
      <c r="A4" s="45"/>
      <c r="B4" s="9"/>
    </row>
    <row r="5" spans="1:24" x14ac:dyDescent="0.25">
      <c r="A5" s="5" t="s">
        <v>18</v>
      </c>
      <c r="B5" s="8" t="s">
        <v>70</v>
      </c>
    </row>
    <row r="6" spans="1:24" x14ac:dyDescent="0.25">
      <c r="A6" s="5" t="s">
        <v>19</v>
      </c>
      <c r="B6" s="8" t="s">
        <v>69</v>
      </c>
    </row>
    <row r="7" spans="1:24" x14ac:dyDescent="0.25">
      <c r="A7" s="5" t="s">
        <v>20</v>
      </c>
      <c r="B7" s="11">
        <v>72901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ht="14.45" customHeight="1" x14ac:dyDescent="0.25">
      <c r="B11" s="46" t="s">
        <v>22</v>
      </c>
      <c r="C11" s="47"/>
      <c r="D11" s="46" t="s">
        <v>23</v>
      </c>
      <c r="E11" s="47"/>
      <c r="F11" s="48" t="s">
        <v>24</v>
      </c>
      <c r="I11" s="46" t="s">
        <v>25</v>
      </c>
      <c r="J11" s="46"/>
      <c r="K11" s="46"/>
      <c r="L11" s="46"/>
      <c r="M11" s="46"/>
      <c r="N11" s="49" t="s">
        <v>26</v>
      </c>
      <c r="P11" s="46" t="s">
        <v>27</v>
      </c>
      <c r="Q11" s="47"/>
      <c r="R11" s="47"/>
      <c r="S11" s="47"/>
      <c r="T11" s="49" t="s">
        <v>28</v>
      </c>
      <c r="V11" s="46" t="s">
        <v>29</v>
      </c>
      <c r="W11" s="47"/>
      <c r="X11" s="47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50"/>
      <c r="P12" s="12" t="s">
        <v>38</v>
      </c>
      <c r="Q12" s="12" t="s">
        <v>39</v>
      </c>
      <c r="R12" s="12" t="s">
        <v>40</v>
      </c>
      <c r="S12" s="12" t="s">
        <v>37</v>
      </c>
      <c r="T12" s="50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45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45</v>
      </c>
      <c r="H14" s="9"/>
      <c r="I14" s="2">
        <f xml:space="preserve"> 97.7809321399689 / 86400</f>
        <v>1.1317237516200104E-3</v>
      </c>
      <c r="J14" s="2">
        <f xml:space="preserve"> 299.882772733403 / 86400</f>
        <v>3.4708654251551273E-3</v>
      </c>
      <c r="K14" s="2">
        <f xml:space="preserve"> 192.181750181495 / 86400</f>
        <v>2.224325812285822E-3</v>
      </c>
      <c r="L14" s="2">
        <f xml:space="preserve"> 43.4558174554437 / 86400</f>
        <v>5.0296085017874652E-4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45</v>
      </c>
      <c r="H15" s="9"/>
      <c r="I15" s="2">
        <f xml:space="preserve"> 6.590245065554 / 86400</f>
        <v>7.6275984555023146E-5</v>
      </c>
      <c r="J15" s="2">
        <f xml:space="preserve"> 24.313651278761 / 86400</f>
        <v>2.8140800091158567E-4</v>
      </c>
      <c r="K15" s="2">
        <f xml:space="preserve"> 15.3294891517384 / 86400</f>
        <v>1.7742464295993519E-4</v>
      </c>
      <c r="L15" s="2">
        <f xml:space="preserve"> 4.96157451520803 / 86400</f>
        <v>5.7425630963055898E-5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45</v>
      </c>
      <c r="H16" s="9"/>
      <c r="I16" s="2">
        <f xml:space="preserve"> 15.605388136146 / 86400</f>
        <v>1.8061791824243057E-4</v>
      </c>
      <c r="J16" s="2">
        <f xml:space="preserve"> 41.259825754085 / 86400</f>
        <v>4.7754427956116897E-4</v>
      </c>
      <c r="K16" s="2">
        <f xml:space="preserve"> 28.2711436107731 / 86400</f>
        <v>3.2721231030987384E-4</v>
      </c>
      <c r="L16" s="2">
        <f xml:space="preserve"> 7.80570171737603 / 86400</f>
        <v>9.0343769877037377E-5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45</v>
      </c>
      <c r="H17" s="9"/>
      <c r="I17" s="2">
        <f xml:space="preserve"> 91.513640595724 / 86400</f>
        <v>1.0591856550431018E-3</v>
      </c>
      <c r="J17" s="2">
        <f xml:space="preserve"> 354.362760009029 / 86400</f>
        <v>4.1014208334378358E-3</v>
      </c>
      <c r="K17" s="2">
        <f xml:space="preserve"> 183.422115236402 / 86400</f>
        <v>2.1229411485694676E-3</v>
      </c>
      <c r="L17" s="2">
        <f xml:space="preserve"> 67.4955056353882 / 86400</f>
        <v>7.8119798189106712E-4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225</v>
      </c>
      <c r="H18" s="9"/>
      <c r="I18" s="2">
        <f xml:space="preserve"> 8.32457902343958 / 86400</f>
        <v>9.63492942527729E-5</v>
      </c>
      <c r="J18" s="2">
        <f xml:space="preserve"> 124.03466190446 / 86400</f>
        <v>1.4355863646349537E-3</v>
      </c>
      <c r="K18" s="2">
        <f xml:space="preserve"> 72.5791037339481 / 86400</f>
        <v>8.4003592284662154E-4</v>
      </c>
      <c r="L18" s="2">
        <f xml:space="preserve"> 18.7043665430138 / 86400</f>
        <v>2.1648572387747455E-4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225</v>
      </c>
      <c r="H19" s="9"/>
      <c r="I19" s="2">
        <f xml:space="preserve"> 25.5074790624985 / 86400</f>
        <v>2.9522545211225115E-4</v>
      </c>
      <c r="J19" s="2">
        <f xml:space="preserve"> 70.0499205203005 / 86400</f>
        <v>8.1076296898495957E-4</v>
      </c>
      <c r="K19" s="2">
        <f xml:space="preserve"> 49.9824978480821 / 86400</f>
        <v>5.7850113250095024E-4</v>
      </c>
      <c r="L19" s="2">
        <f xml:space="preserve"> 8.5376292967186 / 86400</f>
        <v>9.8815153897206023E-5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225</v>
      </c>
      <c r="H20" s="9"/>
      <c r="I20" s="2">
        <f xml:space="preserve"> 40.4688486296 / 86400</f>
        <v>4.6838945173148142E-4</v>
      </c>
      <c r="J20" s="2">
        <f xml:space="preserve"> 96.5671644796003 / 86400</f>
        <v>1.1176755148101887E-3</v>
      </c>
      <c r="K20" s="2">
        <f xml:space="preserve"> 69.8789550846662 / 86400</f>
        <v>8.0878420236882179E-4</v>
      </c>
      <c r="L20" s="2">
        <f xml:space="preserve"> 10.7763248912161 / 86400</f>
        <v>1.2472598253722338E-4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225</v>
      </c>
      <c r="H21" s="9"/>
      <c r="I21" s="2">
        <f xml:space="preserve"> 956.4134611931 / 86400</f>
        <v>1.1069600245290509E-2</v>
      </c>
      <c r="J21" s="2">
        <f xml:space="preserve"> 8629.2632962044 / 86400</f>
        <v>9.9875732594958341E-2</v>
      </c>
      <c r="K21" s="2">
        <f xml:space="preserve"> 4321.07157825982 / 86400</f>
        <v>5.0012402526155325E-2</v>
      </c>
      <c r="L21" s="2">
        <f xml:space="preserve"> 1721.59843614671 / 86400</f>
        <v>1.9925907825772107E-2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32</v>
      </c>
      <c r="H22" s="9"/>
      <c r="I22" s="2">
        <f xml:space="preserve"> 701.927379221401 / 86400</f>
        <v>8.124159481729178E-3</v>
      </c>
      <c r="J22" s="2">
        <f xml:space="preserve"> 2580.61659506452 / 86400</f>
        <v>2.9868247628061572E-2</v>
      </c>
      <c r="K22" s="2">
        <f xml:space="preserve"> 1319.56834593534 / 86400</f>
        <v>1.5272781781659027E-2</v>
      </c>
      <c r="L22" s="2">
        <f xml:space="preserve"> 392.791352551211 / 86400</f>
        <v>4.5461962100834608E-3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225</v>
      </c>
      <c r="H23" s="9"/>
      <c r="I23" s="2">
        <f xml:space="preserve"> 627.364296584303 / 86400</f>
        <v>7.2611608400960995E-3</v>
      </c>
      <c r="J23" s="2">
        <f xml:space="preserve"> 1609.7629467905 / 86400</f>
        <v>1.8631515587853011E-2</v>
      </c>
      <c r="K23" s="2">
        <f xml:space="preserve"> 989.134885450947 / 86400</f>
        <v>1.1448320433460035E-2</v>
      </c>
      <c r="L23" s="2">
        <f xml:space="preserve"> 202.878383438151 / 86400</f>
        <v>2.3481294379415624E-3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225</v>
      </c>
      <c r="H24" s="9"/>
      <c r="I24" s="2">
        <f xml:space="preserve"> 8.36041052376913 / 86400</f>
        <v>9.6764010691772334E-5</v>
      </c>
      <c r="J24" s="2">
        <f xml:space="preserve"> 75.8356188457983 / 86400</f>
        <v>8.777270699745173E-4</v>
      </c>
      <c r="K24" s="2">
        <f xml:space="preserve"> 48.0126278146301 / 86400</f>
        <v>5.5570171081747804E-4</v>
      </c>
      <c r="L24" s="2">
        <f xml:space="preserve"> 19.1403890171618 / 86400</f>
        <v>2.2153228029122456E-4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225</v>
      </c>
      <c r="H25" s="9"/>
      <c r="I25" s="2">
        <f xml:space="preserve"> 135.139701581702 / 86400</f>
        <v>1.5641169164548844E-3</v>
      </c>
      <c r="J25" s="2">
        <f xml:space="preserve"> 1213.83874733601 / 86400</f>
        <v>1.4049059575648264E-2</v>
      </c>
      <c r="K25" s="2">
        <f xml:space="preserve"> 522.315478371959 / 86400</f>
        <v>6.0453180367124881E-3</v>
      </c>
      <c r="L25" s="2">
        <f xml:space="preserve"> 214.297514868915 / 86400</f>
        <v>2.4802953109828124E-3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45</v>
      </c>
      <c r="H26" s="9"/>
      <c r="I26" s="2">
        <f xml:space="preserve"> 363.759333542002 / 86400</f>
        <v>4.2101774715509492E-3</v>
      </c>
      <c r="J26" s="2">
        <f xml:space="preserve"> 881.581675501802 / 86400</f>
        <v>1.0203491614604191E-2</v>
      </c>
      <c r="K26" s="2">
        <f xml:space="preserve"> 583.738395769196 / 86400</f>
        <v>6.756231432513843E-3</v>
      </c>
      <c r="L26" s="2">
        <f xml:space="preserve"> 117.865626922641 / 86400</f>
        <v>1.3641854967898265E-3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45</v>
      </c>
      <c r="H27" s="9"/>
      <c r="I27" s="2">
        <f xml:space="preserve"> 280.972356570899 / 86400</f>
        <v>3.2519948677187387E-3</v>
      </c>
      <c r="J27" s="2">
        <f xml:space="preserve"> 564.765750113802 / 86400</f>
        <v>6.5366406263171533E-3</v>
      </c>
      <c r="K27" s="2">
        <f xml:space="preserve"> 412.771945023708 / 86400</f>
        <v>4.7774530674040278E-3</v>
      </c>
      <c r="L27" s="2">
        <f xml:space="preserve"> 78.0475964213545 / 86400</f>
        <v>9.0332866228419559E-4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45</v>
      </c>
      <c r="H28" s="9"/>
      <c r="I28" s="2">
        <f xml:space="preserve"> 3090.6429118126 / 86400</f>
        <v>3.5771329997831017E-2</v>
      </c>
      <c r="J28" s="2">
        <f xml:space="preserve"> 4978.1464336198 / 86400</f>
        <v>5.7617435574303238E-2</v>
      </c>
      <c r="K28" s="2">
        <f xml:space="preserve"> 4034.25388754624 / 86400</f>
        <v>4.6692753328081482E-2</v>
      </c>
      <c r="L28" s="2">
        <f xml:space="preserve"> 416.031754472751 / 86400</f>
        <v>4.8151823434346179E-3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45</v>
      </c>
      <c r="H29" s="9"/>
      <c r="I29" s="2">
        <f xml:space="preserve"> 356.754888149298 / 86400</f>
        <v>4.1291075017279863E-3</v>
      </c>
      <c r="J29" s="2">
        <f xml:space="preserve"> 575.631764546801 / 86400</f>
        <v>6.6624046822546419E-3</v>
      </c>
      <c r="K29" s="2">
        <f xml:space="preserve"> 470.606188287211 / 86400</f>
        <v>5.4468308829538313E-3</v>
      </c>
      <c r="L29" s="2">
        <f xml:space="preserve"> 43.6779454656348 / 86400</f>
        <v>5.0553177622262495E-4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45</v>
      </c>
      <c r="H30" s="9"/>
      <c r="I30" s="2">
        <f xml:space="preserve"> 91.0314541640037 / 86400</f>
        <v>1.0536047935648578E-3</v>
      </c>
      <c r="J30" s="2">
        <f xml:space="preserve"> 275.881413396404 / 86400</f>
        <v>3.1930719143102317E-3</v>
      </c>
      <c r="K30" s="2">
        <f xml:space="preserve"> 180.162087319704 / 86400</f>
        <v>2.0852093439780554E-3</v>
      </c>
      <c r="L30" s="2">
        <f xml:space="preserve"> 44.4431501036417 / 86400</f>
        <v>5.1438831138474184E-4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45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28"/>
    </row>
    <row r="35" spans="6:6" x14ac:dyDescent="0.25">
      <c r="F35" s="28"/>
    </row>
    <row r="36" spans="6:6" x14ac:dyDescent="0.25">
      <c r="F36" s="28"/>
    </row>
    <row r="37" spans="6:6" x14ac:dyDescent="0.25">
      <c r="F37" s="28"/>
    </row>
    <row r="38" spans="6:6" x14ac:dyDescent="0.25">
      <c r="F38" s="28"/>
    </row>
    <row r="39" spans="6:6" x14ac:dyDescent="0.25">
      <c r="F39" s="28"/>
    </row>
    <row r="40" spans="6:6" x14ac:dyDescent="0.25">
      <c r="F40" s="28"/>
    </row>
    <row r="41" spans="6:6" x14ac:dyDescent="0.25">
      <c r="F41" s="28"/>
    </row>
    <row r="42" spans="6:6" x14ac:dyDescent="0.25">
      <c r="F42" s="28"/>
    </row>
    <row r="43" spans="6:6" x14ac:dyDescent="0.25">
      <c r="F43" s="28"/>
    </row>
    <row r="44" spans="6:6" x14ac:dyDescent="0.25">
      <c r="F44" s="28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BEAC-8D9A-4CB1-8354-D4B7E1CFFF8B}">
  <dimension ref="A1:V75"/>
  <sheetViews>
    <sheetView tabSelected="1" topLeftCell="A19" zoomScaleNormal="100" workbookViewId="0">
      <selection activeCell="T58" sqref="T58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51.42578125" bestFit="1" customWidth="1"/>
    <col min="6" max="6" width="16.140625" bestFit="1" customWidth="1"/>
    <col min="7" max="7" width="18.85546875" customWidth="1"/>
    <col min="8" max="8" width="17.28515625" customWidth="1"/>
    <col min="9" max="9" width="21.140625" customWidth="1"/>
    <col min="10" max="11" width="10.7109375" bestFit="1" customWidth="1"/>
    <col min="12" max="12" width="11.85546875" bestFit="1" customWidth="1"/>
    <col min="13" max="13" width="8" bestFit="1" customWidth="1"/>
    <col min="14" max="14" width="15" bestFit="1" customWidth="1"/>
    <col min="15" max="15" width="12.7109375" bestFit="1" customWidth="1"/>
    <col min="16" max="16" width="12.140625" bestFit="1" customWidth="1"/>
    <col min="18" max="18" width="8.85546875" bestFit="1" customWidth="1"/>
    <col min="19" max="19" width="12.140625" bestFit="1" customWidth="1"/>
    <col min="20" max="20" width="7.42578125" bestFit="1" customWidth="1"/>
  </cols>
  <sheetData>
    <row r="1" spans="1:20" x14ac:dyDescent="0.25">
      <c r="A1" s="45"/>
    </row>
    <row r="2" spans="1:20" ht="18.75" x14ac:dyDescent="0.3">
      <c r="A2" s="45"/>
      <c r="B2" s="6" t="s">
        <v>16</v>
      </c>
    </row>
    <row r="3" spans="1:20" ht="17.25" x14ac:dyDescent="0.3">
      <c r="A3" s="45"/>
      <c r="B3" s="7" t="s">
        <v>66</v>
      </c>
    </row>
    <row r="4" spans="1:20" x14ac:dyDescent="0.25">
      <c r="A4" s="45"/>
      <c r="B4" s="9"/>
    </row>
    <row r="5" spans="1:20" x14ac:dyDescent="0.25">
      <c r="A5" s="5" t="s">
        <v>18</v>
      </c>
      <c r="B5" s="8" t="s">
        <v>70</v>
      </c>
    </row>
    <row r="6" spans="1:20" x14ac:dyDescent="0.25">
      <c r="A6" s="5" t="s">
        <v>19</v>
      </c>
      <c r="B6" s="8" t="s">
        <v>69</v>
      </c>
    </row>
    <row r="7" spans="1:20" x14ac:dyDescent="0.25">
      <c r="A7" s="5" t="s">
        <v>20</v>
      </c>
      <c r="B7" s="11">
        <v>72901</v>
      </c>
    </row>
    <row r="8" spans="1:20" x14ac:dyDescent="0.25">
      <c r="A8" s="5"/>
      <c r="B8" s="10"/>
    </row>
    <row r="9" spans="1:20" x14ac:dyDescent="0.25">
      <c r="A9" s="5" t="s">
        <v>67</v>
      </c>
      <c r="B9" s="9" t="s">
        <v>68</v>
      </c>
    </row>
    <row r="11" spans="1:20" s="12" customFormat="1" ht="14.45" customHeight="1" x14ac:dyDescent="0.25">
      <c r="B11" s="46" t="s">
        <v>22</v>
      </c>
      <c r="C11" s="47"/>
      <c r="D11" s="46" t="s">
        <v>23</v>
      </c>
      <c r="E11" s="47"/>
      <c r="F11" s="48" t="s">
        <v>24</v>
      </c>
      <c r="I11" s="46" t="s">
        <v>25</v>
      </c>
      <c r="J11" s="46"/>
      <c r="K11" s="46"/>
      <c r="L11" s="46"/>
      <c r="P11" s="49"/>
      <c r="R11" s="46"/>
      <c r="S11" s="47"/>
      <c r="T11" s="47"/>
    </row>
    <row r="12" spans="1:20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P12" s="50"/>
    </row>
    <row r="13" spans="1:20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45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14"/>
      <c r="N13" s="14"/>
      <c r="O13" s="3"/>
      <c r="P13" s="3"/>
      <c r="Q13" s="9"/>
      <c r="R13" s="3"/>
      <c r="S13" s="3"/>
      <c r="T13" s="4"/>
    </row>
    <row r="14" spans="1:20" x14ac:dyDescent="0.25">
      <c r="B14" s="4" t="s">
        <v>43</v>
      </c>
      <c r="C14" s="9" t="s">
        <v>44</v>
      </c>
      <c r="D14" s="4">
        <v>1</v>
      </c>
      <c r="E14" s="20" t="s">
        <v>48</v>
      </c>
      <c r="F14" s="9" t="s">
        <v>46</v>
      </c>
      <c r="G14" s="4">
        <v>45</v>
      </c>
      <c r="H14" s="9"/>
      <c r="I14" s="2">
        <f xml:space="preserve"> 97.7809321399689 / 86400</f>
        <v>1.1317237516200104E-3</v>
      </c>
      <c r="J14" s="2">
        <f xml:space="preserve"> 299.882772733403 / 86400</f>
        <v>3.4708654251551273E-3</v>
      </c>
      <c r="K14" s="25">
        <f xml:space="preserve"> 192.181750181495 / 86400</f>
        <v>2.224325812285822E-3</v>
      </c>
      <c r="L14" s="2">
        <f xml:space="preserve"> 43.4558174554437 / 86400</f>
        <v>5.0296085017874652E-4</v>
      </c>
      <c r="M14" s="14"/>
      <c r="N14" s="14"/>
      <c r="O14" s="3"/>
      <c r="P14" s="3"/>
      <c r="Q14" s="9"/>
      <c r="R14" s="3"/>
      <c r="S14" s="3"/>
      <c r="T14" s="4"/>
    </row>
    <row r="15" spans="1:20" x14ac:dyDescent="0.25">
      <c r="B15" s="4" t="s">
        <v>43</v>
      </c>
      <c r="C15" s="9" t="s">
        <v>44</v>
      </c>
      <c r="D15" s="4">
        <v>2</v>
      </c>
      <c r="E15" s="20" t="s">
        <v>49</v>
      </c>
      <c r="F15" s="9" t="s">
        <v>46</v>
      </c>
      <c r="G15" s="4">
        <v>45</v>
      </c>
      <c r="H15" s="9"/>
      <c r="I15" s="2">
        <f xml:space="preserve"> 6.590245065554 / 86400</f>
        <v>7.6275984555023146E-5</v>
      </c>
      <c r="J15" s="2">
        <f xml:space="preserve"> 24.313651278761 / 86400</f>
        <v>2.8140800091158567E-4</v>
      </c>
      <c r="K15" s="25">
        <f xml:space="preserve"> 15.3294891517384 / 86400</f>
        <v>1.7742464295993519E-4</v>
      </c>
      <c r="L15" s="2">
        <f xml:space="preserve"> 4.96157451520803 / 86400</f>
        <v>5.7425630963055898E-5</v>
      </c>
      <c r="M15" s="14"/>
      <c r="N15" s="14"/>
      <c r="O15" s="3"/>
      <c r="P15" s="3"/>
      <c r="Q15" s="9"/>
      <c r="R15" s="3"/>
      <c r="S15" s="3"/>
      <c r="T15" s="4"/>
    </row>
    <row r="16" spans="1:20" x14ac:dyDescent="0.25">
      <c r="B16" s="4" t="s">
        <v>43</v>
      </c>
      <c r="C16" s="9" t="s">
        <v>44</v>
      </c>
      <c r="D16" s="4">
        <v>3</v>
      </c>
      <c r="E16" s="20" t="s">
        <v>50</v>
      </c>
      <c r="F16" s="9" t="s">
        <v>46</v>
      </c>
      <c r="G16" s="4">
        <v>45</v>
      </c>
      <c r="H16" s="9"/>
      <c r="I16" s="2">
        <f xml:space="preserve"> 15.605388136146 / 86400</f>
        <v>1.8061791824243057E-4</v>
      </c>
      <c r="J16" s="2">
        <f xml:space="preserve"> 41.259825754085 / 86400</f>
        <v>4.7754427956116897E-4</v>
      </c>
      <c r="K16" s="25">
        <f xml:space="preserve"> 28.2711436107731 / 86400</f>
        <v>3.2721231030987384E-4</v>
      </c>
      <c r="L16" s="2">
        <f xml:space="preserve"> 7.80570171737603 / 86400</f>
        <v>9.0343769877037377E-5</v>
      </c>
      <c r="M16" s="14"/>
      <c r="N16" s="14"/>
      <c r="O16" s="3"/>
      <c r="P16" s="3"/>
      <c r="Q16" s="9"/>
      <c r="R16" s="3"/>
      <c r="S16" s="3"/>
      <c r="T16" s="4"/>
    </row>
    <row r="17" spans="2:22" x14ac:dyDescent="0.25">
      <c r="B17" s="4" t="s">
        <v>43</v>
      </c>
      <c r="C17" s="9" t="s">
        <v>44</v>
      </c>
      <c r="D17" s="4">
        <v>4</v>
      </c>
      <c r="E17" s="21" t="s">
        <v>51</v>
      </c>
      <c r="F17" s="9" t="s">
        <v>46</v>
      </c>
      <c r="G17" s="4">
        <v>45</v>
      </c>
      <c r="H17" s="9"/>
      <c r="I17" s="2">
        <f xml:space="preserve"> 91.513640595724 / 86400</f>
        <v>1.0591856550431018E-3</v>
      </c>
      <c r="J17" s="2">
        <f xml:space="preserve"> 354.362760009029 / 86400</f>
        <v>4.1014208334378358E-3</v>
      </c>
      <c r="K17" s="23">
        <f xml:space="preserve"> 183.422115236402 / 86400</f>
        <v>2.1229411485694676E-3</v>
      </c>
      <c r="L17" s="2">
        <f xml:space="preserve"> 67.4955056353882 / 86400</f>
        <v>7.8119798189106712E-4</v>
      </c>
      <c r="M17" s="14"/>
      <c r="N17" s="14"/>
      <c r="O17" s="3"/>
      <c r="P17" s="3"/>
      <c r="Q17" s="9"/>
      <c r="R17" s="3"/>
      <c r="S17" s="3"/>
      <c r="T17" s="4"/>
    </row>
    <row r="18" spans="2:22" x14ac:dyDescent="0.25">
      <c r="B18" s="4" t="s">
        <v>43</v>
      </c>
      <c r="C18" s="9" t="s">
        <v>44</v>
      </c>
      <c r="D18" s="4">
        <v>5</v>
      </c>
      <c r="E18" s="21" t="s">
        <v>52</v>
      </c>
      <c r="F18" s="9" t="s">
        <v>46</v>
      </c>
      <c r="G18" s="4">
        <v>225</v>
      </c>
      <c r="H18" s="9"/>
      <c r="I18" s="2">
        <f xml:space="preserve"> 8.32457902343958 / 86400</f>
        <v>9.63492942527729E-5</v>
      </c>
      <c r="J18" s="2">
        <f xml:space="preserve"> 124.03466190446 / 86400</f>
        <v>1.4355863646349537E-3</v>
      </c>
      <c r="K18" s="23">
        <f xml:space="preserve"> 72.5791037339481 / 86400</f>
        <v>8.4003592284662154E-4</v>
      </c>
      <c r="L18" s="2">
        <f xml:space="preserve"> 18.7043665430138 / 86400</f>
        <v>2.1648572387747455E-4</v>
      </c>
      <c r="M18" s="14"/>
      <c r="N18" s="14"/>
      <c r="O18" s="3"/>
      <c r="P18" s="3"/>
      <c r="Q18" s="9"/>
      <c r="R18" s="3"/>
      <c r="S18" s="3"/>
      <c r="T18" s="4"/>
    </row>
    <row r="19" spans="2:22" x14ac:dyDescent="0.25">
      <c r="B19" s="4" t="s">
        <v>43</v>
      </c>
      <c r="C19" s="9" t="s">
        <v>44</v>
      </c>
      <c r="D19" s="4">
        <v>6</v>
      </c>
      <c r="E19" s="21" t="s">
        <v>53</v>
      </c>
      <c r="F19" s="9" t="s">
        <v>46</v>
      </c>
      <c r="G19" s="4">
        <v>225</v>
      </c>
      <c r="H19" s="9"/>
      <c r="I19" s="2">
        <f xml:space="preserve"> 25.5074790624985 / 86400</f>
        <v>2.9522545211225115E-4</v>
      </c>
      <c r="J19" s="2">
        <f xml:space="preserve"> 70.0499205203005 / 86400</f>
        <v>8.1076296898495957E-4</v>
      </c>
      <c r="K19" s="23">
        <f xml:space="preserve"> 49.9824978480821 / 86400</f>
        <v>5.7850113250095024E-4</v>
      </c>
      <c r="L19" s="2">
        <f xml:space="preserve"> 8.5376292967186 / 86400</f>
        <v>9.8815153897206023E-5</v>
      </c>
      <c r="M19" s="14"/>
      <c r="N19" s="14"/>
      <c r="O19" s="3"/>
      <c r="P19" s="3"/>
      <c r="Q19" s="9"/>
      <c r="R19" s="3"/>
      <c r="S19" s="3"/>
      <c r="T19" s="4"/>
    </row>
    <row r="20" spans="2:22" x14ac:dyDescent="0.25">
      <c r="B20" s="4" t="s">
        <v>43</v>
      </c>
      <c r="C20" s="9" t="s">
        <v>44</v>
      </c>
      <c r="D20" s="4">
        <v>7</v>
      </c>
      <c r="E20" s="21" t="s">
        <v>54</v>
      </c>
      <c r="F20" s="9" t="s">
        <v>46</v>
      </c>
      <c r="G20" s="4">
        <v>225</v>
      </c>
      <c r="H20" s="9"/>
      <c r="I20" s="2">
        <f xml:space="preserve"> 40.4688486296 / 86400</f>
        <v>4.6838945173148142E-4</v>
      </c>
      <c r="J20" s="2">
        <f xml:space="preserve"> 96.5671644796003 / 86400</f>
        <v>1.1176755148101887E-3</v>
      </c>
      <c r="K20" s="23">
        <f xml:space="preserve"> 69.8789550846662 / 86400</f>
        <v>8.0878420236882179E-4</v>
      </c>
      <c r="L20" s="2">
        <f xml:space="preserve"> 10.7763248912161 / 86400</f>
        <v>1.2472598253722338E-4</v>
      </c>
      <c r="M20" s="14"/>
      <c r="N20" s="14"/>
      <c r="O20" s="3"/>
      <c r="P20" s="3"/>
      <c r="Q20" s="9"/>
      <c r="R20" s="3"/>
      <c r="S20" s="3"/>
      <c r="T20" s="4"/>
    </row>
    <row r="21" spans="2:22" x14ac:dyDescent="0.25">
      <c r="B21" s="4" t="s">
        <v>43</v>
      </c>
      <c r="C21" s="9" t="s">
        <v>44</v>
      </c>
      <c r="D21" s="4">
        <v>8</v>
      </c>
      <c r="E21" s="21" t="s">
        <v>55</v>
      </c>
      <c r="F21" s="9" t="s">
        <v>46</v>
      </c>
      <c r="G21" s="4">
        <v>225</v>
      </c>
      <c r="H21" s="9"/>
      <c r="I21" s="2">
        <f xml:space="preserve"> 956.4134611931 / 86400</f>
        <v>1.1069600245290509E-2</v>
      </c>
      <c r="J21" s="2">
        <f xml:space="preserve"> 8629.2632962044 / 86400</f>
        <v>9.9875732594958341E-2</v>
      </c>
      <c r="K21" s="23">
        <f xml:space="preserve"> 4321.07157825982 / 86400</f>
        <v>5.0012402526155325E-2</v>
      </c>
      <c r="L21" s="2">
        <f xml:space="preserve"> 1721.59843614671 / 86400</f>
        <v>1.9925907825772107E-2</v>
      </c>
      <c r="M21" s="14"/>
      <c r="N21" s="14"/>
      <c r="O21" s="3"/>
      <c r="P21" s="3"/>
      <c r="Q21" s="9"/>
      <c r="R21" s="3"/>
      <c r="S21" s="3"/>
      <c r="T21" s="4"/>
    </row>
    <row r="22" spans="2:22" x14ac:dyDescent="0.25">
      <c r="B22" s="4" t="s">
        <v>43</v>
      </c>
      <c r="C22" s="9" t="s">
        <v>44</v>
      </c>
      <c r="D22" s="4">
        <v>9</v>
      </c>
      <c r="E22" s="21" t="s">
        <v>56</v>
      </c>
      <c r="F22" s="9" t="s">
        <v>46</v>
      </c>
      <c r="G22" s="4">
        <v>32</v>
      </c>
      <c r="H22" s="9"/>
      <c r="I22" s="2">
        <f xml:space="preserve"> 701.927379221401 / 86400</f>
        <v>8.124159481729178E-3</v>
      </c>
      <c r="J22" s="2">
        <f xml:space="preserve"> 2580.61659506452 / 86400</f>
        <v>2.9868247628061572E-2</v>
      </c>
      <c r="K22" s="23">
        <f xml:space="preserve"> 1319.56834593534 / 86400</f>
        <v>1.5272781781659027E-2</v>
      </c>
      <c r="L22" s="2">
        <f xml:space="preserve"> 392.791352551211 / 86400</f>
        <v>4.5461962100834608E-3</v>
      </c>
      <c r="M22" s="14"/>
      <c r="N22" s="14"/>
      <c r="O22" s="3"/>
      <c r="P22" s="3"/>
      <c r="Q22" s="9"/>
      <c r="R22" s="3"/>
      <c r="S22" s="3"/>
      <c r="T22" s="4"/>
    </row>
    <row r="23" spans="2:22" x14ac:dyDescent="0.25">
      <c r="B23" s="4" t="s">
        <v>43</v>
      </c>
      <c r="C23" s="9" t="s">
        <v>44</v>
      </c>
      <c r="D23" s="4">
        <v>10</v>
      </c>
      <c r="E23" s="21" t="s">
        <v>57</v>
      </c>
      <c r="F23" s="9" t="s">
        <v>46</v>
      </c>
      <c r="G23" s="4">
        <v>225</v>
      </c>
      <c r="H23" s="9"/>
      <c r="I23" s="2">
        <f xml:space="preserve"> 627.364296584303 / 86400</f>
        <v>7.2611608400960995E-3</v>
      </c>
      <c r="J23" s="2">
        <f xml:space="preserve"> 1609.7629467905 / 86400</f>
        <v>1.8631515587853011E-2</v>
      </c>
      <c r="K23" s="23">
        <f xml:space="preserve"> 989.134885450947 / 86400</f>
        <v>1.1448320433460035E-2</v>
      </c>
      <c r="L23" s="2">
        <f xml:space="preserve"> 202.878383438151 / 86400</f>
        <v>2.3481294379415624E-3</v>
      </c>
      <c r="M23" s="14"/>
      <c r="N23" s="14"/>
      <c r="O23" s="3"/>
      <c r="P23" s="3"/>
      <c r="Q23" s="9"/>
      <c r="R23" s="3"/>
      <c r="S23" s="3"/>
      <c r="T23" s="4"/>
    </row>
    <row r="24" spans="2:22" x14ac:dyDescent="0.25">
      <c r="B24" s="4" t="s">
        <v>43</v>
      </c>
      <c r="C24" s="9" t="s">
        <v>44</v>
      </c>
      <c r="D24" s="4">
        <v>11</v>
      </c>
      <c r="E24" s="21" t="s">
        <v>58</v>
      </c>
      <c r="F24" s="9" t="s">
        <v>46</v>
      </c>
      <c r="G24" s="4">
        <v>225</v>
      </c>
      <c r="H24" s="9"/>
      <c r="I24" s="2">
        <f xml:space="preserve"> 8.36041052376913 / 86400</f>
        <v>9.6764010691772334E-5</v>
      </c>
      <c r="J24" s="2">
        <f xml:space="preserve"> 75.8356188457983 / 86400</f>
        <v>8.777270699745173E-4</v>
      </c>
      <c r="K24" s="23">
        <f xml:space="preserve"> 48.0126278146301 / 86400</f>
        <v>5.5570171081747804E-4</v>
      </c>
      <c r="L24" s="2">
        <f xml:space="preserve"> 19.1403890171618 / 86400</f>
        <v>2.2153228029122456E-4</v>
      </c>
      <c r="M24" s="14"/>
      <c r="N24" s="14"/>
      <c r="O24" s="3"/>
      <c r="P24" s="3"/>
      <c r="Q24" s="9"/>
      <c r="R24" s="3"/>
      <c r="S24" s="3"/>
      <c r="T24" s="4"/>
    </row>
    <row r="25" spans="2:22" x14ac:dyDescent="0.25">
      <c r="B25" s="4" t="s">
        <v>43</v>
      </c>
      <c r="C25" s="9" t="s">
        <v>44</v>
      </c>
      <c r="D25" s="4">
        <v>12</v>
      </c>
      <c r="E25" s="21" t="s">
        <v>59</v>
      </c>
      <c r="F25" s="9" t="s">
        <v>46</v>
      </c>
      <c r="G25" s="4">
        <v>225</v>
      </c>
      <c r="H25" s="9"/>
      <c r="I25" s="2">
        <f xml:space="preserve"> 135.139701581702 / 86400</f>
        <v>1.5641169164548844E-3</v>
      </c>
      <c r="J25" s="2">
        <f xml:space="preserve"> 1213.83874733601 / 86400</f>
        <v>1.4049059575648264E-2</v>
      </c>
      <c r="K25" s="23">
        <f xml:space="preserve"> 522.315478371959 / 86400</f>
        <v>6.0453180367124881E-3</v>
      </c>
      <c r="L25" s="2">
        <f xml:space="preserve"> 214.297514868915 / 86400</f>
        <v>2.4802953109828124E-3</v>
      </c>
      <c r="M25" s="14"/>
      <c r="N25" s="14"/>
      <c r="O25" s="3"/>
      <c r="P25" s="3"/>
      <c r="Q25" s="9"/>
      <c r="R25" s="3"/>
      <c r="S25" s="3"/>
      <c r="T25" s="4"/>
    </row>
    <row r="26" spans="2:22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45</v>
      </c>
      <c r="H26" s="9"/>
      <c r="I26" s="2">
        <f xml:space="preserve"> 363.759333542002 / 86400</f>
        <v>4.2101774715509492E-3</v>
      </c>
      <c r="J26" s="2">
        <f xml:space="preserve"> 881.581675501802 / 86400</f>
        <v>1.0203491614604191E-2</v>
      </c>
      <c r="K26" s="24">
        <f xml:space="preserve"> 583.738395769196 / 86400</f>
        <v>6.756231432513843E-3</v>
      </c>
      <c r="L26" s="2">
        <f xml:space="preserve"> 117.865626922641 / 86400</f>
        <v>1.3641854967898265E-3</v>
      </c>
      <c r="M26" s="14"/>
      <c r="N26" s="14"/>
      <c r="O26" s="3"/>
      <c r="P26" s="3"/>
      <c r="Q26" s="9"/>
      <c r="R26" s="3"/>
      <c r="S26" s="3"/>
      <c r="T26" s="4"/>
    </row>
    <row r="27" spans="2:22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45</v>
      </c>
      <c r="H27" s="9"/>
      <c r="I27" s="2">
        <f xml:space="preserve"> 280.972356570899 / 86400</f>
        <v>3.2519948677187387E-3</v>
      </c>
      <c r="J27" s="2">
        <f xml:space="preserve"> 564.765750113802 / 86400</f>
        <v>6.5366406263171533E-3</v>
      </c>
      <c r="K27" s="24">
        <f xml:space="preserve"> 412.771945023708 / 86400</f>
        <v>4.7774530674040278E-3</v>
      </c>
      <c r="L27" s="2">
        <f xml:space="preserve"> 78.0475964213545 / 86400</f>
        <v>9.0332866228419559E-4</v>
      </c>
      <c r="M27" s="14"/>
      <c r="N27" s="14"/>
      <c r="O27" s="3"/>
      <c r="P27" s="3"/>
      <c r="Q27" s="9"/>
      <c r="R27" s="3"/>
      <c r="S27" s="3"/>
      <c r="T27" s="4"/>
    </row>
    <row r="28" spans="2:22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45</v>
      </c>
      <c r="H28" s="9"/>
      <c r="I28" s="2">
        <f xml:space="preserve"> 3090.6429118126 / 86400</f>
        <v>3.5771329997831017E-2</v>
      </c>
      <c r="J28" s="2">
        <f xml:space="preserve"> 4978.1464336198 / 86400</f>
        <v>5.7617435574303238E-2</v>
      </c>
      <c r="K28" s="24">
        <f xml:space="preserve"> 4034.25388754624 / 86400</f>
        <v>4.6692753328081482E-2</v>
      </c>
      <c r="L28" s="2">
        <f xml:space="preserve"> 416.031754472751 / 86400</f>
        <v>4.8151823434346179E-3</v>
      </c>
      <c r="M28" s="14"/>
      <c r="N28" s="14"/>
      <c r="O28" s="3"/>
      <c r="P28" s="3"/>
      <c r="Q28" s="9"/>
      <c r="R28" s="3"/>
      <c r="S28" s="3"/>
      <c r="T28" s="4"/>
    </row>
    <row r="29" spans="2:22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45</v>
      </c>
      <c r="H29" s="9"/>
      <c r="I29" s="2">
        <f xml:space="preserve"> 356.754888149298 / 86400</f>
        <v>4.1291075017279863E-3</v>
      </c>
      <c r="J29" s="2">
        <f xml:space="preserve"> 575.631764546801 / 86400</f>
        <v>6.6624046822546419E-3</v>
      </c>
      <c r="K29" s="24">
        <f xml:space="preserve"> 470.606188287211 / 86400</f>
        <v>5.4468308829538313E-3</v>
      </c>
      <c r="L29" s="2">
        <f xml:space="preserve"> 43.6779454656348 / 86400</f>
        <v>5.0553177622262495E-4</v>
      </c>
      <c r="M29" s="14"/>
      <c r="N29" s="14"/>
      <c r="O29" s="3"/>
      <c r="P29" s="3"/>
      <c r="Q29" s="9"/>
      <c r="R29" s="3"/>
      <c r="S29" s="3"/>
      <c r="T29" s="4"/>
    </row>
    <row r="30" spans="2:22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45</v>
      </c>
      <c r="H30" s="9"/>
      <c r="I30" s="2">
        <f xml:space="preserve"> 91.0314541640037 / 86400</f>
        <v>1.0536047935648578E-3</v>
      </c>
      <c r="J30" s="2">
        <f xml:space="preserve"> 275.881413396404 / 86400</f>
        <v>3.1930719143102317E-3</v>
      </c>
      <c r="K30" s="24">
        <f xml:space="preserve"> 180.162087319704 / 86400</f>
        <v>2.0852093439780554E-3</v>
      </c>
      <c r="L30" s="2">
        <f xml:space="preserve"> 44.4431501036417 / 86400</f>
        <v>5.1438831138474184E-4</v>
      </c>
      <c r="M30" s="14"/>
      <c r="N30" s="14"/>
      <c r="O30" s="3"/>
      <c r="P30" s="3"/>
      <c r="Q30" s="9"/>
      <c r="R30" s="3"/>
      <c r="S30" s="3"/>
      <c r="T30" s="4"/>
    </row>
    <row r="31" spans="2:2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45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14"/>
      <c r="N31" s="14"/>
      <c r="O31" s="3"/>
      <c r="P31" s="3"/>
      <c r="Q31" s="9"/>
      <c r="R31" s="3"/>
      <c r="S31" s="3"/>
      <c r="T31" s="4"/>
    </row>
    <row r="32" spans="2:2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14"/>
      <c r="N32" s="14"/>
      <c r="O32" s="3"/>
      <c r="P32" s="3"/>
      <c r="Q32" s="9"/>
      <c r="R32" s="3"/>
      <c r="S32" s="46"/>
      <c r="T32" s="47"/>
      <c r="U32" s="47"/>
      <c r="V32" s="47"/>
    </row>
    <row r="35" spans="4:10" x14ac:dyDescent="0.25">
      <c r="E35" s="12" t="s">
        <v>76</v>
      </c>
      <c r="F35" s="12" t="s">
        <v>72</v>
      </c>
      <c r="G35" s="28" t="s">
        <v>79</v>
      </c>
      <c r="H35" s="28" t="s">
        <v>80</v>
      </c>
      <c r="I35" s="42" t="s">
        <v>81</v>
      </c>
    </row>
    <row r="36" spans="4:10" x14ac:dyDescent="0.25">
      <c r="D36" s="30"/>
      <c r="E36" s="9" t="s">
        <v>48</v>
      </c>
      <c r="F36" s="17">
        <f>(K14*86400)/60</f>
        <v>3.2030291696915838</v>
      </c>
      <c r="G36" s="40">
        <v>45</v>
      </c>
      <c r="H36" s="40">
        <f>G36/45</f>
        <v>1</v>
      </c>
      <c r="I36" s="34">
        <f>F36*H36</f>
        <v>3.2030291696915838</v>
      </c>
    </row>
    <row r="37" spans="4:10" x14ac:dyDescent="0.25">
      <c r="D37" s="30"/>
      <c r="E37" s="9" t="s">
        <v>49</v>
      </c>
      <c r="F37" s="17">
        <f>(K15*86400)/60</f>
        <v>0.25549148586230669</v>
      </c>
      <c r="G37" s="40">
        <v>45</v>
      </c>
      <c r="H37" s="40">
        <f>G37/45</f>
        <v>1</v>
      </c>
      <c r="I37" s="34">
        <f>F37*H37</f>
        <v>0.25549148586230669</v>
      </c>
    </row>
    <row r="38" spans="4:10" x14ac:dyDescent="0.25">
      <c r="D38" s="30"/>
      <c r="E38" s="15" t="s">
        <v>50</v>
      </c>
      <c r="F38" s="18">
        <f>(K16*86400)/60</f>
        <v>0.47118572684621829</v>
      </c>
      <c r="G38" s="40">
        <v>45</v>
      </c>
      <c r="H38" s="40">
        <f>G38/45</f>
        <v>1</v>
      </c>
      <c r="I38" s="44">
        <f>F38*H38</f>
        <v>0.47118572684621829</v>
      </c>
      <c r="J38" s="27" t="s">
        <v>83</v>
      </c>
    </row>
    <row r="39" spans="4:10" x14ac:dyDescent="0.25">
      <c r="E39" s="16" t="s">
        <v>71</v>
      </c>
      <c r="F39" s="19">
        <f>SUM(F36:F38)</f>
        <v>3.9297063824001084</v>
      </c>
      <c r="G39" s="40"/>
      <c r="H39" s="40"/>
      <c r="I39" s="35">
        <f>SUM(I36:I38)</f>
        <v>3.9297063824001084</v>
      </c>
    </row>
    <row r="40" spans="4:10" x14ac:dyDescent="0.25">
      <c r="G40" s="40"/>
      <c r="H40" s="40"/>
      <c r="I40" s="34"/>
    </row>
    <row r="41" spans="4:10" x14ac:dyDescent="0.25">
      <c r="G41" s="40"/>
      <c r="H41" s="40"/>
      <c r="I41" s="34"/>
    </row>
    <row r="42" spans="4:10" x14ac:dyDescent="0.25">
      <c r="E42" s="12" t="s">
        <v>75</v>
      </c>
      <c r="F42" s="12" t="s">
        <v>72</v>
      </c>
      <c r="G42" s="40"/>
      <c r="H42" s="40"/>
      <c r="I42" s="34"/>
    </row>
    <row r="43" spans="4:10" x14ac:dyDescent="0.25">
      <c r="D43" s="32"/>
      <c r="E43" t="s">
        <v>51</v>
      </c>
      <c r="F43" s="17">
        <f>(K17*86400)/60</f>
        <v>3.0570352539400334</v>
      </c>
      <c r="G43" s="40">
        <v>45</v>
      </c>
      <c r="H43" s="40">
        <f t="shared" ref="H43:H51" si="0">G43/45</f>
        <v>1</v>
      </c>
      <c r="I43" s="34">
        <f t="shared" ref="I43:I60" si="1">F43*H43</f>
        <v>3.0570352539400334</v>
      </c>
    </row>
    <row r="44" spans="4:10" x14ac:dyDescent="0.25">
      <c r="D44" s="32"/>
      <c r="E44" t="s">
        <v>52</v>
      </c>
      <c r="F44" s="17">
        <f>(K18*86400)/60</f>
        <v>1.2096517288991351</v>
      </c>
      <c r="G44" s="40">
        <v>225</v>
      </c>
      <c r="H44" s="40">
        <f t="shared" si="0"/>
        <v>5</v>
      </c>
      <c r="I44" s="34">
        <f t="shared" si="1"/>
        <v>6.0482586444956752</v>
      </c>
    </row>
    <row r="45" spans="4:10" x14ac:dyDescent="0.25">
      <c r="D45" s="32"/>
      <c r="E45" t="s">
        <v>53</v>
      </c>
      <c r="F45" s="17">
        <f>(K19*86400)/60</f>
        <v>0.83304163080136839</v>
      </c>
      <c r="G45" s="40">
        <v>225</v>
      </c>
      <c r="H45" s="40">
        <f t="shared" si="0"/>
        <v>5</v>
      </c>
      <c r="I45" s="34">
        <f t="shared" si="1"/>
        <v>4.1652081540068417</v>
      </c>
    </row>
    <row r="46" spans="4:10" x14ac:dyDescent="0.25">
      <c r="D46" s="32"/>
      <c r="E46" t="s">
        <v>54</v>
      </c>
      <c r="F46" s="17">
        <f>(K20*86400)/60</f>
        <v>1.1646492514111033</v>
      </c>
      <c r="G46" s="40">
        <v>225</v>
      </c>
      <c r="H46" s="40">
        <f t="shared" si="0"/>
        <v>5</v>
      </c>
      <c r="I46" s="34">
        <f t="shared" si="1"/>
        <v>5.8232462570555166</v>
      </c>
    </row>
    <row r="47" spans="4:10" x14ac:dyDescent="0.25">
      <c r="D47" s="32"/>
      <c r="E47" t="s">
        <v>55</v>
      </c>
      <c r="F47" s="17">
        <f t="shared" ref="F47:F49" si="2">(K21*86400)/60</f>
        <v>72.017859637663662</v>
      </c>
      <c r="G47" s="40">
        <v>225</v>
      </c>
      <c r="H47" s="40">
        <f t="shared" si="0"/>
        <v>5</v>
      </c>
      <c r="I47" s="34">
        <f t="shared" si="1"/>
        <v>360.08929818831831</v>
      </c>
    </row>
    <row r="48" spans="4:10" x14ac:dyDescent="0.25">
      <c r="D48" s="32"/>
      <c r="E48" t="s">
        <v>56</v>
      </c>
      <c r="F48" s="17">
        <f>(K22*86400)/60</f>
        <v>21.992805765589001</v>
      </c>
      <c r="G48" s="40">
        <v>32</v>
      </c>
      <c r="H48" s="40">
        <f t="shared" si="0"/>
        <v>0.71111111111111114</v>
      </c>
      <c r="I48" s="34">
        <f>F48*H48</f>
        <v>15.639328544418845</v>
      </c>
    </row>
    <row r="49" spans="4:9" x14ac:dyDescent="0.25">
      <c r="D49" s="32"/>
      <c r="E49" t="s">
        <v>57</v>
      </c>
      <c r="F49" s="17">
        <f t="shared" si="2"/>
        <v>16.485581424182449</v>
      </c>
      <c r="G49" s="40">
        <v>225</v>
      </c>
      <c r="H49" s="40">
        <f t="shared" si="0"/>
        <v>5</v>
      </c>
      <c r="I49" s="34">
        <f t="shared" si="1"/>
        <v>82.427907120912238</v>
      </c>
    </row>
    <row r="50" spans="4:9" x14ac:dyDescent="0.25">
      <c r="D50" s="32"/>
      <c r="E50" t="s">
        <v>58</v>
      </c>
      <c r="F50" s="17">
        <f>(K24*86400)/60</f>
        <v>0.8002104635771683</v>
      </c>
      <c r="G50" s="40">
        <v>225</v>
      </c>
      <c r="H50" s="40">
        <f t="shared" si="0"/>
        <v>5</v>
      </c>
      <c r="I50" s="34">
        <f>F50*H50</f>
        <v>4.0010523178858417</v>
      </c>
    </row>
    <row r="51" spans="4:9" x14ac:dyDescent="0.25">
      <c r="D51" s="32"/>
      <c r="E51" s="26" t="s">
        <v>59</v>
      </c>
      <c r="F51" s="18">
        <f>(K25*86400)/60</f>
        <v>8.7052579728659829</v>
      </c>
      <c r="G51" s="40">
        <v>225</v>
      </c>
      <c r="H51" s="40">
        <f t="shared" si="0"/>
        <v>5</v>
      </c>
      <c r="I51" s="41">
        <f t="shared" si="1"/>
        <v>43.526289864329911</v>
      </c>
    </row>
    <row r="52" spans="4:9" x14ac:dyDescent="0.25">
      <c r="E52" s="27" t="s">
        <v>73</v>
      </c>
      <c r="F52" s="19">
        <f>SUM(F43:F51)</f>
        <v>126.2660931289299</v>
      </c>
      <c r="G52" s="40"/>
      <c r="H52" s="40"/>
      <c r="I52" s="35">
        <f>SUM(I43:I51)</f>
        <v>524.77762434536317</v>
      </c>
    </row>
    <row r="53" spans="4:9" x14ac:dyDescent="0.25">
      <c r="F53" s="28"/>
      <c r="G53" s="40"/>
      <c r="H53" s="40"/>
      <c r="I53" s="34"/>
    </row>
    <row r="54" spans="4:9" x14ac:dyDescent="0.25">
      <c r="F54" s="28"/>
      <c r="G54" s="40"/>
      <c r="H54" s="40"/>
      <c r="I54" s="34"/>
    </row>
    <row r="55" spans="4:9" x14ac:dyDescent="0.25">
      <c r="E55" s="12" t="s">
        <v>74</v>
      </c>
      <c r="F55" s="29" t="s">
        <v>72</v>
      </c>
      <c r="G55" s="40"/>
      <c r="H55" s="40"/>
      <c r="I55" s="34"/>
    </row>
    <row r="56" spans="4:9" x14ac:dyDescent="0.25">
      <c r="D56" s="31"/>
      <c r="E56" t="s">
        <v>60</v>
      </c>
      <c r="F56" s="17">
        <f>(K26*86400)/60</f>
        <v>9.7289732628199328</v>
      </c>
      <c r="G56" s="40">
        <v>45</v>
      </c>
      <c r="H56" s="40">
        <f>G56/45</f>
        <v>1</v>
      </c>
      <c r="I56" s="34">
        <f t="shared" si="1"/>
        <v>9.7289732628199328</v>
      </c>
    </row>
    <row r="57" spans="4:9" x14ac:dyDescent="0.25">
      <c r="D57" s="31"/>
      <c r="E57" t="s">
        <v>61</v>
      </c>
      <c r="F57" s="17">
        <f>(K27*86400)/60</f>
        <v>6.8795324170617995</v>
      </c>
      <c r="G57" s="40">
        <v>45</v>
      </c>
      <c r="H57" s="40">
        <f>G57/45</f>
        <v>1</v>
      </c>
      <c r="I57" s="34">
        <f t="shared" si="1"/>
        <v>6.8795324170617995</v>
      </c>
    </row>
    <row r="58" spans="4:9" x14ac:dyDescent="0.25">
      <c r="D58" s="31"/>
      <c r="E58" t="s">
        <v>62</v>
      </c>
      <c r="F58" s="17">
        <f>(K28*86400)/60</f>
        <v>67.23756479243734</v>
      </c>
      <c r="G58" s="40">
        <v>45</v>
      </c>
      <c r="H58" s="40">
        <f>G58/45</f>
        <v>1</v>
      </c>
      <c r="I58" s="34">
        <f t="shared" si="1"/>
        <v>67.23756479243734</v>
      </c>
    </row>
    <row r="59" spans="4:9" x14ac:dyDescent="0.25">
      <c r="D59" s="31"/>
      <c r="E59" t="s">
        <v>63</v>
      </c>
      <c r="F59" s="17">
        <f>(K29*86400)/60</f>
        <v>7.8434364714535167</v>
      </c>
      <c r="G59" s="40">
        <v>45</v>
      </c>
      <c r="H59" s="40">
        <f>G59/45</f>
        <v>1</v>
      </c>
      <c r="I59" s="34">
        <f t="shared" si="1"/>
        <v>7.8434364714535167</v>
      </c>
    </row>
    <row r="60" spans="4:9" x14ac:dyDescent="0.25">
      <c r="D60" s="31"/>
      <c r="E60" s="26" t="s">
        <v>64</v>
      </c>
      <c r="F60" s="18">
        <f>(K30*86400)/60</f>
        <v>3.0027014553283999</v>
      </c>
      <c r="G60" s="40">
        <v>45</v>
      </c>
      <c r="H60" s="40">
        <f>G60/45</f>
        <v>1</v>
      </c>
      <c r="I60" s="41">
        <f t="shared" si="1"/>
        <v>3.0027014553283999</v>
      </c>
    </row>
    <row r="61" spans="4:9" x14ac:dyDescent="0.25">
      <c r="E61" s="27" t="s">
        <v>73</v>
      </c>
      <c r="F61" s="19">
        <f>SUM(F56:F60)</f>
        <v>94.692208399100991</v>
      </c>
      <c r="G61" s="28"/>
      <c r="H61" s="28"/>
      <c r="I61" s="35">
        <f>SUM(I56:I60)</f>
        <v>94.692208399100991</v>
      </c>
    </row>
    <row r="62" spans="4:9" x14ac:dyDescent="0.25">
      <c r="F62" s="28"/>
      <c r="G62" s="28"/>
      <c r="H62" s="28"/>
      <c r="I62" s="28"/>
    </row>
    <row r="63" spans="4:9" x14ac:dyDescent="0.25">
      <c r="F63" s="28"/>
      <c r="G63" s="28"/>
      <c r="H63" s="28"/>
      <c r="I63" s="28"/>
    </row>
    <row r="64" spans="4:9" x14ac:dyDescent="0.25">
      <c r="D64" s="33"/>
      <c r="E64" s="27" t="s">
        <v>77</v>
      </c>
      <c r="F64" s="19">
        <f>I52+SUM(I56:I59)</f>
        <v>616.46713128913575</v>
      </c>
      <c r="G64" s="28"/>
      <c r="H64" s="43" t="s">
        <v>82</v>
      </c>
      <c r="I64" s="38">
        <f>I39+I52+I61</f>
        <v>623.39953912686428</v>
      </c>
    </row>
    <row r="65" spans="5:9" x14ac:dyDescent="0.25">
      <c r="F65" s="28"/>
      <c r="G65" s="28"/>
      <c r="H65" s="28"/>
      <c r="I65" s="28"/>
    </row>
    <row r="66" spans="5:9" x14ac:dyDescent="0.25">
      <c r="E66" s="27"/>
      <c r="F66" s="35"/>
      <c r="G66" s="28"/>
      <c r="H66" s="28"/>
      <c r="I66" s="28"/>
    </row>
    <row r="67" spans="5:9" x14ac:dyDescent="0.25">
      <c r="F67" s="28"/>
      <c r="G67" s="28"/>
      <c r="H67" s="28"/>
      <c r="I67" s="28"/>
    </row>
    <row r="68" spans="5:9" x14ac:dyDescent="0.25">
      <c r="F68" s="28"/>
    </row>
    <row r="69" spans="5:9" x14ac:dyDescent="0.25">
      <c r="F69" s="28"/>
    </row>
    <row r="70" spans="5:9" x14ac:dyDescent="0.25">
      <c r="F70" s="28"/>
    </row>
    <row r="71" spans="5:9" x14ac:dyDescent="0.25">
      <c r="F71" s="28"/>
    </row>
    <row r="72" spans="5:9" x14ac:dyDescent="0.25">
      <c r="F72" s="28"/>
    </row>
    <row r="73" spans="5:9" x14ac:dyDescent="0.25">
      <c r="F73" s="28"/>
    </row>
    <row r="74" spans="5:9" x14ac:dyDescent="0.25">
      <c r="F74" s="28"/>
    </row>
    <row r="75" spans="5:9" x14ac:dyDescent="0.25">
      <c r="F75" s="28"/>
    </row>
  </sheetData>
  <mergeCells count="8">
    <mergeCell ref="S32:V32"/>
    <mergeCell ref="P11:P12"/>
    <mergeCell ref="R11:T11"/>
    <mergeCell ref="A1:A4"/>
    <mergeCell ref="B11:C11"/>
    <mergeCell ref="D11:E11"/>
    <mergeCell ref="F11:F12"/>
    <mergeCell ref="I11:L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2025-05-09T23:44:52Z</dcterms:created>
  <dcterms:modified xsi:type="dcterms:W3CDTF">2025-06-07T20:00:30Z</dcterms:modified>
</cp:coreProperties>
</file>