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D857D6A2-50A3-4020-8E99-82141CB45360}" xr6:coauthVersionLast="47" xr6:coauthVersionMax="47" xr10:uidLastSave="{00000000-0000-0000-0000-000000000000}"/>
  <bookViews>
    <workbookView xWindow="-120" yWindow="-120" windowWidth="51840" windowHeight="21120" activeTab="2" xr2:uid="{FB9EF46B-C44E-411F-A58F-05AC0B3E823B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3" l="1"/>
  <c r="F64" i="3"/>
  <c r="I36" i="3"/>
  <c r="I61" i="3"/>
  <c r="I52" i="3"/>
  <c r="I39" i="3"/>
  <c r="I64" i="3" s="1"/>
  <c r="I43" i="3"/>
  <c r="I44" i="3"/>
  <c r="I45" i="3"/>
  <c r="I46" i="3"/>
  <c r="I47" i="3"/>
  <c r="I48" i="3"/>
  <c r="I49" i="3"/>
  <c r="I50" i="3"/>
  <c r="I51" i="3"/>
  <c r="I56" i="3"/>
  <c r="I57" i="3"/>
  <c r="I58" i="3"/>
  <c r="I59" i="3"/>
  <c r="I60" i="3"/>
  <c r="I38" i="3"/>
  <c r="I37" i="3"/>
  <c r="H56" i="3"/>
  <c r="H57" i="3"/>
  <c r="H58" i="3"/>
  <c r="H59" i="3"/>
  <c r="H60" i="3"/>
  <c r="H43" i="3"/>
  <c r="H44" i="3"/>
  <c r="H45" i="3"/>
  <c r="H46" i="3"/>
  <c r="H47" i="3"/>
  <c r="H48" i="3"/>
  <c r="H49" i="3"/>
  <c r="H50" i="3"/>
  <c r="H51" i="3"/>
  <c r="H37" i="3"/>
  <c r="H38" i="3"/>
  <c r="H36" i="3"/>
  <c r="F36" i="3"/>
  <c r="D16" i="1"/>
  <c r="F57" i="3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J14" i="3"/>
  <c r="I14" i="3"/>
  <c r="L13" i="3"/>
  <c r="K13" i="3"/>
  <c r="J13" i="3"/>
  <c r="I13" i="3"/>
  <c r="F39" i="3" l="1"/>
  <c r="F61" i="3"/>
  <c r="F52" i="3"/>
  <c r="F49" i="2" l="1"/>
  <c r="F48" i="2"/>
  <c r="F47" i="2"/>
  <c r="F45" i="2"/>
  <c r="F44" i="2"/>
  <c r="F43" i="2"/>
  <c r="F64" i="2"/>
  <c r="F60" i="2"/>
  <c r="F59" i="2"/>
  <c r="F58" i="2"/>
  <c r="F57" i="2"/>
  <c r="F56" i="2"/>
  <c r="F61" i="2"/>
  <c r="F52" i="2"/>
  <c r="F51" i="2"/>
  <c r="F38" i="2"/>
  <c r="F37" i="2"/>
  <c r="F36" i="2"/>
  <c r="F39" i="2" s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F46" i="2" s="1"/>
  <c r="K21" i="2"/>
  <c r="K22" i="2"/>
  <c r="K23" i="2"/>
  <c r="K24" i="2"/>
  <c r="F50" i="2" s="1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<sst xmlns="http://schemas.openxmlformats.org/spreadsheetml/2006/main" count="334" uniqueCount="87">
  <si>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</si>
  <si>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</si>
  <si>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</si>
  <si>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</si>
  <si>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</si>
  <si>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</si>
  <si>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</si>
  <si>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</si>
  <si>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</si>
  <si>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</si>
  <si>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</si>
  <si>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</si>
  <si>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</si>
  <si>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</si>
  <si>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</si>
  <si>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</si>
  <si>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</si>
  <si>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</si>
  <si>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</si>
  <si>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</si>
  <si>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Date: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</si>
  <si>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</si>
  <si>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</si>
  <si>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</si>
  <si>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</si>
  <si>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</si>
  <si>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</si>
  <si>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</si>
  <si>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</si>
  <si>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</si>
  <si>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</si>
  <si>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</si>
  <si>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</si>
  <si>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</si>
  <si>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</si>
  <si>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</si>
  <si>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</si>
  <si>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</si>
  <si>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</si>
  <si>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</si>
  <si>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</si>
  <si>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</si>
  <si>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</si>
  <si>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</si>
  <si>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</si>
  <si>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</si>
  <si>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</si>
  <si>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</si>
  <si>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</si>
  <si>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</si>
  <si>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</si>
  <si>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</si>
  <si>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</si>
  <si>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</si>
  <si>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</si>
  <si>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</si>
  <si>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</si>
  <si>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</si>
  <si>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</si>
  <si>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</si>
  <si>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</si>
  <si>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</si>
  <si>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</si>
  <si>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</si>
  <si>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</si>
  <si>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</si>
  <si>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</si>
  <si>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</si>
  <si>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</si>
  <si>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</si>
  <si>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</si>
  <si>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10</t>
  </si>
  <si>
    <t>Task Name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</si>
  <si>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</si>
  <si>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</si>
  <si>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</si>
  <si>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</si>
  <si>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</si>
  <si>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# of Simulations</t>
  </si>
  <si>
    <t># of Repetitions</t>
  </si>
  <si>
    <t>Total Sim. Time</t>
  </si>
  <si>
    <t>(minutes)</t>
  </si>
  <si>
    <t>Sum of Mean (Minutes)</t>
  </si>
  <si>
    <t>Group 2 - Task Name</t>
  </si>
  <si>
    <t>Group 1 - Task Name</t>
  </si>
  <si>
    <t>Group 2 and Group 3 Tasks Combined (Hyp. 2)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</si>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</sst>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C3F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0" fontId="1" fillId="0" borderId="0" xfId="0" applyFont="1"/>
    <xf numFmtId="2" fontId="1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2" fontId="1" fillId="0" borderId="0" xfId="0" applyNumberFormat="1" applyFont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/>
    <xf numFmtId="167" fontId="1" fillId="0" borderId="0" xfId="0" applyNumberFormat="1" applyFont="1"/>
    <xf numFmtId="167" fontId="0" fillId="0" borderId="0" xfId="0" applyNumberFormat="1"/>
    <xf numFmtId="167" fontId="0" fillId="0" borderId="1" xfId="0" applyNumberFormat="1" applyBorder="1"/>
    <xf numFmtId="49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0" fontId="1" fillId="6" borderId="0" xfId="0" applyFont="1" applyFill="1"/>
    <xf numFmtId="167" fontId="1" fillId="6" borderId="0" xfId="0" applyNumberFormat="1" applyFont="1" applyFill="1"/>
    <xf numFmtId="167" fontId="0" fillId="6" borderId="1" xfId="0" applyNumberFormat="1" applyFill="1" applyBorder="1"/>
    <xf numFmtId="0" fontId="0" fillId="7" borderId="0" xfId="0" applyFill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4C28B-C68C-F149-D052-0F30E71066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D3A22A-2474-C2A3-8FFE-507CDB1DB2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13D17-E285-40AD-AB9C-0465FF3DBA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155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FB8C-FFF3-4F55-9A6B-5B1B8E62DCAD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5.42578125" style="15" customWidth="1"/>
  </cols>
  <sheetData>
    <row r="1" spans="1:5" x14ac:dyDescent="0.25">
      <c r="A1" s="45"/>
    </row>
    <row r="2" spans="1:5" ht="18.75" x14ac:dyDescent="0.3">
      <c r="A2" s="45"/>
      <c r="B2" s="6" t="s">
        <v>16</v>
      </c>
    </row>
    <row r="3" spans="1:5" ht="17.25" x14ac:dyDescent="0.3">
      <c r="A3" s="45"/>
      <c r="B3" s="7" t="s">
        <v>17</v>
      </c>
    </row>
    <row r="4" spans="1:5" x14ac:dyDescent="0.25">
      <c r="A4" s="45"/>
      <c r="B4" s="9"/>
    </row>
    <row r="5" spans="1:5" x14ac:dyDescent="0.25">
      <c r="A5" s="5" t="s">
        <v>18</v>
      </c>
      <c r="B5" s="8" t="s">
        <v>70</v>
      </c>
    </row>
    <row r="6" spans="1:5" x14ac:dyDescent="0.25">
      <c r="A6" s="5" t="s">
        <v>19</v>
      </c>
      <c r="B6" s="8" t="s">
        <v>71</v>
      </c>
    </row>
    <row r="7" spans="1:5" x14ac:dyDescent="0.25">
      <c r="A7" s="5" t="s">
        <v>20</v>
      </c>
      <c r="B7" s="10"/>
    </row>
    <row r="8" spans="1:5" x14ac:dyDescent="0.25">
      <c r="A8" s="5"/>
      <c r="B8" s="9"/>
    </row>
    <row r="9" spans="1:5" x14ac:dyDescent="0.25">
      <c r="A9" s="5" t="s">
        <v>21</v>
      </c>
      <c r="B9" s="11">
        <v>33030</v>
      </c>
    </row>
    <row r="10" spans="1:5" x14ac:dyDescent="0.25">
      <c r="A10" s="5" t="s">
        <v>22</v>
      </c>
      <c r="B10" s="8">
        <v>5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908234.899265829 / 86400</f>
        <v>10.511978000761911</v>
      </c>
    </row>
    <row r="15" spans="1:5" x14ac:dyDescent="0.25">
      <c r="B15" s="1" t="s">
        <v>2</v>
      </c>
      <c r="C15" s="2">
        <f xml:space="preserve"> 949088.206778997 / 86400</f>
        <v>10.984817208090243</v>
      </c>
    </row>
    <row r="16" spans="1:5" x14ac:dyDescent="0.25">
      <c r="B16" s="39" t="s">
        <v>3</v>
      </c>
      <c r="C16" s="40">
        <f xml:space="preserve"> 923147.795763046 / 86400</f>
        <v>10.684580969479699</v>
      </c>
      <c r="D16" s="42">
        <f>(C16*86400)/60</f>
        <v>15385.796596050766</v>
      </c>
      <c r="E16" s="41" t="s">
        <v>81</v>
      </c>
    </row>
    <row r="17" spans="2:3" x14ac:dyDescent="0.25">
      <c r="B17" s="1" t="s">
        <v>4</v>
      </c>
      <c r="C17" s="2">
        <f xml:space="preserve"> 16302.5589684728 / 86400</f>
        <v>0.18868702509806481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2543-22B7-4114-9082-314559E652C8}">
  <dimension ref="A1:X69"/>
  <sheetViews>
    <sheetView topLeftCell="A13" workbookViewId="0">
      <selection activeCell="A17" sqref="A17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5"/>
    </row>
    <row r="2" spans="1:24" ht="18.75" x14ac:dyDescent="0.3">
      <c r="A2" s="45"/>
      <c r="B2" s="6" t="s">
        <v>16</v>
      </c>
    </row>
    <row r="3" spans="1:24" ht="17.25" x14ac:dyDescent="0.3">
      <c r="A3" s="45"/>
      <c r="B3" s="7" t="s">
        <v>67</v>
      </c>
    </row>
    <row r="4" spans="1:24" x14ac:dyDescent="0.25">
      <c r="A4" s="45"/>
      <c r="B4" s="9"/>
    </row>
    <row r="5" spans="1:24" x14ac:dyDescent="0.25">
      <c r="A5" s="5" t="s">
        <v>18</v>
      </c>
      <c r="B5" s="8" t="s">
        <v>70</v>
      </c>
    </row>
    <row r="6" spans="1:24" x14ac:dyDescent="0.25">
      <c r="A6" s="5" t="s">
        <v>19</v>
      </c>
      <c r="B6" s="8" t="s">
        <v>71</v>
      </c>
    </row>
    <row r="7" spans="1:24" x14ac:dyDescent="0.25">
      <c r="A7" s="5" t="s">
        <v>21</v>
      </c>
      <c r="B7" s="11">
        <v>33030</v>
      </c>
    </row>
    <row r="8" spans="1:24" x14ac:dyDescent="0.25">
      <c r="A8" s="5"/>
      <c r="B8" s="10"/>
    </row>
    <row r="9" spans="1:24" x14ac:dyDescent="0.25">
      <c r="A9" s="5" t="s">
        <v>68</v>
      </c>
      <c r="B9" s="9" t="s">
        <v>69</v>
      </c>
    </row>
    <row r="11" spans="1:24" s="12" customFormat="1" x14ac:dyDescent="0.25">
      <c r="B11" s="46" t="s">
        <v>23</v>
      </c>
      <c r="C11" s="47"/>
      <c r="D11" s="46" t="s">
        <v>24</v>
      </c>
      <c r="E11" s="47"/>
      <c r="F11" s="48" t="s">
        <v>25</v>
      </c>
      <c r="I11" s="46" t="s">
        <v>26</v>
      </c>
      <c r="J11" s="47"/>
      <c r="K11" s="47"/>
      <c r="L11" s="47"/>
      <c r="M11" s="47"/>
      <c r="N11" s="50" t="s">
        <v>27</v>
      </c>
      <c r="P11" s="46" t="s">
        <v>28</v>
      </c>
      <c r="Q11" s="47"/>
      <c r="R11" s="47"/>
      <c r="S11" s="47"/>
      <c r="T11" s="50" t="s">
        <v>29</v>
      </c>
      <c r="V11" s="46" t="s">
        <v>30</v>
      </c>
      <c r="W11" s="47"/>
      <c r="X11" s="47"/>
    </row>
    <row r="12" spans="1:24" s="12" customFormat="1" x14ac:dyDescent="0.25">
      <c r="B12" s="12" t="s">
        <v>31</v>
      </c>
      <c r="C12" s="12" t="s">
        <v>32</v>
      </c>
      <c r="D12" s="12" t="s">
        <v>31</v>
      </c>
      <c r="E12" s="12" t="s">
        <v>32</v>
      </c>
      <c r="F12" s="49"/>
      <c r="G12" s="12" t="s">
        <v>33</v>
      </c>
      <c r="I12" s="12" t="s">
        <v>34</v>
      </c>
      <c r="J12" s="12" t="s">
        <v>35</v>
      </c>
      <c r="K12" s="12" t="s">
        <v>36</v>
      </c>
      <c r="L12" s="12" t="s">
        <v>37</v>
      </c>
      <c r="M12" s="12" t="s">
        <v>38</v>
      </c>
      <c r="N12" s="51"/>
      <c r="P12" s="12" t="s">
        <v>39</v>
      </c>
      <c r="Q12" s="12" t="s">
        <v>40</v>
      </c>
      <c r="R12" s="12" t="s">
        <v>41</v>
      </c>
      <c r="S12" s="12" t="s">
        <v>38</v>
      </c>
      <c r="T12" s="51"/>
      <c r="V12" s="12" t="s">
        <v>42</v>
      </c>
      <c r="W12" s="12" t="s">
        <v>29</v>
      </c>
      <c r="X12" s="12" t="s">
        <v>43</v>
      </c>
    </row>
    <row r="13" spans="1:24" x14ac:dyDescent="0.25">
      <c r="B13" s="4" t="s">
        <v>44</v>
      </c>
      <c r="C13" s="9" t="s">
        <v>45</v>
      </c>
      <c r="D13" s="4">
        <v>0</v>
      </c>
      <c r="E13" s="9" t="s">
        <v>46</v>
      </c>
      <c r="F13" s="9" t="s">
        <v>47</v>
      </c>
      <c r="G13" s="4">
        <v>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48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44</v>
      </c>
      <c r="C14" s="9" t="s">
        <v>45</v>
      </c>
      <c r="D14" s="4">
        <v>1</v>
      </c>
      <c r="E14" s="22" t="s">
        <v>49</v>
      </c>
      <c r="F14" s="9" t="s">
        <v>47</v>
      </c>
      <c r="G14" s="4">
        <v>5</v>
      </c>
      <c r="H14" s="9"/>
      <c r="I14" s="2">
        <f xml:space="preserve"> 146.75289287686 / 86400</f>
        <v>1.6985288527414351E-3</v>
      </c>
      <c r="J14" s="2">
        <f xml:space="preserve"> 253.952483856097 / 86400</f>
        <v>2.9392648594455668E-3</v>
      </c>
      <c r="K14" s="23">
        <f xml:space="preserve"> 217.052688366479 / 86400</f>
        <v>2.5121838931305442E-3</v>
      </c>
      <c r="L14" s="2">
        <f xml:space="preserve"> 41.2758524920233 / 86400</f>
        <v>4.7772977421323262E-4</v>
      </c>
      <c r="M14" s="2">
        <f t="shared" ref="M14:M31" si="0" xml:space="preserve"> 0 / 86400</f>
        <v>0</v>
      </c>
      <c r="N14" s="3">
        <v>0</v>
      </c>
      <c r="O14" s="9"/>
      <c r="P14" s="13" t="s">
        <v>48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44</v>
      </c>
      <c r="C15" s="9" t="s">
        <v>45</v>
      </c>
      <c r="D15" s="4">
        <v>2</v>
      </c>
      <c r="E15" s="22" t="s">
        <v>50</v>
      </c>
      <c r="F15" s="9" t="s">
        <v>47</v>
      </c>
      <c r="G15" s="4">
        <v>5</v>
      </c>
      <c r="H15" s="9"/>
      <c r="I15" s="2">
        <f xml:space="preserve"> 6.83540237827003 / 86400</f>
        <v>7.9113453452199414E-5</v>
      </c>
      <c r="J15" s="2">
        <f xml:space="preserve"> 18.720508630723 / 86400</f>
        <v>2.1667255359633102E-4</v>
      </c>
      <c r="K15" s="23">
        <f xml:space="preserve"> 12.720508630723 / 86400</f>
        <v>1.4722810915188657E-4</v>
      </c>
      <c r="L15" s="2">
        <f xml:space="preserve"> 5.05456975103488 / 86400</f>
        <v>5.8501964711051855E-5</v>
      </c>
      <c r="M15" s="2">
        <f t="shared" si="0"/>
        <v>0</v>
      </c>
      <c r="N15" s="3">
        <v>0</v>
      </c>
      <c r="O15" s="9"/>
      <c r="P15" s="13" t="s">
        <v>48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44</v>
      </c>
      <c r="C16" s="9" t="s">
        <v>45</v>
      </c>
      <c r="D16" s="4">
        <v>3</v>
      </c>
      <c r="E16" s="22" t="s">
        <v>51</v>
      </c>
      <c r="F16" s="9" t="s">
        <v>47</v>
      </c>
      <c r="G16" s="4">
        <v>5</v>
      </c>
      <c r="H16" s="9"/>
      <c r="I16" s="2">
        <f xml:space="preserve"> 453.179544268105 / 86400</f>
        <v>5.2451336142141786E-3</v>
      </c>
      <c r="J16" s="2">
        <f xml:space="preserve"> 475.631292698673 / 86400</f>
        <v>5.5049918136420486E-3</v>
      </c>
      <c r="K16" s="23">
        <f xml:space="preserve"> 465.887721517448 / 86400</f>
        <v>5.392218999044537E-3</v>
      </c>
      <c r="L16" s="2">
        <f xml:space="preserve"> 8.46026304958656 / 86400</f>
        <v>9.7919711222066669E-5</v>
      </c>
      <c r="M16" s="2">
        <f t="shared" si="0"/>
        <v>0</v>
      </c>
      <c r="N16" s="3">
        <v>0</v>
      </c>
      <c r="O16" s="9"/>
      <c r="P16" s="13" t="s">
        <v>48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44</v>
      </c>
      <c r="C17" s="9" t="s">
        <v>45</v>
      </c>
      <c r="D17" s="4">
        <v>4</v>
      </c>
      <c r="E17" s="24" t="s">
        <v>52</v>
      </c>
      <c r="F17" s="9" t="s">
        <v>47</v>
      </c>
      <c r="G17" s="4">
        <v>5</v>
      </c>
      <c r="H17" s="9"/>
      <c r="I17" s="2">
        <f xml:space="preserve"> 166.569187455483 / 86400</f>
        <v>1.9278841140680902E-3</v>
      </c>
      <c r="J17" s="2">
        <f xml:space="preserve"> 302.455280244668 / 86400</f>
        <v>3.5006398176466204E-3</v>
      </c>
      <c r="K17" s="25">
        <f xml:space="preserve"> 213.491023507941 / 86400</f>
        <v>2.4709609202307986E-3</v>
      </c>
      <c r="L17" s="2">
        <f xml:space="preserve"> 56.931962517458 / 86400</f>
        <v>6.5893475135946761E-4</v>
      </c>
      <c r="M17" s="2">
        <f t="shared" si="0"/>
        <v>0</v>
      </c>
      <c r="N17" s="3">
        <v>0</v>
      </c>
      <c r="O17" s="9"/>
      <c r="P17" s="13" t="s">
        <v>48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44</v>
      </c>
      <c r="C18" s="9" t="s">
        <v>45</v>
      </c>
      <c r="D18" s="4">
        <v>5</v>
      </c>
      <c r="E18" s="24" t="s">
        <v>53</v>
      </c>
      <c r="F18" s="9" t="s">
        <v>47</v>
      </c>
      <c r="G18" s="4">
        <v>880</v>
      </c>
      <c r="H18" s="9"/>
      <c r="I18" s="2">
        <f xml:space="preserve"> 20.8871950430039 / 86400</f>
        <v>2.4174994262735994E-4</v>
      </c>
      <c r="J18" s="2">
        <f xml:space="preserve"> 134.341154947993 / 86400</f>
        <v>1.5548744785647338E-3</v>
      </c>
      <c r="K18" s="25">
        <f xml:space="preserve"> 70.9741757270278 / 86400</f>
        <v>8.2146036721096984E-4</v>
      </c>
      <c r="L18" s="2">
        <f xml:space="preserve"> 19.0089841992184 / 86400</f>
        <v>2.2001139119465742E-4</v>
      </c>
      <c r="M18" s="2">
        <f t="shared" si="0"/>
        <v>0</v>
      </c>
      <c r="N18" s="3">
        <v>0</v>
      </c>
      <c r="O18" s="9"/>
      <c r="P18" s="13" t="s">
        <v>48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44</v>
      </c>
      <c r="C19" s="9" t="s">
        <v>45</v>
      </c>
      <c r="D19" s="4">
        <v>6</v>
      </c>
      <c r="E19" s="24" t="s">
        <v>54</v>
      </c>
      <c r="F19" s="9" t="s">
        <v>47</v>
      </c>
      <c r="G19" s="4">
        <v>880</v>
      </c>
      <c r="H19" s="9"/>
      <c r="I19" s="2">
        <f xml:space="preserve"> 26.6493368669762 / 86400</f>
        <v>3.0844139892333562E-4</v>
      </c>
      <c r="J19" s="2">
        <f xml:space="preserve"> 80.4498262450215 / 86400</f>
        <v>9.3113224820626738E-4</v>
      </c>
      <c r="K19" s="25">
        <f xml:space="preserve"> 50.1942377594802 / 86400</f>
        <v>5.8095182591990974E-4</v>
      </c>
      <c r="L19" s="2">
        <f xml:space="preserve"> 8.95333596508684 / 86400</f>
        <v>1.0362657366998657E-4</v>
      </c>
      <c r="M19" s="2">
        <f t="shared" si="0"/>
        <v>0</v>
      </c>
      <c r="N19" s="3">
        <v>0</v>
      </c>
      <c r="O19" s="9"/>
      <c r="P19" s="13" t="s">
        <v>48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44</v>
      </c>
      <c r="C20" s="9" t="s">
        <v>45</v>
      </c>
      <c r="D20" s="4">
        <v>7</v>
      </c>
      <c r="E20" s="24" t="s">
        <v>55</v>
      </c>
      <c r="F20" s="9" t="s">
        <v>47</v>
      </c>
      <c r="G20" s="4">
        <v>880</v>
      </c>
      <c r="H20" s="9"/>
      <c r="I20" s="2">
        <f xml:space="preserve"> 37.1513353120536 / 86400</f>
        <v>4.2999230685247217E-4</v>
      </c>
      <c r="J20" s="2">
        <f xml:space="preserve"> 100.743619604036 / 86400</f>
        <v>1.1660141157874538E-3</v>
      </c>
      <c r="K20" s="25">
        <f xml:space="preserve"> 69.5617599589385 / 86400</f>
        <v>8.0511296248771407E-4</v>
      </c>
      <c r="L20" s="2">
        <f xml:space="preserve"> 10.2292929194416 / 86400</f>
        <v>1.1839459397501851E-4</v>
      </c>
      <c r="M20" s="2">
        <f t="shared" si="0"/>
        <v>0</v>
      </c>
      <c r="N20" s="3">
        <v>0</v>
      </c>
      <c r="O20" s="9"/>
      <c r="P20" s="13" t="s">
        <v>48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44</v>
      </c>
      <c r="C21" s="9" t="s">
        <v>45</v>
      </c>
      <c r="D21" s="4">
        <v>8</v>
      </c>
      <c r="E21" s="24" t="s">
        <v>56</v>
      </c>
      <c r="F21" s="9" t="s">
        <v>47</v>
      </c>
      <c r="G21" s="4">
        <v>880</v>
      </c>
      <c r="H21" s="9"/>
      <c r="I21" s="2">
        <f xml:space="preserve"> 682.829303488004 / 86400</f>
        <v>7.9031169385185649E-3</v>
      </c>
      <c r="J21" s="2">
        <f xml:space="preserve"> 5394.73637058004 / 86400</f>
        <v>6.2439078363194907E-2</v>
      </c>
      <c r="K21" s="25">
        <f xml:space="preserve"> 2617.72357381631 / 86400</f>
        <v>3.0297726548799885E-2</v>
      </c>
      <c r="L21" s="2">
        <f xml:space="preserve"> 842.799009448471 / 86400</f>
        <v>9.754618164912859E-3</v>
      </c>
      <c r="M21" s="2">
        <f t="shared" si="0"/>
        <v>0</v>
      </c>
      <c r="N21" s="3">
        <v>0</v>
      </c>
      <c r="O21" s="9"/>
      <c r="P21" s="13" t="s">
        <v>48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44</v>
      </c>
      <c r="C22" s="9" t="s">
        <v>45</v>
      </c>
      <c r="D22" s="4">
        <v>9</v>
      </c>
      <c r="E22" s="24" t="s">
        <v>57</v>
      </c>
      <c r="F22" s="9" t="s">
        <v>47</v>
      </c>
      <c r="G22" s="4">
        <v>144</v>
      </c>
      <c r="H22" s="9"/>
      <c r="I22" s="2">
        <f xml:space="preserve"> 714.576113176998 / 86400</f>
        <v>8.2705568654745133E-3</v>
      </c>
      <c r="J22" s="2">
        <f xml:space="preserve"> 2958.29329663003 / 86400</f>
        <v>3.4239505748032757E-2</v>
      </c>
      <c r="K22" s="25">
        <f xml:space="preserve"> 1521.90367690598 / 86400</f>
        <v>1.7614625890115511E-2</v>
      </c>
      <c r="L22" s="2">
        <f xml:space="preserve"> 491.517957675438 / 86400</f>
        <v>5.6888652508731256E-3</v>
      </c>
      <c r="M22" s="2">
        <f t="shared" si="0"/>
        <v>0</v>
      </c>
      <c r="N22" s="3">
        <v>0</v>
      </c>
      <c r="O22" s="9"/>
      <c r="P22" s="13" t="s">
        <v>48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44</v>
      </c>
      <c r="C23" s="9" t="s">
        <v>45</v>
      </c>
      <c r="D23" s="4">
        <v>10</v>
      </c>
      <c r="E23" s="24" t="s">
        <v>58</v>
      </c>
      <c r="F23" s="9" t="s">
        <v>47</v>
      </c>
      <c r="G23" s="4">
        <v>880</v>
      </c>
      <c r="H23" s="9"/>
      <c r="I23" s="2">
        <f xml:space="preserve"> 617.324657585996 / 86400</f>
        <v>7.144961314652731E-3</v>
      </c>
      <c r="J23" s="2">
        <f xml:space="preserve"> 1691.12630528898 / 86400</f>
        <v>1.9573221126029858E-2</v>
      </c>
      <c r="K23" s="25">
        <f xml:space="preserve"> 1009.44120379177 / 86400</f>
        <v>1.168334726610845E-2</v>
      </c>
      <c r="L23" s="2">
        <f xml:space="preserve"> 210.029642123038 / 86400</f>
        <v>2.4308986356833102E-3</v>
      </c>
      <c r="M23" s="2">
        <f t="shared" si="0"/>
        <v>0</v>
      </c>
      <c r="N23" s="3">
        <v>0</v>
      </c>
      <c r="O23" s="9"/>
      <c r="P23" s="13" t="s">
        <v>48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44</v>
      </c>
      <c r="C24" s="9" t="s">
        <v>45</v>
      </c>
      <c r="D24" s="4">
        <v>11</v>
      </c>
      <c r="E24" s="24" t="s">
        <v>59</v>
      </c>
      <c r="F24" s="9" t="s">
        <v>47</v>
      </c>
      <c r="G24" s="4">
        <v>880</v>
      </c>
      <c r="H24" s="9"/>
      <c r="I24" s="2">
        <f xml:space="preserve"> 16.1098689018304 / 86400</f>
        <v>1.8645681599340741E-4</v>
      </c>
      <c r="J24" s="2">
        <f xml:space="preserve"> 674.166457336978 / 86400</f>
        <v>7.8028525154742829E-3</v>
      </c>
      <c r="K24" s="25">
        <f xml:space="preserve"> 595.95161928584 / 86400</f>
        <v>6.897588186178704E-3</v>
      </c>
      <c r="L24" s="2">
        <f xml:space="preserve"> 150.051467787778 / 86400</f>
        <v>1.7367068030992824E-3</v>
      </c>
      <c r="M24" s="2">
        <f t="shared" si="0"/>
        <v>0</v>
      </c>
      <c r="N24" s="3">
        <v>0</v>
      </c>
      <c r="O24" s="9"/>
      <c r="P24" s="13" t="s">
        <v>48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44</v>
      </c>
      <c r="C25" s="9" t="s">
        <v>45</v>
      </c>
      <c r="D25" s="4">
        <v>12</v>
      </c>
      <c r="E25" s="24" t="s">
        <v>60</v>
      </c>
      <c r="F25" s="9" t="s">
        <v>47</v>
      </c>
      <c r="G25" s="4">
        <v>880</v>
      </c>
      <c r="H25" s="9"/>
      <c r="I25" s="2">
        <f xml:space="preserve"> 94.2145292009227 / 86400</f>
        <v>1.0904459398254941E-3</v>
      </c>
      <c r="J25" s="2">
        <f xml:space="preserve"> 1429.80005621898 / 86400</f>
        <v>1.6548611761793751E-2</v>
      </c>
      <c r="K25" s="25">
        <f xml:space="preserve"> 546.280700172111 / 86400</f>
        <v>6.3226932890290627E-3</v>
      </c>
      <c r="L25" s="2">
        <f xml:space="preserve"> 237.848630537542 / 86400</f>
        <v>2.7528776682585877E-3</v>
      </c>
      <c r="M25" s="2">
        <f t="shared" si="0"/>
        <v>0</v>
      </c>
      <c r="N25" s="3">
        <v>0</v>
      </c>
      <c r="O25" s="9"/>
      <c r="P25" s="13" t="s">
        <v>48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44</v>
      </c>
      <c r="C26" s="9" t="s">
        <v>45</v>
      </c>
      <c r="D26" s="4">
        <v>13</v>
      </c>
      <c r="E26" s="26" t="s">
        <v>61</v>
      </c>
      <c r="F26" s="9" t="s">
        <v>47</v>
      </c>
      <c r="G26" s="4">
        <v>5</v>
      </c>
      <c r="H26" s="9"/>
      <c r="I26" s="2">
        <f xml:space="preserve"> 518.972216215101 / 86400</f>
        <v>6.0066228728599645E-3</v>
      </c>
      <c r="J26" s="2">
        <f xml:space="preserve"> 769.434423503 / 86400</f>
        <v>8.9054910127662028E-3</v>
      </c>
      <c r="K26" s="27">
        <f xml:space="preserve"> 647.545617476804 / 86400</f>
        <v>7.494740943018564E-3</v>
      </c>
      <c r="L26" s="2">
        <f xml:space="preserve"> 97.300948153044 / 86400</f>
        <v>1.1261683814009723E-3</v>
      </c>
      <c r="M26" s="2">
        <f t="shared" si="0"/>
        <v>0</v>
      </c>
      <c r="N26" s="3">
        <v>0</v>
      </c>
      <c r="O26" s="9"/>
      <c r="P26" s="13" t="s">
        <v>48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44</v>
      </c>
      <c r="C27" s="9" t="s">
        <v>45</v>
      </c>
      <c r="D27" s="4">
        <v>14</v>
      </c>
      <c r="E27" s="26" t="s">
        <v>62</v>
      </c>
      <c r="F27" s="9" t="s">
        <v>47</v>
      </c>
      <c r="G27" s="4">
        <v>5</v>
      </c>
      <c r="H27" s="9"/>
      <c r="I27" s="2">
        <f xml:space="preserve"> 314.038252909901 / 86400</f>
        <v>3.6347020012720025E-3</v>
      </c>
      <c r="J27" s="2">
        <f xml:space="preserve"> 472.705844575074 / 86400</f>
        <v>5.4711324603596533E-3</v>
      </c>
      <c r="K27" s="27">
        <f xml:space="preserve"> 374.001961418218 / 86400</f>
        <v>4.3287264053034494E-3</v>
      </c>
      <c r="L27" s="2">
        <f xml:space="preserve"> 62.312027140582 / 86400</f>
        <v>7.2120401783081021E-4</v>
      </c>
      <c r="M27" s="2">
        <f t="shared" si="0"/>
        <v>0</v>
      </c>
      <c r="N27" s="3">
        <v>0</v>
      </c>
      <c r="O27" s="9"/>
      <c r="P27" s="13" t="s">
        <v>48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44</v>
      </c>
      <c r="C28" s="9" t="s">
        <v>45</v>
      </c>
      <c r="D28" s="4">
        <v>15</v>
      </c>
      <c r="E28" s="26" t="s">
        <v>63</v>
      </c>
      <c r="F28" s="9" t="s">
        <v>47</v>
      </c>
      <c r="G28" s="4">
        <v>5</v>
      </c>
      <c r="H28" s="9"/>
      <c r="I28" s="2">
        <f xml:space="preserve"> 3533.5242775681 / 86400</f>
        <v>4.0897271731112267E-2</v>
      </c>
      <c r="J28" s="2">
        <f xml:space="preserve"> 3973.22832641902 / 86400</f>
        <v>4.59864389631831E-2</v>
      </c>
      <c r="K28" s="27">
        <f xml:space="preserve"> 3772.66644635119 / 86400</f>
        <v>4.3665120906842478E-2</v>
      </c>
      <c r="L28" s="2">
        <f xml:space="preserve"> 192.692214331649 / 86400</f>
        <v>2.2302339621718638E-3</v>
      </c>
      <c r="M28" s="2">
        <f t="shared" si="0"/>
        <v>0</v>
      </c>
      <c r="N28" s="3">
        <v>0</v>
      </c>
      <c r="O28" s="9"/>
      <c r="P28" s="13" t="s">
        <v>48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44</v>
      </c>
      <c r="C29" s="9" t="s">
        <v>45</v>
      </c>
      <c r="D29" s="4">
        <v>16</v>
      </c>
      <c r="E29" s="26" t="s">
        <v>64</v>
      </c>
      <c r="F29" s="9" t="s">
        <v>47</v>
      </c>
      <c r="G29" s="4">
        <v>5</v>
      </c>
      <c r="H29" s="9"/>
      <c r="I29" s="2">
        <f xml:space="preserve"> 405.560512903961 / 86400</f>
        <v>4.6939874178699194E-3</v>
      </c>
      <c r="J29" s="2">
        <f xml:space="preserve"> 542.599503251025 / 86400</f>
        <v>6.2800868431831594E-3</v>
      </c>
      <c r="K29" s="27">
        <f xml:space="preserve"> 455.135836761212 / 86400</f>
        <v>5.2677758884399533E-3</v>
      </c>
      <c r="L29" s="2">
        <f xml:space="preserve"> 56.9756273041916 / 86400</f>
        <v>6.594401308355509E-4</v>
      </c>
      <c r="M29" s="2">
        <f t="shared" si="0"/>
        <v>0</v>
      </c>
      <c r="N29" s="3">
        <v>0</v>
      </c>
      <c r="O29" s="9"/>
      <c r="P29" s="13" t="s">
        <v>48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44</v>
      </c>
      <c r="C30" s="9" t="s">
        <v>45</v>
      </c>
      <c r="D30" s="4">
        <v>17</v>
      </c>
      <c r="E30" s="26" t="s">
        <v>65</v>
      </c>
      <c r="F30" s="9" t="s">
        <v>47</v>
      </c>
      <c r="G30" s="4">
        <v>5</v>
      </c>
      <c r="H30" s="9"/>
      <c r="I30" s="2">
        <f xml:space="preserve"> 159.294753773022 / 86400</f>
        <v>1.8436892797803472E-3</v>
      </c>
      <c r="J30" s="2">
        <f xml:space="preserve"> 203.722715946962 / 86400</f>
        <v>2.35790180494169E-3</v>
      </c>
      <c r="K30" s="27">
        <f xml:space="preserve"> 176.068454103381 / 86400</f>
        <v>2.0378293299002431E-3</v>
      </c>
      <c r="L30" s="2">
        <f xml:space="preserve"> 16.642510970825 / 86400</f>
        <v>1.9262165475491898E-4</v>
      </c>
      <c r="M30" s="2">
        <f t="shared" si="0"/>
        <v>0</v>
      </c>
      <c r="N30" s="3">
        <v>0</v>
      </c>
      <c r="O30" s="9"/>
      <c r="P30" s="13" t="s">
        <v>48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44</v>
      </c>
      <c r="C31" s="9" t="s">
        <v>45</v>
      </c>
      <c r="D31" s="4">
        <v>999</v>
      </c>
      <c r="E31" s="9" t="s">
        <v>66</v>
      </c>
      <c r="F31" s="9" t="s">
        <v>47</v>
      </c>
      <c r="G31" s="4">
        <v>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48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5" spans="4:6" x14ac:dyDescent="0.25">
      <c r="E35" s="12" t="s">
        <v>72</v>
      </c>
      <c r="F35" s="18" t="s">
        <v>74</v>
      </c>
    </row>
    <row r="36" spans="4:6" x14ac:dyDescent="0.25">
      <c r="D36" s="31"/>
      <c r="E36" t="s">
        <v>49</v>
      </c>
      <c r="F36" s="19">
        <f>(K14*86400)/60</f>
        <v>3.617544806107984</v>
      </c>
    </row>
    <row r="37" spans="4:6" x14ac:dyDescent="0.25">
      <c r="D37" s="31"/>
      <c r="E37" t="s">
        <v>50</v>
      </c>
      <c r="F37" s="19">
        <f>(K15*86400)/60</f>
        <v>0.21200847717871665</v>
      </c>
    </row>
    <row r="38" spans="4:6" x14ac:dyDescent="0.25">
      <c r="D38" s="31"/>
      <c r="E38" s="16" t="s">
        <v>51</v>
      </c>
      <c r="F38" s="20">
        <f>(K16*86400)/60</f>
        <v>7.7647953586241334</v>
      </c>
    </row>
    <row r="39" spans="4:6" x14ac:dyDescent="0.25">
      <c r="E39" s="17" t="s">
        <v>73</v>
      </c>
      <c r="F39" s="21">
        <f>SUM(F36:F38)</f>
        <v>11.594348641910834</v>
      </c>
    </row>
    <row r="40" spans="4:6" x14ac:dyDescent="0.25">
      <c r="F40" s="15"/>
    </row>
    <row r="41" spans="4:6" x14ac:dyDescent="0.25">
      <c r="F41" s="15"/>
    </row>
    <row r="42" spans="4:6" x14ac:dyDescent="0.25">
      <c r="E42" s="12" t="s">
        <v>72</v>
      </c>
      <c r="F42" s="18" t="s">
        <v>74</v>
      </c>
    </row>
    <row r="43" spans="4:6" x14ac:dyDescent="0.25">
      <c r="D43" s="30"/>
      <c r="E43" t="s">
        <v>52</v>
      </c>
      <c r="F43" s="19">
        <f>(K17*86400)/60</f>
        <v>3.5581837251323503</v>
      </c>
    </row>
    <row r="44" spans="4:6" x14ac:dyDescent="0.25">
      <c r="D44" s="30"/>
      <c r="E44" t="s">
        <v>53</v>
      </c>
      <c r="F44" s="19">
        <f>(K18*86400)/60</f>
        <v>1.1829029287837967</v>
      </c>
    </row>
    <row r="45" spans="4:6" x14ac:dyDescent="0.25">
      <c r="D45" s="30"/>
      <c r="E45" t="s">
        <v>54</v>
      </c>
      <c r="F45" s="19">
        <f>(K19*86400)/60</f>
        <v>0.83657062932467008</v>
      </c>
    </row>
    <row r="46" spans="4:6" x14ac:dyDescent="0.25">
      <c r="D46" s="30"/>
      <c r="E46" t="s">
        <v>55</v>
      </c>
      <c r="F46" s="19">
        <f t="shared" ref="F46" si="1">(K20*86400)/60</f>
        <v>1.1593626659823082</v>
      </c>
    </row>
    <row r="47" spans="4:6" x14ac:dyDescent="0.25">
      <c r="D47" s="30"/>
      <c r="E47" t="s">
        <v>56</v>
      </c>
      <c r="F47" s="19">
        <f>(K21*86400)/60</f>
        <v>43.62872623027183</v>
      </c>
    </row>
    <row r="48" spans="4:6" x14ac:dyDescent="0.25">
      <c r="D48" s="30"/>
      <c r="E48" t="s">
        <v>57</v>
      </c>
      <c r="F48" s="19">
        <f>(K22*86400)/60</f>
        <v>25.365061281766334</v>
      </c>
    </row>
    <row r="49" spans="4:6" x14ac:dyDescent="0.25">
      <c r="D49" s="30"/>
      <c r="E49" t="s">
        <v>58</v>
      </c>
      <c r="F49" s="19">
        <f>(K23*86400)/60</f>
        <v>16.824020063196166</v>
      </c>
    </row>
    <row r="50" spans="4:6" x14ac:dyDescent="0.25">
      <c r="D50" s="30"/>
      <c r="E50" t="s">
        <v>59</v>
      </c>
      <c r="F50" s="19">
        <f>(K24*86400)/60</f>
        <v>9.932526988097333</v>
      </c>
    </row>
    <row r="51" spans="4:6" x14ac:dyDescent="0.25">
      <c r="D51" s="30"/>
      <c r="E51" s="16" t="s">
        <v>60</v>
      </c>
      <c r="F51" s="20">
        <f>(K25*86400)/60</f>
        <v>9.1046783362018502</v>
      </c>
    </row>
    <row r="52" spans="4:6" x14ac:dyDescent="0.25">
      <c r="E52" s="17" t="s">
        <v>75</v>
      </c>
      <c r="F52" s="28">
        <f>SUM(F43:F51)</f>
        <v>111.59203284875665</v>
      </c>
    </row>
    <row r="53" spans="4:6" x14ac:dyDescent="0.25">
      <c r="F53" s="15"/>
    </row>
    <row r="54" spans="4:6" x14ac:dyDescent="0.25">
      <c r="F54" s="15"/>
    </row>
    <row r="55" spans="4:6" x14ac:dyDescent="0.25">
      <c r="E55" s="12" t="s">
        <v>76</v>
      </c>
      <c r="F55" s="18" t="s">
        <v>74</v>
      </c>
    </row>
    <row r="56" spans="4:6" x14ac:dyDescent="0.25">
      <c r="D56" s="29"/>
      <c r="E56" t="s">
        <v>61</v>
      </c>
      <c r="F56" s="19">
        <f>(K26*86400)/60</f>
        <v>10.792426957946732</v>
      </c>
    </row>
    <row r="57" spans="4:6" x14ac:dyDescent="0.25">
      <c r="D57" s="29"/>
      <c r="E57" t="s">
        <v>62</v>
      </c>
      <c r="F57" s="19">
        <f>(K27*86400)/60</f>
        <v>6.2333660236369663</v>
      </c>
    </row>
    <row r="58" spans="4:6" x14ac:dyDescent="0.25">
      <c r="D58" s="29"/>
      <c r="E58" t="s">
        <v>63</v>
      </c>
      <c r="F58" s="19">
        <f>(K28*86400)/60</f>
        <v>62.87777410585317</v>
      </c>
    </row>
    <row r="59" spans="4:6" x14ac:dyDescent="0.25">
      <c r="D59" s="29"/>
      <c r="E59" t="s">
        <v>64</v>
      </c>
      <c r="F59" s="19">
        <f>(K29*86400)/60</f>
        <v>7.5855972793535331</v>
      </c>
    </row>
    <row r="60" spans="4:6" x14ac:dyDescent="0.25">
      <c r="D60" s="29"/>
      <c r="E60" s="16" t="s">
        <v>65</v>
      </c>
      <c r="F60" s="20">
        <f>(K30*86400)/60</f>
        <v>2.9344742350563502</v>
      </c>
    </row>
    <row r="61" spans="4:6" x14ac:dyDescent="0.25">
      <c r="E61" s="17" t="s">
        <v>75</v>
      </c>
      <c r="F61" s="21">
        <f>SUM(F56:F60)</f>
        <v>90.423638601846761</v>
      </c>
    </row>
    <row r="62" spans="4:6" x14ac:dyDescent="0.25">
      <c r="F62" s="15"/>
    </row>
    <row r="63" spans="4:6" x14ac:dyDescent="0.25">
      <c r="F63" s="15"/>
    </row>
    <row r="64" spans="4:6" x14ac:dyDescent="0.25">
      <c r="D64" s="32"/>
      <c r="E64" s="17" t="s">
        <v>77</v>
      </c>
      <c r="F64" s="21">
        <f>F52+SUM(F56:F59)</f>
        <v>199.08119721554704</v>
      </c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F199-3B0A-4936-B1CF-4090730357A3}">
  <dimension ref="A1:M69"/>
  <sheetViews>
    <sheetView tabSelected="1" topLeftCell="A19" workbookViewId="0">
      <selection activeCell="M45" sqref="M45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42578125" bestFit="1" customWidth="1"/>
    <col min="10" max="12" width="10.7109375" bestFit="1" customWidth="1"/>
  </cols>
  <sheetData>
    <row r="1" spans="1:13" x14ac:dyDescent="0.25">
      <c r="A1" s="45"/>
    </row>
    <row r="2" spans="1:13" ht="18.75" x14ac:dyDescent="0.3">
      <c r="A2" s="45"/>
      <c r="B2" s="6" t="s">
        <v>16</v>
      </c>
    </row>
    <row r="3" spans="1:13" ht="17.25" x14ac:dyDescent="0.3">
      <c r="A3" s="45"/>
      <c r="B3" s="7" t="s">
        <v>67</v>
      </c>
    </row>
    <row r="4" spans="1:13" x14ac:dyDescent="0.25">
      <c r="A4" s="45"/>
      <c r="B4" s="9"/>
    </row>
    <row r="5" spans="1:13" x14ac:dyDescent="0.25">
      <c r="A5" s="5" t="s">
        <v>18</v>
      </c>
      <c r="B5" s="8" t="s">
        <v>70</v>
      </c>
    </row>
    <row r="6" spans="1:13" x14ac:dyDescent="0.25">
      <c r="A6" s="5" t="s">
        <v>19</v>
      </c>
      <c r="B6" s="8" t="s">
        <v>71</v>
      </c>
    </row>
    <row r="7" spans="1:13" x14ac:dyDescent="0.25">
      <c r="A7" s="5" t="s">
        <v>21</v>
      </c>
      <c r="B7" s="11">
        <v>33030</v>
      </c>
    </row>
    <row r="8" spans="1:13" x14ac:dyDescent="0.25">
      <c r="A8" s="5"/>
      <c r="B8" s="10"/>
    </row>
    <row r="9" spans="1:13" x14ac:dyDescent="0.25">
      <c r="A9" s="5" t="s">
        <v>68</v>
      </c>
      <c r="B9" s="9" t="s">
        <v>69</v>
      </c>
    </row>
    <row r="11" spans="1:13" s="12" customFormat="1" x14ac:dyDescent="0.25">
      <c r="B11" s="46" t="s">
        <v>23</v>
      </c>
      <c r="C11" s="47"/>
      <c r="D11" s="46" t="s">
        <v>24</v>
      </c>
      <c r="E11" s="47"/>
      <c r="F11" s="48" t="s">
        <v>25</v>
      </c>
      <c r="I11" s="46" t="s">
        <v>26</v>
      </c>
      <c r="J11" s="47"/>
      <c r="K11" s="47"/>
      <c r="L11" s="47"/>
    </row>
    <row r="12" spans="1:13" s="12" customFormat="1" x14ac:dyDescent="0.25">
      <c r="B12" s="12" t="s">
        <v>31</v>
      </c>
      <c r="C12" s="12" t="s">
        <v>32</v>
      </c>
      <c r="D12" s="12" t="s">
        <v>31</v>
      </c>
      <c r="E12" s="12" t="s">
        <v>32</v>
      </c>
      <c r="F12" s="49"/>
      <c r="G12" s="12" t="s">
        <v>33</v>
      </c>
      <c r="I12" s="12" t="s">
        <v>34</v>
      </c>
      <c r="J12" s="12" t="s">
        <v>35</v>
      </c>
      <c r="K12" s="12" t="s">
        <v>36</v>
      </c>
      <c r="L12" s="12" t="s">
        <v>37</v>
      </c>
    </row>
    <row r="13" spans="1:13" x14ac:dyDescent="0.25">
      <c r="B13" s="4" t="s">
        <v>44</v>
      </c>
      <c r="C13" s="9" t="s">
        <v>45</v>
      </c>
      <c r="D13" s="4">
        <v>0</v>
      </c>
      <c r="E13" s="9" t="s">
        <v>46</v>
      </c>
      <c r="F13" s="9" t="s">
        <v>47</v>
      </c>
      <c r="G13" s="4">
        <v>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3" x14ac:dyDescent="0.25">
      <c r="B14" s="4" t="s">
        <v>44</v>
      </c>
      <c r="C14" s="9" t="s">
        <v>45</v>
      </c>
      <c r="D14" s="4">
        <v>1</v>
      </c>
      <c r="E14" s="22" t="s">
        <v>49</v>
      </c>
      <c r="F14" s="9" t="s">
        <v>47</v>
      </c>
      <c r="G14" s="4">
        <v>5</v>
      </c>
      <c r="H14" s="9"/>
      <c r="I14" s="2">
        <f xml:space="preserve"> 146.75289287686 / 86400</f>
        <v>1.6985288527414351E-3</v>
      </c>
      <c r="J14" s="2">
        <f xml:space="preserve"> 253.952483856097 / 86400</f>
        <v>2.9392648594455668E-3</v>
      </c>
      <c r="K14" s="23">
        <f xml:space="preserve"> 217.052688366479 / 86400</f>
        <v>2.5121838931305442E-3</v>
      </c>
      <c r="L14" s="2">
        <f xml:space="preserve"> 41.2758524920233 / 86400</f>
        <v>4.7772977421323262E-4</v>
      </c>
      <c r="M14" s="36"/>
    </row>
    <row r="15" spans="1:13" x14ac:dyDescent="0.25">
      <c r="B15" s="4" t="s">
        <v>44</v>
      </c>
      <c r="C15" s="9" t="s">
        <v>45</v>
      </c>
      <c r="D15" s="4">
        <v>2</v>
      </c>
      <c r="E15" s="22" t="s">
        <v>50</v>
      </c>
      <c r="F15" s="9" t="s">
        <v>47</v>
      </c>
      <c r="G15" s="4">
        <v>5</v>
      </c>
      <c r="H15" s="9"/>
      <c r="I15" s="2">
        <f xml:space="preserve"> 6.83540237827003 / 86400</f>
        <v>7.9113453452199414E-5</v>
      </c>
      <c r="J15" s="2">
        <f xml:space="preserve"> 18.720508630723 / 86400</f>
        <v>2.1667255359633102E-4</v>
      </c>
      <c r="K15" s="23">
        <f xml:space="preserve"> 12.720508630723 / 86400</f>
        <v>1.4722810915188657E-4</v>
      </c>
      <c r="L15" s="2">
        <f xml:space="preserve"> 5.05456975103488 / 86400</f>
        <v>5.8501964711051855E-5</v>
      </c>
    </row>
    <row r="16" spans="1:13" x14ac:dyDescent="0.25">
      <c r="B16" s="4" t="s">
        <v>44</v>
      </c>
      <c r="C16" s="9" t="s">
        <v>45</v>
      </c>
      <c r="D16" s="4">
        <v>3</v>
      </c>
      <c r="E16" s="22" t="s">
        <v>51</v>
      </c>
      <c r="F16" s="9" t="s">
        <v>47</v>
      </c>
      <c r="G16" s="4">
        <v>5</v>
      </c>
      <c r="H16" s="9"/>
      <c r="I16" s="2">
        <f xml:space="preserve"> 453.179544268105 / 86400</f>
        <v>5.2451336142141786E-3</v>
      </c>
      <c r="J16" s="2">
        <f xml:space="preserve"> 475.631292698673 / 86400</f>
        <v>5.5049918136420486E-3</v>
      </c>
      <c r="K16" s="23">
        <f xml:space="preserve"> 465.887721517448 / 86400</f>
        <v>5.392218999044537E-3</v>
      </c>
      <c r="L16" s="2">
        <f xml:space="preserve"> 8.46026304958656 / 86400</f>
        <v>9.7919711222066669E-5</v>
      </c>
    </row>
    <row r="17" spans="2:12" x14ac:dyDescent="0.25">
      <c r="B17" s="4" t="s">
        <v>44</v>
      </c>
      <c r="C17" s="9" t="s">
        <v>45</v>
      </c>
      <c r="D17" s="4">
        <v>4</v>
      </c>
      <c r="E17" s="24" t="s">
        <v>52</v>
      </c>
      <c r="F17" s="9" t="s">
        <v>47</v>
      </c>
      <c r="G17" s="4">
        <v>5</v>
      </c>
      <c r="H17" s="9"/>
      <c r="I17" s="2">
        <f xml:space="preserve"> 166.569187455483 / 86400</f>
        <v>1.9278841140680902E-3</v>
      </c>
      <c r="J17" s="2">
        <f xml:space="preserve"> 302.455280244668 / 86400</f>
        <v>3.5006398176466204E-3</v>
      </c>
      <c r="K17" s="25">
        <f xml:space="preserve"> 213.491023507941 / 86400</f>
        <v>2.4709609202307986E-3</v>
      </c>
      <c r="L17" s="2">
        <f xml:space="preserve"> 56.931962517458 / 86400</f>
        <v>6.5893475135946761E-4</v>
      </c>
    </row>
    <row r="18" spans="2:12" x14ac:dyDescent="0.25">
      <c r="B18" s="4" t="s">
        <v>44</v>
      </c>
      <c r="C18" s="9" t="s">
        <v>45</v>
      </c>
      <c r="D18" s="4">
        <v>5</v>
      </c>
      <c r="E18" s="24" t="s">
        <v>53</v>
      </c>
      <c r="F18" s="9" t="s">
        <v>47</v>
      </c>
      <c r="G18" s="4">
        <v>880</v>
      </c>
      <c r="H18" s="9"/>
      <c r="I18" s="2">
        <f xml:space="preserve"> 20.8871950430039 / 86400</f>
        <v>2.4174994262735994E-4</v>
      </c>
      <c r="J18" s="2">
        <f xml:space="preserve"> 134.341154947993 / 86400</f>
        <v>1.5548744785647338E-3</v>
      </c>
      <c r="K18" s="25">
        <f xml:space="preserve"> 70.9741757270278 / 86400</f>
        <v>8.2146036721096984E-4</v>
      </c>
      <c r="L18" s="2">
        <f xml:space="preserve"> 19.0089841992184 / 86400</f>
        <v>2.2001139119465742E-4</v>
      </c>
    </row>
    <row r="19" spans="2:12" x14ac:dyDescent="0.25">
      <c r="B19" s="4" t="s">
        <v>44</v>
      </c>
      <c r="C19" s="9" t="s">
        <v>45</v>
      </c>
      <c r="D19" s="4">
        <v>6</v>
      </c>
      <c r="E19" s="24" t="s">
        <v>54</v>
      </c>
      <c r="F19" s="9" t="s">
        <v>47</v>
      </c>
      <c r="G19" s="4">
        <v>880</v>
      </c>
      <c r="H19" s="9"/>
      <c r="I19" s="2">
        <f xml:space="preserve"> 26.6493368669762 / 86400</f>
        <v>3.0844139892333562E-4</v>
      </c>
      <c r="J19" s="2">
        <f xml:space="preserve"> 80.4498262450215 / 86400</f>
        <v>9.3113224820626738E-4</v>
      </c>
      <c r="K19" s="25">
        <f xml:space="preserve"> 50.1942377594802 / 86400</f>
        <v>5.8095182591990974E-4</v>
      </c>
      <c r="L19" s="2">
        <f xml:space="preserve"> 8.95333596508684 / 86400</f>
        <v>1.0362657366998657E-4</v>
      </c>
    </row>
    <row r="20" spans="2:12" x14ac:dyDescent="0.25">
      <c r="B20" s="4" t="s">
        <v>44</v>
      </c>
      <c r="C20" s="9" t="s">
        <v>45</v>
      </c>
      <c r="D20" s="4">
        <v>7</v>
      </c>
      <c r="E20" s="24" t="s">
        <v>55</v>
      </c>
      <c r="F20" s="9" t="s">
        <v>47</v>
      </c>
      <c r="G20" s="4">
        <v>880</v>
      </c>
      <c r="H20" s="9"/>
      <c r="I20" s="2">
        <f xml:space="preserve"> 37.1513353120536 / 86400</f>
        <v>4.2999230685247217E-4</v>
      </c>
      <c r="J20" s="2">
        <f xml:space="preserve"> 100.743619604036 / 86400</f>
        <v>1.1660141157874538E-3</v>
      </c>
      <c r="K20" s="25">
        <f xml:space="preserve"> 69.5617599589385 / 86400</f>
        <v>8.0511296248771407E-4</v>
      </c>
      <c r="L20" s="2">
        <f xml:space="preserve"> 10.2292929194416 / 86400</f>
        <v>1.1839459397501851E-4</v>
      </c>
    </row>
    <row r="21" spans="2:12" x14ac:dyDescent="0.25">
      <c r="B21" s="4" t="s">
        <v>44</v>
      </c>
      <c r="C21" s="9" t="s">
        <v>45</v>
      </c>
      <c r="D21" s="4">
        <v>8</v>
      </c>
      <c r="E21" s="24" t="s">
        <v>56</v>
      </c>
      <c r="F21" s="9" t="s">
        <v>47</v>
      </c>
      <c r="G21" s="4">
        <v>880</v>
      </c>
      <c r="H21" s="9"/>
      <c r="I21" s="2">
        <f xml:space="preserve"> 682.829303488004 / 86400</f>
        <v>7.9031169385185649E-3</v>
      </c>
      <c r="J21" s="2">
        <f xml:space="preserve"> 5394.73637058004 / 86400</f>
        <v>6.2439078363194907E-2</v>
      </c>
      <c r="K21" s="25">
        <f xml:space="preserve"> 2617.72357381631 / 86400</f>
        <v>3.0297726548799885E-2</v>
      </c>
      <c r="L21" s="2">
        <f xml:space="preserve"> 842.799009448471 / 86400</f>
        <v>9.754618164912859E-3</v>
      </c>
    </row>
    <row r="22" spans="2:12" x14ac:dyDescent="0.25">
      <c r="B22" s="4" t="s">
        <v>44</v>
      </c>
      <c r="C22" s="9" t="s">
        <v>45</v>
      </c>
      <c r="D22" s="4">
        <v>9</v>
      </c>
      <c r="E22" s="24" t="s">
        <v>57</v>
      </c>
      <c r="F22" s="9" t="s">
        <v>47</v>
      </c>
      <c r="G22" s="4">
        <v>144</v>
      </c>
      <c r="H22" s="9"/>
      <c r="I22" s="2">
        <f xml:space="preserve"> 714.576113176998 / 86400</f>
        <v>8.2705568654745133E-3</v>
      </c>
      <c r="J22" s="2">
        <f xml:space="preserve"> 2958.29329663003 / 86400</f>
        <v>3.4239505748032757E-2</v>
      </c>
      <c r="K22" s="25">
        <f xml:space="preserve"> 1521.90367690598 / 86400</f>
        <v>1.7614625890115511E-2</v>
      </c>
      <c r="L22" s="2">
        <f xml:space="preserve"> 491.517957675438 / 86400</f>
        <v>5.6888652508731256E-3</v>
      </c>
    </row>
    <row r="23" spans="2:12" x14ac:dyDescent="0.25">
      <c r="B23" s="4" t="s">
        <v>44</v>
      </c>
      <c r="C23" s="9" t="s">
        <v>45</v>
      </c>
      <c r="D23" s="4">
        <v>10</v>
      </c>
      <c r="E23" s="24" t="s">
        <v>58</v>
      </c>
      <c r="F23" s="9" t="s">
        <v>47</v>
      </c>
      <c r="G23" s="4">
        <v>880</v>
      </c>
      <c r="H23" s="9"/>
      <c r="I23" s="2">
        <f xml:space="preserve"> 617.324657585996 / 86400</f>
        <v>7.144961314652731E-3</v>
      </c>
      <c r="J23" s="2">
        <f xml:space="preserve"> 1691.12630528898 / 86400</f>
        <v>1.9573221126029858E-2</v>
      </c>
      <c r="K23" s="25">
        <f xml:space="preserve"> 1009.44120379177 / 86400</f>
        <v>1.168334726610845E-2</v>
      </c>
      <c r="L23" s="2">
        <f xml:space="preserve"> 210.029642123038 / 86400</f>
        <v>2.4308986356833102E-3</v>
      </c>
    </row>
    <row r="24" spans="2:12" x14ac:dyDescent="0.25">
      <c r="B24" s="4" t="s">
        <v>44</v>
      </c>
      <c r="C24" s="9" t="s">
        <v>45</v>
      </c>
      <c r="D24" s="4">
        <v>11</v>
      </c>
      <c r="E24" s="24" t="s">
        <v>59</v>
      </c>
      <c r="F24" s="9" t="s">
        <v>47</v>
      </c>
      <c r="G24" s="4">
        <v>880</v>
      </c>
      <c r="H24" s="9"/>
      <c r="I24" s="2">
        <f xml:space="preserve"> 16.1098689018304 / 86400</f>
        <v>1.8645681599340741E-4</v>
      </c>
      <c r="J24" s="2">
        <f xml:space="preserve"> 674.166457336978 / 86400</f>
        <v>7.8028525154742829E-3</v>
      </c>
      <c r="K24" s="25">
        <f xml:space="preserve"> 595.95161928584 / 86400</f>
        <v>6.897588186178704E-3</v>
      </c>
      <c r="L24" s="2">
        <f xml:space="preserve"> 150.051467787778 / 86400</f>
        <v>1.7367068030992824E-3</v>
      </c>
    </row>
    <row r="25" spans="2:12" x14ac:dyDescent="0.25">
      <c r="B25" s="4" t="s">
        <v>44</v>
      </c>
      <c r="C25" s="9" t="s">
        <v>45</v>
      </c>
      <c r="D25" s="4">
        <v>12</v>
      </c>
      <c r="E25" s="24" t="s">
        <v>60</v>
      </c>
      <c r="F25" s="9" t="s">
        <v>47</v>
      </c>
      <c r="G25" s="4">
        <v>880</v>
      </c>
      <c r="H25" s="9"/>
      <c r="I25" s="2">
        <f xml:space="preserve"> 94.2145292009227 / 86400</f>
        <v>1.0904459398254941E-3</v>
      </c>
      <c r="J25" s="2">
        <f xml:space="preserve"> 1429.80005621898 / 86400</f>
        <v>1.6548611761793751E-2</v>
      </c>
      <c r="K25" s="25">
        <f xml:space="preserve"> 546.280700172111 / 86400</f>
        <v>6.3226932890290627E-3</v>
      </c>
      <c r="L25" s="2">
        <f xml:space="preserve"> 237.848630537542 / 86400</f>
        <v>2.7528776682585877E-3</v>
      </c>
    </row>
    <row r="26" spans="2:12" x14ac:dyDescent="0.25">
      <c r="B26" s="4" t="s">
        <v>44</v>
      </c>
      <c r="C26" s="9" t="s">
        <v>45</v>
      </c>
      <c r="D26" s="4">
        <v>13</v>
      </c>
      <c r="E26" s="26" t="s">
        <v>61</v>
      </c>
      <c r="F26" s="9" t="s">
        <v>47</v>
      </c>
      <c r="G26" s="4">
        <v>5</v>
      </c>
      <c r="H26" s="9"/>
      <c r="I26" s="2">
        <f xml:space="preserve"> 518.972216215101 / 86400</f>
        <v>6.0066228728599645E-3</v>
      </c>
      <c r="J26" s="2">
        <f xml:space="preserve"> 769.434423503 / 86400</f>
        <v>8.9054910127662028E-3</v>
      </c>
      <c r="K26" s="27">
        <f xml:space="preserve"> 647.545617476804 / 86400</f>
        <v>7.494740943018564E-3</v>
      </c>
      <c r="L26" s="2">
        <f xml:space="preserve"> 97.300948153044 / 86400</f>
        <v>1.1261683814009723E-3</v>
      </c>
    </row>
    <row r="27" spans="2:12" x14ac:dyDescent="0.25">
      <c r="B27" s="4" t="s">
        <v>44</v>
      </c>
      <c r="C27" s="9" t="s">
        <v>45</v>
      </c>
      <c r="D27" s="4">
        <v>14</v>
      </c>
      <c r="E27" s="26" t="s">
        <v>62</v>
      </c>
      <c r="F27" s="9" t="s">
        <v>47</v>
      </c>
      <c r="G27" s="4">
        <v>5</v>
      </c>
      <c r="H27" s="9"/>
      <c r="I27" s="2">
        <f xml:space="preserve"> 314.038252909901 / 86400</f>
        <v>3.6347020012720025E-3</v>
      </c>
      <c r="J27" s="2">
        <f xml:space="preserve"> 472.705844575074 / 86400</f>
        <v>5.4711324603596533E-3</v>
      </c>
      <c r="K27" s="27">
        <f xml:space="preserve"> 374.001961418218 / 86400</f>
        <v>4.3287264053034494E-3</v>
      </c>
      <c r="L27" s="2">
        <f xml:space="preserve"> 62.312027140582 / 86400</f>
        <v>7.2120401783081021E-4</v>
      </c>
    </row>
    <row r="28" spans="2:12" x14ac:dyDescent="0.25">
      <c r="B28" s="4" t="s">
        <v>44</v>
      </c>
      <c r="C28" s="9" t="s">
        <v>45</v>
      </c>
      <c r="D28" s="4">
        <v>15</v>
      </c>
      <c r="E28" s="26" t="s">
        <v>63</v>
      </c>
      <c r="F28" s="9" t="s">
        <v>47</v>
      </c>
      <c r="G28" s="4">
        <v>5</v>
      </c>
      <c r="H28" s="9"/>
      <c r="I28" s="2">
        <f xml:space="preserve"> 3533.5242775681 / 86400</f>
        <v>4.0897271731112267E-2</v>
      </c>
      <c r="J28" s="2">
        <f xml:space="preserve"> 3973.22832641902 / 86400</f>
        <v>4.59864389631831E-2</v>
      </c>
      <c r="K28" s="27">
        <f xml:space="preserve"> 3772.66644635119 / 86400</f>
        <v>4.3665120906842478E-2</v>
      </c>
      <c r="L28" s="2">
        <f xml:space="preserve"> 192.692214331649 / 86400</f>
        <v>2.2302339621718638E-3</v>
      </c>
    </row>
    <row r="29" spans="2:12" x14ac:dyDescent="0.25">
      <c r="B29" s="4" t="s">
        <v>44</v>
      </c>
      <c r="C29" s="9" t="s">
        <v>45</v>
      </c>
      <c r="D29" s="4">
        <v>16</v>
      </c>
      <c r="E29" s="26" t="s">
        <v>64</v>
      </c>
      <c r="F29" s="9" t="s">
        <v>47</v>
      </c>
      <c r="G29" s="4">
        <v>5</v>
      </c>
      <c r="H29" s="9"/>
      <c r="I29" s="2">
        <f xml:space="preserve"> 405.560512903961 / 86400</f>
        <v>4.6939874178699194E-3</v>
      </c>
      <c r="J29" s="2">
        <f xml:space="preserve"> 542.599503251025 / 86400</f>
        <v>6.2800868431831594E-3</v>
      </c>
      <c r="K29" s="27">
        <f xml:space="preserve"> 455.135836761212 / 86400</f>
        <v>5.2677758884399533E-3</v>
      </c>
      <c r="L29" s="2">
        <f xml:space="preserve"> 56.9756273041916 / 86400</f>
        <v>6.594401308355509E-4</v>
      </c>
    </row>
    <row r="30" spans="2:12" x14ac:dyDescent="0.25">
      <c r="B30" s="4" t="s">
        <v>44</v>
      </c>
      <c r="C30" s="9" t="s">
        <v>45</v>
      </c>
      <c r="D30" s="4">
        <v>17</v>
      </c>
      <c r="E30" s="26" t="s">
        <v>65</v>
      </c>
      <c r="F30" s="9" t="s">
        <v>47</v>
      </c>
      <c r="G30" s="4">
        <v>5</v>
      </c>
      <c r="H30" s="9"/>
      <c r="I30" s="2">
        <f xml:space="preserve"> 159.294753773022 / 86400</f>
        <v>1.8436892797803472E-3</v>
      </c>
      <c r="J30" s="2">
        <f xml:space="preserve"> 203.722715946962 / 86400</f>
        <v>2.35790180494169E-3</v>
      </c>
      <c r="K30" s="27">
        <f xml:space="preserve"> 176.068454103381 / 86400</f>
        <v>2.0378293299002431E-3</v>
      </c>
      <c r="L30" s="2">
        <f xml:space="preserve"> 16.642510970825 / 86400</f>
        <v>1.9262165475491898E-4</v>
      </c>
    </row>
    <row r="31" spans="2:12" x14ac:dyDescent="0.25">
      <c r="B31" s="4" t="s">
        <v>44</v>
      </c>
      <c r="C31" s="9" t="s">
        <v>45</v>
      </c>
      <c r="D31" s="4">
        <v>999</v>
      </c>
      <c r="E31" s="9" t="s">
        <v>66</v>
      </c>
      <c r="F31" s="9" t="s">
        <v>47</v>
      </c>
      <c r="G31" s="4">
        <v>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3" spans="4:10" x14ac:dyDescent="0.25">
      <c r="I33" s="15"/>
    </row>
    <row r="34" spans="4:10" x14ac:dyDescent="0.25">
      <c r="I34" s="15"/>
    </row>
    <row r="35" spans="4:10" x14ac:dyDescent="0.25">
      <c r="E35" s="12" t="s">
        <v>84</v>
      </c>
      <c r="F35" s="18" t="s">
        <v>74</v>
      </c>
      <c r="G35" t="s">
        <v>78</v>
      </c>
      <c r="H35" t="s">
        <v>79</v>
      </c>
      <c r="I35" s="28" t="s">
        <v>82</v>
      </c>
    </row>
    <row r="36" spans="4:10" x14ac:dyDescent="0.25">
      <c r="D36" s="31"/>
      <c r="E36" t="s">
        <v>49</v>
      </c>
      <c r="F36" s="19">
        <f>(K14*86400)/60</f>
        <v>3.617544806107984</v>
      </c>
      <c r="G36" s="37">
        <v>5</v>
      </c>
      <c r="H36" s="38">
        <f>G36/5</f>
        <v>1</v>
      </c>
      <c r="I36" s="34">
        <f>F36*H36</f>
        <v>3.617544806107984</v>
      </c>
    </row>
    <row r="37" spans="4:10" x14ac:dyDescent="0.25">
      <c r="D37" s="31"/>
      <c r="E37" t="s">
        <v>50</v>
      </c>
      <c r="F37" s="19">
        <f>(K15*86400)/60</f>
        <v>0.21200847717871665</v>
      </c>
      <c r="G37" s="37">
        <v>5</v>
      </c>
      <c r="H37" s="38">
        <f t="shared" ref="H37:H60" si="0">G37/5</f>
        <v>1</v>
      </c>
      <c r="I37" s="34">
        <f>F37*H37</f>
        <v>0.21200847717871665</v>
      </c>
    </row>
    <row r="38" spans="4:10" x14ac:dyDescent="0.25">
      <c r="D38" s="31"/>
      <c r="E38" s="16" t="s">
        <v>51</v>
      </c>
      <c r="F38" s="20">
        <f>(K16*86400)/60</f>
        <v>7.7647953586241334</v>
      </c>
      <c r="G38" s="37">
        <v>5</v>
      </c>
      <c r="H38" s="38">
        <f t="shared" si="0"/>
        <v>1</v>
      </c>
      <c r="I38" s="43">
        <f>F38*H38</f>
        <v>7.7647953586241334</v>
      </c>
      <c r="J38" s="17" t="s">
        <v>86</v>
      </c>
    </row>
    <row r="39" spans="4:10" x14ac:dyDescent="0.25">
      <c r="E39" s="17" t="s">
        <v>73</v>
      </c>
      <c r="F39" s="21">
        <f>SUM(F36:F38)</f>
        <v>11.594348641910834</v>
      </c>
      <c r="G39" s="38"/>
      <c r="H39" s="38"/>
      <c r="I39" s="33">
        <f>SUM(I36:I38)</f>
        <v>11.594348641910834</v>
      </c>
    </row>
    <row r="40" spans="4:10" x14ac:dyDescent="0.25">
      <c r="F40" s="15"/>
      <c r="G40" s="38"/>
      <c r="H40" s="38"/>
      <c r="I40" s="15"/>
    </row>
    <row r="41" spans="4:10" x14ac:dyDescent="0.25">
      <c r="F41" s="15"/>
      <c r="G41" s="38"/>
      <c r="H41" s="38"/>
      <c r="I41" s="15"/>
    </row>
    <row r="42" spans="4:10" x14ac:dyDescent="0.25">
      <c r="E42" s="12" t="s">
        <v>83</v>
      </c>
      <c r="F42" s="18" t="s">
        <v>74</v>
      </c>
      <c r="G42" s="38"/>
      <c r="H42" s="38"/>
      <c r="I42" s="15"/>
    </row>
    <row r="43" spans="4:10" x14ac:dyDescent="0.25">
      <c r="D43" s="30"/>
      <c r="E43" t="s">
        <v>52</v>
      </c>
      <c r="F43" s="19">
        <f>(K17*86400)/60</f>
        <v>3.5581837251323503</v>
      </c>
      <c r="G43" s="37">
        <v>5</v>
      </c>
      <c r="H43" s="38">
        <f t="shared" si="0"/>
        <v>1</v>
      </c>
      <c r="I43" s="34">
        <f t="shared" ref="I43:I60" si="1">F43*H43</f>
        <v>3.5581837251323503</v>
      </c>
    </row>
    <row r="44" spans="4:10" x14ac:dyDescent="0.25">
      <c r="D44" s="30"/>
      <c r="E44" t="s">
        <v>53</v>
      </c>
      <c r="F44" s="19">
        <f>(K18*86400)/60</f>
        <v>1.1829029287837967</v>
      </c>
      <c r="G44" s="37">
        <v>880</v>
      </c>
      <c r="H44" s="38">
        <f t="shared" si="0"/>
        <v>176</v>
      </c>
      <c r="I44" s="34">
        <f t="shared" si="1"/>
        <v>208.19091546594822</v>
      </c>
    </row>
    <row r="45" spans="4:10" x14ac:dyDescent="0.25">
      <c r="D45" s="30"/>
      <c r="E45" t="s">
        <v>54</v>
      </c>
      <c r="F45" s="19">
        <f>(K19*86400)/60</f>
        <v>0.83657062932467008</v>
      </c>
      <c r="G45" s="37">
        <v>880</v>
      </c>
      <c r="H45" s="38">
        <f t="shared" si="0"/>
        <v>176</v>
      </c>
      <c r="I45" s="34">
        <f t="shared" si="1"/>
        <v>147.23643076114195</v>
      </c>
    </row>
    <row r="46" spans="4:10" x14ac:dyDescent="0.25">
      <c r="D46" s="30"/>
      <c r="E46" t="s">
        <v>55</v>
      </c>
      <c r="F46" s="19">
        <f t="shared" ref="F46" si="2">(K20*86400)/60</f>
        <v>1.1593626659823082</v>
      </c>
      <c r="G46" s="37">
        <v>880</v>
      </c>
      <c r="H46" s="38">
        <f t="shared" si="0"/>
        <v>176</v>
      </c>
      <c r="I46" s="34">
        <f t="shared" si="1"/>
        <v>204.04782921288626</v>
      </c>
    </row>
    <row r="47" spans="4:10" x14ac:dyDescent="0.25">
      <c r="D47" s="30"/>
      <c r="E47" t="s">
        <v>56</v>
      </c>
      <c r="F47" s="19">
        <f>(K21*86400)/60</f>
        <v>43.62872623027183</v>
      </c>
      <c r="G47" s="37">
        <v>880</v>
      </c>
      <c r="H47" s="38">
        <f t="shared" si="0"/>
        <v>176</v>
      </c>
      <c r="I47" s="34">
        <f t="shared" si="1"/>
        <v>7678.655816527842</v>
      </c>
    </row>
    <row r="48" spans="4:10" x14ac:dyDescent="0.25">
      <c r="D48" s="30"/>
      <c r="E48" t="s">
        <v>57</v>
      </c>
      <c r="F48" s="19">
        <f>(K22*86400)/60</f>
        <v>25.365061281766334</v>
      </c>
      <c r="G48" s="37">
        <v>144</v>
      </c>
      <c r="H48" s="38">
        <f t="shared" si="0"/>
        <v>28.8</v>
      </c>
      <c r="I48" s="34">
        <f t="shared" si="1"/>
        <v>730.51376491487042</v>
      </c>
    </row>
    <row r="49" spans="4:9" x14ac:dyDescent="0.25">
      <c r="D49" s="30"/>
      <c r="E49" t="s">
        <v>58</v>
      </c>
      <c r="F49" s="19">
        <f>(K23*86400)/60</f>
        <v>16.824020063196166</v>
      </c>
      <c r="G49" s="37">
        <v>880</v>
      </c>
      <c r="H49" s="38">
        <f t="shared" si="0"/>
        <v>176</v>
      </c>
      <c r="I49" s="34">
        <f t="shared" si="1"/>
        <v>2961.027531122525</v>
      </c>
    </row>
    <row r="50" spans="4:9" x14ac:dyDescent="0.25">
      <c r="D50" s="30"/>
      <c r="E50" t="s">
        <v>59</v>
      </c>
      <c r="F50" s="19">
        <f>(K24*86400)/60</f>
        <v>9.932526988097333</v>
      </c>
      <c r="G50" s="37">
        <v>880</v>
      </c>
      <c r="H50" s="38">
        <f t="shared" si="0"/>
        <v>176</v>
      </c>
      <c r="I50" s="34">
        <f t="shared" si="1"/>
        <v>1748.1247499051306</v>
      </c>
    </row>
    <row r="51" spans="4:9" x14ac:dyDescent="0.25">
      <c r="D51" s="30"/>
      <c r="E51" s="16" t="s">
        <v>60</v>
      </c>
      <c r="F51" s="20">
        <f>(K25*86400)/60</f>
        <v>9.1046783362018502</v>
      </c>
      <c r="G51" s="37">
        <v>880</v>
      </c>
      <c r="H51" s="38">
        <f t="shared" si="0"/>
        <v>176</v>
      </c>
      <c r="I51" s="35">
        <f t="shared" si="1"/>
        <v>1602.4233871715255</v>
      </c>
    </row>
    <row r="52" spans="4:9" x14ac:dyDescent="0.25">
      <c r="E52" s="17" t="s">
        <v>75</v>
      </c>
      <c r="F52" s="28">
        <f>SUM(F43:F51)</f>
        <v>111.59203284875665</v>
      </c>
      <c r="G52" s="37"/>
      <c r="H52" s="38"/>
      <c r="I52" s="28">
        <f>SUM(I43:I51)</f>
        <v>15283.778608807002</v>
      </c>
    </row>
    <row r="53" spans="4:9" x14ac:dyDescent="0.25">
      <c r="F53" s="15"/>
      <c r="G53" s="38"/>
      <c r="H53" s="38"/>
      <c r="I53" s="15"/>
    </row>
    <row r="54" spans="4:9" x14ac:dyDescent="0.25">
      <c r="F54" s="15"/>
      <c r="G54" s="38"/>
      <c r="H54" s="38"/>
      <c r="I54" s="15"/>
    </row>
    <row r="55" spans="4:9" x14ac:dyDescent="0.25">
      <c r="E55" s="12" t="s">
        <v>76</v>
      </c>
      <c r="F55" s="18" t="s">
        <v>74</v>
      </c>
      <c r="G55" s="38"/>
      <c r="H55" s="38"/>
      <c r="I55" s="15"/>
    </row>
    <row r="56" spans="4:9" x14ac:dyDescent="0.25">
      <c r="D56" s="29"/>
      <c r="E56" t="s">
        <v>61</v>
      </c>
      <c r="F56" s="19">
        <f>(K26*86400)/60</f>
        <v>10.792426957946732</v>
      </c>
      <c r="G56" s="37">
        <v>5</v>
      </c>
      <c r="H56" s="38">
        <f t="shared" si="0"/>
        <v>1</v>
      </c>
      <c r="I56" s="34">
        <f t="shared" si="1"/>
        <v>10.792426957946732</v>
      </c>
    </row>
    <row r="57" spans="4:9" x14ac:dyDescent="0.25">
      <c r="D57" s="29"/>
      <c r="E57" t="s">
        <v>62</v>
      </c>
      <c r="F57" s="19">
        <f>(K27*86400)/60</f>
        <v>6.2333660236369663</v>
      </c>
      <c r="G57" s="37">
        <v>5</v>
      </c>
      <c r="H57" s="38">
        <f t="shared" si="0"/>
        <v>1</v>
      </c>
      <c r="I57" s="34">
        <f t="shared" si="1"/>
        <v>6.2333660236369663</v>
      </c>
    </row>
    <row r="58" spans="4:9" x14ac:dyDescent="0.25">
      <c r="D58" s="29"/>
      <c r="E58" t="s">
        <v>63</v>
      </c>
      <c r="F58" s="19">
        <f>(K28*86400)/60</f>
        <v>62.87777410585317</v>
      </c>
      <c r="G58" s="37">
        <v>5</v>
      </c>
      <c r="H58" s="38">
        <f t="shared" si="0"/>
        <v>1</v>
      </c>
      <c r="I58" s="34">
        <f t="shared" si="1"/>
        <v>62.87777410585317</v>
      </c>
    </row>
    <row r="59" spans="4:9" x14ac:dyDescent="0.25">
      <c r="D59" s="29"/>
      <c r="E59" t="s">
        <v>64</v>
      </c>
      <c r="F59" s="19">
        <f>(K29*86400)/60</f>
        <v>7.5855972793535331</v>
      </c>
      <c r="G59" s="37">
        <v>5</v>
      </c>
      <c r="H59" s="38">
        <f t="shared" si="0"/>
        <v>1</v>
      </c>
      <c r="I59" s="34">
        <f t="shared" si="1"/>
        <v>7.5855972793535331</v>
      </c>
    </row>
    <row r="60" spans="4:9" x14ac:dyDescent="0.25">
      <c r="D60" s="29"/>
      <c r="E60" s="16" t="s">
        <v>65</v>
      </c>
      <c r="F60" s="20">
        <f>(K30*86400)/60</f>
        <v>2.9344742350563502</v>
      </c>
      <c r="G60" s="37">
        <v>5</v>
      </c>
      <c r="H60" s="38">
        <f t="shared" si="0"/>
        <v>1</v>
      </c>
      <c r="I60" s="35">
        <f t="shared" si="1"/>
        <v>2.9344742350563502</v>
      </c>
    </row>
    <row r="61" spans="4:9" x14ac:dyDescent="0.25">
      <c r="E61" s="17" t="s">
        <v>75</v>
      </c>
      <c r="F61" s="21">
        <f>SUM(F56:F60)</f>
        <v>90.423638601846761</v>
      </c>
      <c r="G61" s="4"/>
      <c r="I61" s="33">
        <f>SUM(I56:I60)</f>
        <v>90.423638601846761</v>
      </c>
    </row>
    <row r="62" spans="4:9" x14ac:dyDescent="0.25">
      <c r="F62" s="15"/>
      <c r="I62" s="15"/>
    </row>
    <row r="63" spans="4:9" x14ac:dyDescent="0.25">
      <c r="F63" s="15"/>
      <c r="I63" s="15"/>
    </row>
    <row r="64" spans="4:9" x14ac:dyDescent="0.25">
      <c r="D64" s="32"/>
      <c r="E64" s="17" t="s">
        <v>77</v>
      </c>
      <c r="F64" s="21">
        <f>I52+SUM(I56:I59)</f>
        <v>15371.267773173793</v>
      </c>
      <c r="H64" s="41" t="s">
        <v>80</v>
      </c>
      <c r="I64" s="42">
        <f>I39+I52+I61</f>
        <v>15385.796596050761</v>
      </c>
    </row>
    <row r="65" spans="4:6" x14ac:dyDescent="0.25">
      <c r="F65" s="15"/>
    </row>
    <row r="66" spans="4:6" x14ac:dyDescent="0.25">
      <c r="D66" s="44"/>
      <c r="E66" s="17" t="s">
        <v>85</v>
      </c>
      <c r="F66" s="33">
        <f>I52+I61</f>
        <v>15374.20224740885</v>
      </c>
    </row>
    <row r="67" spans="4:6" x14ac:dyDescent="0.25">
      <c r="F67" s="15"/>
    </row>
    <row r="68" spans="4:6" x14ac:dyDescent="0.25">
      <c r="F68" s="15"/>
    </row>
    <row r="69" spans="4:6" x14ac:dyDescent="0.25">
      <c r="F69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2025-05-10T03:17:38Z</dcterms:created>
  <dcterms:modified xsi:type="dcterms:W3CDTF">2025-06-03T04:45:54Z</dcterms:modified>
</cp:coreProperties>
</file>