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FAF3CA6F-4614-4569-BFA2-978027B63DAB}" xr6:coauthVersionLast="47" xr6:coauthVersionMax="47" xr10:uidLastSave="{00000000-0000-0000-0000-000000000000}"/>
  <bookViews>
    <workbookView xWindow="-120" yWindow="-120" windowWidth="51840" windowHeight="21120" activeTab="2" xr2:uid="{05AE245F-91C4-438D-8F0C-FE34BF43B740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H48" i="3"/>
  <c r="H36" i="3"/>
  <c r="I64" i="3"/>
  <c r="H60" i="3"/>
  <c r="H59" i="3"/>
  <c r="I59" i="3" s="1"/>
  <c r="H58" i="3"/>
  <c r="I58" i="3" s="1"/>
  <c r="H57" i="3"/>
  <c r="H56" i="3"/>
  <c r="H51" i="3"/>
  <c r="H50" i="3"/>
  <c r="H49" i="3"/>
  <c r="I48" i="3"/>
  <c r="H47" i="3"/>
  <c r="H46" i="3"/>
  <c r="I46" i="3" s="1"/>
  <c r="H45" i="3"/>
  <c r="H44" i="3"/>
  <c r="H43" i="3"/>
  <c r="H38" i="3"/>
  <c r="H37" i="3"/>
  <c r="I36" i="3"/>
  <c r="I60" i="3"/>
  <c r="I57" i="3"/>
  <c r="I56" i="3"/>
  <c r="I51" i="3"/>
  <c r="I50" i="3"/>
  <c r="I49" i="3"/>
  <c r="I47" i="3"/>
  <c r="I45" i="3"/>
  <c r="I44" i="3"/>
  <c r="I43" i="3"/>
  <c r="I38" i="3"/>
  <c r="I37" i="3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61" i="3" l="1"/>
  <c r="I39" i="3"/>
  <c r="I52" i="3"/>
  <c r="F61" i="3"/>
  <c r="F39" i="3"/>
  <c r="F52" i="3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<sst xmlns="http://schemas.openxmlformats.org/spreadsheetml/2006/main" count="305" uniqueCount="84">
  <si>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</si>
  <si>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</si>
  <si>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</si>
  <si>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</si>
  <si>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</si>
  <si>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</si>
  <si>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</si>
  <si>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</si>
  <si>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</si>
  <si>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</si>
  <si>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</si>
  <si>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</si>
  <si>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</si>
  <si>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</si>
  <si>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</si>
  <si>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</si>
  <si>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</si>
  <si>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</si>
  <si>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</si>
  <si>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</si>
  <si>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</si>
  <si>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</si>
  <si>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</si>
  <si>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</si>
  <si>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</si>
  <si>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</si>
  <si>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</si>
  <si>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</si>
  <si>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</si>
  <si>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</si>
  <si>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</si>
  <si>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</si>
  <si>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</si>
  <si>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</si>
  <si>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</si>
  <si>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</si>
  <si>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</si>
  <si>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</si>
  <si>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</si>
  <si>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</si>
  <si>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</si>
  <si>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</si>
  <si>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</si>
  <si>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</si>
  <si>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</si>
  <si>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</si>
  <si>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</si>
  <si>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</si>
  <si>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</si>
  <si>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</si>
  <si>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</si>
  <si>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</si>
  <si>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</si>
  <si>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</si>
  <si>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</si>
  <si>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</si>
  <si>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</si>
  <si>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</si>
  <si>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</si>
  <si>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</si>
  <si>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</si>
  <si>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</si>
  <si>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</si>
  <si>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</si>
  <si>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</si>
  <si>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</si>
  <si>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</si>
  <si>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</si>
  <si>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</si>
  <si>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</si>
  <si>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11</t>
  </si>
  <si>
    <t>Satellite Contact Window Requirement</t>
  </si>
  <si>
    <t>Mean (Minutes)</t>
  </si>
  <si>
    <t>Image Processing and Analysis</t>
  </si>
  <si>
    <t>Group 3 - Task Name</t>
  </si>
  <si>
    <t>(minutes)</t>
  </si>
  <si>
    <t># of Simulations</t>
  </si>
  <si>
    <t># of Repetitions</t>
  </si>
  <si>
    <t>Sum of Mean (Minutes)</t>
  </si>
  <si>
    <t>Total Sim. Time</t>
  </si>
  <si>
    <t>Analytical Tasks Requiring Accuracy - Mean (Minutes)</t>
  </si>
  <si>
    <t>Group 1 - Task Name</t>
  </si>
  <si>
    <t>Group 2 - Task Name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</si>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</sst>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ill="1"/>
    <xf numFmtId="167" fontId="0" fillId="0" borderId="0" xfId="0" applyNumberFormat="1"/>
    <xf numFmtId="167" fontId="1" fillId="0" borderId="0" xfId="0" applyNumberFormat="1" applyFont="1"/>
    <xf numFmtId="167" fontId="1" fillId="5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5" borderId="0" xfId="0" applyNumberFormat="1" applyFont="1" applyFill="1"/>
    <xf numFmtId="1" fontId="0" fillId="0" borderId="0" xfId="0" applyNumberFormat="1"/>
    <xf numFmtId="167" fontId="0" fillId="0" borderId="1" xfId="0" applyNumberFormat="1" applyBorder="1"/>
    <xf numFmtId="167" fontId="4" fillId="0" borderId="0" xfId="0" applyNumberFormat="1" applyFont="1"/>
    <xf numFmtId="0" fontId="0" fillId="6" borderId="0" xfId="0" applyFill="1"/>
    <xf numFmtId="167" fontId="0" fillId="5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2FDBE-EA87-7A0C-082D-955B7F4E12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790565-E976-632F-778A-F351CB1590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62EC9-CFD1-4420-BF87-27260B9A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0764-A1E5-49E4-8478-6F2F00A2C2F8}">
  <dimension ref="A1:E30"/>
  <sheetViews>
    <sheetView workbookViewId="0">
      <selection activeCell="B9" sqref="B9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5.7109375" customWidth="1"/>
  </cols>
  <sheetData>
    <row r="1" spans="1:5" x14ac:dyDescent="0.25">
      <c r="A1" s="44"/>
    </row>
    <row r="2" spans="1:5" ht="18.75" x14ac:dyDescent="0.3">
      <c r="A2" s="44"/>
      <c r="B2" s="6" t="s">
        <v>16</v>
      </c>
    </row>
    <row r="3" spans="1:5" ht="17.25" x14ac:dyDescent="0.3">
      <c r="A3" s="44"/>
      <c r="B3" s="7" t="s">
        <v>17</v>
      </c>
    </row>
    <row r="4" spans="1:5" x14ac:dyDescent="0.25">
      <c r="A4" s="44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40018</v>
      </c>
    </row>
    <row r="10" spans="1:5" x14ac:dyDescent="0.25">
      <c r="A10" s="5" t="s">
        <v>21</v>
      </c>
      <c r="B10" s="8">
        <v>127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7865.97362428945 / 86400</f>
        <v>9.1041361392239006E-2</v>
      </c>
    </row>
    <row r="15" spans="1:5" x14ac:dyDescent="0.25">
      <c r="B15" s="1" t="s">
        <v>2</v>
      </c>
      <c r="C15" s="2">
        <f xml:space="preserve"> 17349.2487050812 / 86400</f>
        <v>0.20080148964214353</v>
      </c>
    </row>
    <row r="16" spans="1:5" x14ac:dyDescent="0.25">
      <c r="B16" s="35" t="s">
        <v>3</v>
      </c>
      <c r="C16" s="36">
        <f xml:space="preserve"> 12274.9617702942 / 86400</f>
        <v>0.1420713167858125</v>
      </c>
      <c r="D16" s="33">
        <f>(C16*86400)/60</f>
        <v>204.58269617157001</v>
      </c>
      <c r="E16" s="34" t="s">
        <v>75</v>
      </c>
    </row>
    <row r="17" spans="2:3" x14ac:dyDescent="0.25">
      <c r="B17" s="1" t="s">
        <v>4</v>
      </c>
      <c r="C17" s="2">
        <f xml:space="preserve"> 1762.60932140103 / 86400</f>
        <v>2.0400570849548959E-2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FC18-6BB1-4552-A930-A5A5EC3978FF}">
  <dimension ref="A1:X40"/>
  <sheetViews>
    <sheetView workbookViewId="0">
      <selection activeCell="F40" sqref="F40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4"/>
    </row>
    <row r="2" spans="1:24" ht="18.75" x14ac:dyDescent="0.3">
      <c r="A2" s="44"/>
      <c r="B2" s="6" t="s">
        <v>16</v>
      </c>
    </row>
    <row r="3" spans="1:24" ht="17.25" x14ac:dyDescent="0.3">
      <c r="A3" s="44"/>
      <c r="B3" s="7" t="s">
        <v>66</v>
      </c>
    </row>
    <row r="4" spans="1:24" x14ac:dyDescent="0.25">
      <c r="A4" s="44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40018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  <c r="M11" s="46"/>
      <c r="N11" s="49" t="s">
        <v>26</v>
      </c>
      <c r="P11" s="45" t="s">
        <v>27</v>
      </c>
      <c r="Q11" s="46"/>
      <c r="R11" s="46"/>
      <c r="S11" s="46"/>
      <c r="T11" s="49" t="s">
        <v>28</v>
      </c>
      <c r="V11" s="45" t="s">
        <v>29</v>
      </c>
      <c r="W11" s="46"/>
      <c r="X11" s="46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50"/>
      <c r="P12" s="12" t="s">
        <v>38</v>
      </c>
      <c r="Q12" s="12" t="s">
        <v>39</v>
      </c>
      <c r="R12" s="12" t="s">
        <v>40</v>
      </c>
      <c r="S12" s="12" t="s">
        <v>37</v>
      </c>
      <c r="T12" s="50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127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127</v>
      </c>
      <c r="H14" s="9"/>
      <c r="I14" s="2">
        <f xml:space="preserve"> 90.1795182624736 / 86400</f>
        <v>1.0437444243341851E-3</v>
      </c>
      <c r="J14" s="2">
        <f xml:space="preserve"> 290.678495710566 / 86400</f>
        <v>3.3643344410945139E-3</v>
      </c>
      <c r="K14" s="2">
        <f xml:space="preserve"> 187.210099379447 / 86400</f>
        <v>2.1667835576324886E-3</v>
      </c>
      <c r="L14" s="2">
        <f xml:space="preserve"> 42.1209219965053 / 86400</f>
        <v>4.875106712558484E-4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127</v>
      </c>
      <c r="H15" s="9"/>
      <c r="I15" s="2">
        <f xml:space="preserve"> 4.13281722559199 / 86400</f>
        <v>4.7833532703610994E-5</v>
      </c>
      <c r="J15" s="2">
        <f xml:space="preserve"> 27.03068604182 / 86400</f>
        <v>3.1285516252106482E-4</v>
      </c>
      <c r="K15" s="2">
        <f xml:space="preserve"> 15.0688339835537 / 86400</f>
        <v>1.7440780073557524E-4</v>
      </c>
      <c r="L15" s="2">
        <f xml:space="preserve"> 4.55103448033658 / 86400</f>
        <v>5.2674010189080785E-5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127</v>
      </c>
      <c r="H16" s="9"/>
      <c r="I16" s="2">
        <f xml:space="preserve"> 12.750952458876 / 86400</f>
        <v>1.4758046827402778E-4</v>
      </c>
      <c r="J16" s="2">
        <f xml:space="preserve"> 38.375963483968 / 86400</f>
        <v>4.441662440274074E-4</v>
      </c>
      <c r="K16" s="2">
        <f xml:space="preserve"> 25.5980340610394 / 86400</f>
        <v>2.9627354237314119E-4</v>
      </c>
      <c r="L16" s="2">
        <f xml:space="preserve"> 7.54750167766837 / 86400</f>
        <v>8.7355343491532058E-5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127</v>
      </c>
      <c r="H17" s="9"/>
      <c r="I17" s="2">
        <f xml:space="preserve"> 79.076306217826 / 86400</f>
        <v>9.1523502566928237E-4</v>
      </c>
      <c r="J17" s="2">
        <f xml:space="preserve"> 358.594434581085 / 86400</f>
        <v>4.150398548392188E-3</v>
      </c>
      <c r="K17" s="2">
        <f xml:space="preserve"> 190.916708406302 / 86400</f>
        <v>2.2096841250729398E-3</v>
      </c>
      <c r="L17" s="2">
        <f xml:space="preserve"> 68.6738173777218 / 86400</f>
        <v>7.9483584927918759E-4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127</v>
      </c>
      <c r="H18" s="9"/>
      <c r="I18" s="2">
        <f xml:space="preserve"> 11.653079226917 / 86400</f>
        <v>1.3487360216339121E-4</v>
      </c>
      <c r="J18" s="2">
        <f xml:space="preserve"> 123.456654637333 / 86400</f>
        <v>1.4288964657098728E-3</v>
      </c>
      <c r="K18" s="2">
        <f xml:space="preserve"> 73.8468696732447 / 86400</f>
        <v>8.5470913973662846E-4</v>
      </c>
      <c r="L18" s="2">
        <f xml:space="preserve"> 21.3618446712063 / 86400</f>
        <v>2.4724357258340622E-4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127</v>
      </c>
      <c r="H19" s="9"/>
      <c r="I19" s="2">
        <f xml:space="preserve"> 26.979323519384 / 86400</f>
        <v>3.1226068888175928E-4</v>
      </c>
      <c r="J19" s="2">
        <f xml:space="preserve"> 73.606108012891 / 86400</f>
        <v>8.5192254644549765E-4</v>
      </c>
      <c r="K19" s="2">
        <f xml:space="preserve"> 49.1516998876445 / 86400</f>
        <v>5.6888541536625581E-4</v>
      </c>
      <c r="L19" s="2">
        <f xml:space="preserve"> 9.74815784337677 / 86400</f>
        <v>1.1282590096500892E-4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127</v>
      </c>
      <c r="H20" s="9"/>
      <c r="I20" s="2">
        <f xml:space="preserve"> 43.871514189463 / 86400</f>
        <v>5.0777215497063656E-4</v>
      </c>
      <c r="J20" s="2">
        <f xml:space="preserve"> 92.083344602531 / 86400</f>
        <v>1.0657794514181828E-3</v>
      </c>
      <c r="K20" s="2">
        <f xml:space="preserve"> 69.6500393891229 / 86400</f>
        <v>8.0613471515188532E-4</v>
      </c>
      <c r="L20" s="2">
        <f xml:space="preserve"> 9.97539432019798 / 86400</f>
        <v>1.1545595278006921E-4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127</v>
      </c>
      <c r="H21" s="9"/>
      <c r="I21" s="2">
        <f xml:space="preserve"> 719.577192142153 / 86400</f>
        <v>8.3284397238675111E-3</v>
      </c>
      <c r="J21" s="2">
        <f xml:space="preserve"> 8822.8637072726 / 86400</f>
        <v>0.10211647809343287</v>
      </c>
      <c r="K21" s="2">
        <f xml:space="preserve"> 4100.32792460955 / 86400</f>
        <v>4.7457499127425348E-2</v>
      </c>
      <c r="L21" s="2">
        <f xml:space="preserve"> 1520.66054377423 / 86400</f>
        <v>1.7600237775164701E-2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20</v>
      </c>
      <c r="H22" s="9"/>
      <c r="I22" s="2">
        <f xml:space="preserve"> 672.64960531873 / 86400</f>
        <v>7.785296357855671E-3</v>
      </c>
      <c r="J22" s="2">
        <f xml:space="preserve"> 2703.00520742246 / 86400</f>
        <v>3.1284782493315511E-2</v>
      </c>
      <c r="K22" s="2">
        <f xml:space="preserve"> 1385.42042002155 / 86400</f>
        <v>1.6034958565064237E-2</v>
      </c>
      <c r="L22" s="2">
        <f xml:space="preserve"> 548.255212591475 / 86400</f>
        <v>6.345546442030961E-3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127</v>
      </c>
      <c r="H23" s="9"/>
      <c r="I23" s="2">
        <f xml:space="preserve"> 664.09562042964 / 86400</f>
        <v>7.6862919031208338E-3</v>
      </c>
      <c r="J23" s="2">
        <f xml:space="preserve"> 1630.09543230441 / 86400</f>
        <v>1.8866845281301042E-2</v>
      </c>
      <c r="K23" s="2">
        <f xml:space="preserve"> 1037.12037427876 / 86400</f>
        <v>1.2003708035633796E-2</v>
      </c>
      <c r="L23" s="2">
        <f xml:space="preserve"> 232.384423340085 / 86400</f>
        <v>2.6896345293991319E-3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127</v>
      </c>
      <c r="H24" s="9"/>
      <c r="I24" s="2">
        <f xml:space="preserve"> 8.0089983623493 / 86400</f>
        <v>9.2696740304968757E-5</v>
      </c>
      <c r="J24" s="2">
        <f xml:space="preserve"> 21.9681224385095 / 86400</f>
        <v>2.5426067637163776E-4</v>
      </c>
      <c r="K24" s="2">
        <f xml:space="preserve"> 14.9901332754316 / 86400</f>
        <v>1.7349691291008795E-4</v>
      </c>
      <c r="L24" s="2">
        <f xml:space="preserve"> 4.12483289756647 / 86400</f>
        <v>4.7741121499611915E-5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127</v>
      </c>
      <c r="H25" s="9"/>
      <c r="I25" s="2">
        <f xml:space="preserve"> 132.32709026681 / 86400</f>
        <v>1.5315635447547453E-3</v>
      </c>
      <c r="J25" s="2">
        <f xml:space="preserve"> 1211.16457043586 / 86400</f>
        <v>1.4018108454118751E-2</v>
      </c>
      <c r="K25" s="2">
        <f xml:space="preserve"> 545.88662423743 / 86400</f>
        <v>6.3181322249702548E-3</v>
      </c>
      <c r="L25" s="2">
        <f xml:space="preserve"> 255.536189051429 / 86400</f>
        <v>2.9575947806878356E-3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127</v>
      </c>
      <c r="H26" s="9"/>
      <c r="I26" s="2">
        <f xml:space="preserve"> 343.510601263731 / 86400</f>
        <v>3.9758171442561456E-3</v>
      </c>
      <c r="J26" s="2">
        <f xml:space="preserve"> 888.42543150178 / 86400</f>
        <v>1.0282701753492825E-2</v>
      </c>
      <c r="K26" s="2">
        <f xml:space="preserve"> 578.92778644961 / 86400</f>
        <v>6.7005530839075239E-3</v>
      </c>
      <c r="L26" s="2">
        <f xml:space="preserve"> 107.297910135533 / 86400</f>
        <v>1.2418739599020024E-3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127</v>
      </c>
      <c r="H27" s="9"/>
      <c r="I27" s="2">
        <f xml:space="preserve"> 260.483179509401 / 86400</f>
        <v>3.0148516146921412E-3</v>
      </c>
      <c r="J27" s="2">
        <f xml:space="preserve"> 704.5535107048 / 86400</f>
        <v>8.1545545220462964E-3</v>
      </c>
      <c r="K27" s="2">
        <f xml:space="preserve"> 403.646517469448 / 86400</f>
        <v>4.6718346929334256E-3</v>
      </c>
      <c r="L27" s="2">
        <f xml:space="preserve"> 66.1344865791227 / 86400</f>
        <v>7.6544544651762378E-4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127</v>
      </c>
      <c r="H28" s="9"/>
      <c r="I28" s="2">
        <f xml:space="preserve"> 3081.2646628401 / 86400</f>
        <v>3.5662785449538194E-2</v>
      </c>
      <c r="J28" s="2">
        <f xml:space="preserve"> 5002.2643864687 / 86400</f>
        <v>5.7896578547091432E-2</v>
      </c>
      <c r="K28" s="2">
        <f xml:space="preserve"> 4123.42190808039 / 86400</f>
        <v>4.7724790602782285E-2</v>
      </c>
      <c r="L28" s="2">
        <f xml:space="preserve"> 422.905319128099 / 86400</f>
        <v>4.8947374899085535E-3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127</v>
      </c>
      <c r="H29" s="9"/>
      <c r="I29" s="2">
        <f xml:space="preserve"> 327.6829829327 / 86400</f>
        <v>3.7926271172766201E-3</v>
      </c>
      <c r="J29" s="2">
        <f xml:space="preserve"> 621.556533975321 / 86400</f>
        <v>7.1939413654551043E-3</v>
      </c>
      <c r="K29" s="2">
        <f xml:space="preserve"> 463.378688052749 / 86400</f>
        <v>5.3631792598697802E-3</v>
      </c>
      <c r="L29" s="2">
        <f xml:space="preserve"> 52.8719058807498 / 86400</f>
        <v>6.1194335510127086E-4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127</v>
      </c>
      <c r="H30" s="9"/>
      <c r="I30" s="2">
        <f xml:space="preserve"> 85.8370156892797 / 86400</f>
        <v>9.9348397788518177E-4</v>
      </c>
      <c r="J30" s="2">
        <f xml:space="preserve"> 265.9507892123 / 86400</f>
        <v>3.0781341344016202E-3</v>
      </c>
      <c r="K30" s="2">
        <f xml:space="preserve"> 177.643084962611 / 86400</f>
        <v>2.056054224104294E-3</v>
      </c>
      <c r="L30" s="2">
        <f xml:space="preserve"> 38.6904320694738 / 86400</f>
        <v>4.4780592673002086E-4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127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454C-23A8-4F18-A464-D18718A6599B}">
  <dimension ref="A1:L70"/>
  <sheetViews>
    <sheetView tabSelected="1" topLeftCell="A7" workbookViewId="0">
      <selection activeCell="M42" sqref="M42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.28515625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4"/>
    </row>
    <row r="2" spans="1:12" ht="18.75" x14ac:dyDescent="0.3">
      <c r="A2" s="44"/>
      <c r="B2" s="6" t="s">
        <v>16</v>
      </c>
    </row>
    <row r="3" spans="1:12" ht="17.25" x14ac:dyDescent="0.3">
      <c r="A3" s="44"/>
      <c r="B3" s="7" t="s">
        <v>66</v>
      </c>
    </row>
    <row r="4" spans="1:12" x14ac:dyDescent="0.25">
      <c r="A4" s="44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40018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127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127</v>
      </c>
      <c r="H14" s="9"/>
      <c r="I14" s="2">
        <f xml:space="preserve"> 90.1795182624736 / 86400</f>
        <v>1.0437444243341851E-3</v>
      </c>
      <c r="J14" s="2">
        <f xml:space="preserve"> 290.678495710566 / 86400</f>
        <v>3.3643344410945139E-3</v>
      </c>
      <c r="K14" s="27">
        <f xml:space="preserve"> 187.210099379447 / 86400</f>
        <v>2.1667835576324886E-3</v>
      </c>
      <c r="L14" s="2">
        <f xml:space="preserve"> 42.1209219965053 / 86400</f>
        <v>4.875106712558484E-4</v>
      </c>
    </row>
    <row r="15" spans="1:12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127</v>
      </c>
      <c r="H15" s="9"/>
      <c r="I15" s="2">
        <f xml:space="preserve"> 4.13281722559199 / 86400</f>
        <v>4.7833532703610994E-5</v>
      </c>
      <c r="J15" s="2">
        <f xml:space="preserve"> 27.03068604182 / 86400</f>
        <v>3.1285516252106482E-4</v>
      </c>
      <c r="K15" s="27">
        <f xml:space="preserve"> 15.0688339835537 / 86400</f>
        <v>1.7440780073557524E-4</v>
      </c>
      <c r="L15" s="2">
        <f xml:space="preserve"> 4.55103448033658 / 86400</f>
        <v>5.2674010189080785E-5</v>
      </c>
    </row>
    <row r="16" spans="1:12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127</v>
      </c>
      <c r="H16" s="9"/>
      <c r="I16" s="2">
        <f xml:space="preserve"> 12.750952458876 / 86400</f>
        <v>1.4758046827402778E-4</v>
      </c>
      <c r="J16" s="2">
        <f xml:space="preserve"> 38.375963483968 / 86400</f>
        <v>4.441662440274074E-4</v>
      </c>
      <c r="K16" s="27">
        <f xml:space="preserve"> 25.5980340610394 / 86400</f>
        <v>2.9627354237314119E-4</v>
      </c>
      <c r="L16" s="2">
        <f xml:space="preserve"> 7.54750167766837 / 86400</f>
        <v>8.7355343491532058E-5</v>
      </c>
    </row>
    <row r="17" spans="2:12" x14ac:dyDescent="0.25">
      <c r="B17" s="4" t="s">
        <v>43</v>
      </c>
      <c r="C17" s="9" t="s">
        <v>44</v>
      </c>
      <c r="D17" s="4">
        <v>4</v>
      </c>
      <c r="E17" s="24" t="s">
        <v>51</v>
      </c>
      <c r="F17" s="9" t="s">
        <v>46</v>
      </c>
      <c r="G17" s="4">
        <v>127</v>
      </c>
      <c r="H17" s="9"/>
      <c r="I17" s="2">
        <f xml:space="preserve"> 79.076306217826 / 86400</f>
        <v>9.1523502566928237E-4</v>
      </c>
      <c r="J17" s="2">
        <f xml:space="preserve"> 358.594434581085 / 86400</f>
        <v>4.150398548392188E-3</v>
      </c>
      <c r="K17" s="25">
        <f xml:space="preserve"> 190.916708406302 / 86400</f>
        <v>2.2096841250729398E-3</v>
      </c>
      <c r="L17" s="2">
        <f xml:space="preserve"> 68.6738173777218 / 86400</f>
        <v>7.9483584927918759E-4</v>
      </c>
    </row>
    <row r="18" spans="2:12" x14ac:dyDescent="0.25">
      <c r="B18" s="4" t="s">
        <v>43</v>
      </c>
      <c r="C18" s="9" t="s">
        <v>44</v>
      </c>
      <c r="D18" s="4">
        <v>5</v>
      </c>
      <c r="E18" s="24" t="s">
        <v>52</v>
      </c>
      <c r="F18" s="9" t="s">
        <v>46</v>
      </c>
      <c r="G18" s="4">
        <v>127</v>
      </c>
      <c r="H18" s="9"/>
      <c r="I18" s="2">
        <f xml:space="preserve"> 11.653079226917 / 86400</f>
        <v>1.3487360216339121E-4</v>
      </c>
      <c r="J18" s="2">
        <f xml:space="preserve"> 123.456654637333 / 86400</f>
        <v>1.4288964657098728E-3</v>
      </c>
      <c r="K18" s="25">
        <f xml:space="preserve"> 73.8468696732447 / 86400</f>
        <v>8.5470913973662846E-4</v>
      </c>
      <c r="L18" s="2">
        <f xml:space="preserve"> 21.3618446712063 / 86400</f>
        <v>2.4724357258340622E-4</v>
      </c>
    </row>
    <row r="19" spans="2:12" x14ac:dyDescent="0.25">
      <c r="B19" s="4" t="s">
        <v>43</v>
      </c>
      <c r="C19" s="9" t="s">
        <v>44</v>
      </c>
      <c r="D19" s="4">
        <v>6</v>
      </c>
      <c r="E19" s="24" t="s">
        <v>53</v>
      </c>
      <c r="F19" s="9" t="s">
        <v>46</v>
      </c>
      <c r="G19" s="4">
        <v>127</v>
      </c>
      <c r="H19" s="9"/>
      <c r="I19" s="2">
        <f xml:space="preserve"> 26.979323519384 / 86400</f>
        <v>3.1226068888175928E-4</v>
      </c>
      <c r="J19" s="2">
        <f xml:space="preserve"> 73.606108012891 / 86400</f>
        <v>8.5192254644549765E-4</v>
      </c>
      <c r="K19" s="25">
        <f xml:space="preserve"> 49.1516998876445 / 86400</f>
        <v>5.6888541536625581E-4</v>
      </c>
      <c r="L19" s="2">
        <f xml:space="preserve"> 9.74815784337677 / 86400</f>
        <v>1.1282590096500892E-4</v>
      </c>
    </row>
    <row r="20" spans="2:12" x14ac:dyDescent="0.25">
      <c r="B20" s="4" t="s">
        <v>43</v>
      </c>
      <c r="C20" s="9" t="s">
        <v>44</v>
      </c>
      <c r="D20" s="4">
        <v>7</v>
      </c>
      <c r="E20" s="24" t="s">
        <v>54</v>
      </c>
      <c r="F20" s="9" t="s">
        <v>46</v>
      </c>
      <c r="G20" s="4">
        <v>127</v>
      </c>
      <c r="H20" s="9"/>
      <c r="I20" s="2">
        <f xml:space="preserve"> 43.871514189463 / 86400</f>
        <v>5.0777215497063656E-4</v>
      </c>
      <c r="J20" s="2">
        <f xml:space="preserve"> 92.083344602531 / 86400</f>
        <v>1.0657794514181828E-3</v>
      </c>
      <c r="K20" s="25">
        <f xml:space="preserve"> 69.6500393891229 / 86400</f>
        <v>8.0613471515188532E-4</v>
      </c>
      <c r="L20" s="2">
        <f xml:space="preserve"> 9.97539432019798 / 86400</f>
        <v>1.1545595278006921E-4</v>
      </c>
    </row>
    <row r="21" spans="2:12" x14ac:dyDescent="0.25">
      <c r="B21" s="4" t="s">
        <v>43</v>
      </c>
      <c r="C21" s="9" t="s">
        <v>44</v>
      </c>
      <c r="D21" s="4">
        <v>8</v>
      </c>
      <c r="E21" s="24" t="s">
        <v>55</v>
      </c>
      <c r="F21" s="9" t="s">
        <v>46</v>
      </c>
      <c r="G21" s="4">
        <v>127</v>
      </c>
      <c r="H21" s="9"/>
      <c r="I21" s="2">
        <f xml:space="preserve"> 719.577192142153 / 86400</f>
        <v>8.3284397238675111E-3</v>
      </c>
      <c r="J21" s="2">
        <f xml:space="preserve"> 8822.8637072726 / 86400</f>
        <v>0.10211647809343287</v>
      </c>
      <c r="K21" s="25">
        <f xml:space="preserve"> 4100.32792460955 / 86400</f>
        <v>4.7457499127425348E-2</v>
      </c>
      <c r="L21" s="2">
        <f xml:space="preserve"> 1520.66054377423 / 86400</f>
        <v>1.7600237775164701E-2</v>
      </c>
    </row>
    <row r="22" spans="2:12" x14ac:dyDescent="0.25">
      <c r="B22" s="4" t="s">
        <v>43</v>
      </c>
      <c r="C22" s="9" t="s">
        <v>44</v>
      </c>
      <c r="D22" s="4">
        <v>9</v>
      </c>
      <c r="E22" s="24" t="s">
        <v>56</v>
      </c>
      <c r="F22" s="9" t="s">
        <v>46</v>
      </c>
      <c r="G22" s="4">
        <v>20</v>
      </c>
      <c r="H22" s="9"/>
      <c r="I22" s="2">
        <f xml:space="preserve"> 672.64960531873 / 86400</f>
        <v>7.785296357855671E-3</v>
      </c>
      <c r="J22" s="2">
        <f xml:space="preserve"> 2703.00520742246 / 86400</f>
        <v>3.1284782493315511E-2</v>
      </c>
      <c r="K22" s="25">
        <f xml:space="preserve"> 1385.42042002155 / 86400</f>
        <v>1.6034958565064237E-2</v>
      </c>
      <c r="L22" s="2">
        <f xml:space="preserve"> 548.255212591475 / 86400</f>
        <v>6.345546442030961E-3</v>
      </c>
    </row>
    <row r="23" spans="2:12" x14ac:dyDescent="0.25">
      <c r="B23" s="4" t="s">
        <v>43</v>
      </c>
      <c r="C23" s="9" t="s">
        <v>44</v>
      </c>
      <c r="D23" s="4">
        <v>10</v>
      </c>
      <c r="E23" s="24" t="s">
        <v>57</v>
      </c>
      <c r="F23" s="9" t="s">
        <v>46</v>
      </c>
      <c r="G23" s="4">
        <v>127</v>
      </c>
      <c r="H23" s="9"/>
      <c r="I23" s="2">
        <f xml:space="preserve"> 664.09562042964 / 86400</f>
        <v>7.6862919031208338E-3</v>
      </c>
      <c r="J23" s="2">
        <f xml:space="preserve"> 1630.09543230441 / 86400</f>
        <v>1.8866845281301042E-2</v>
      </c>
      <c r="K23" s="25">
        <f xml:space="preserve"> 1037.12037427876 / 86400</f>
        <v>1.2003708035633796E-2</v>
      </c>
      <c r="L23" s="2">
        <f xml:space="preserve"> 232.384423340085 / 86400</f>
        <v>2.6896345293991319E-3</v>
      </c>
    </row>
    <row r="24" spans="2:12" x14ac:dyDescent="0.25">
      <c r="B24" s="4" t="s">
        <v>43</v>
      </c>
      <c r="C24" s="9" t="s">
        <v>44</v>
      </c>
      <c r="D24" s="4">
        <v>11</v>
      </c>
      <c r="E24" s="24" t="s">
        <v>58</v>
      </c>
      <c r="F24" s="9" t="s">
        <v>46</v>
      </c>
      <c r="G24" s="4">
        <v>127</v>
      </c>
      <c r="H24" s="9"/>
      <c r="I24" s="2">
        <f xml:space="preserve"> 8.0089983623493 / 86400</f>
        <v>9.2696740304968757E-5</v>
      </c>
      <c r="J24" s="2">
        <f xml:space="preserve"> 21.9681224385095 / 86400</f>
        <v>2.5426067637163776E-4</v>
      </c>
      <c r="K24" s="25">
        <f xml:space="preserve"> 14.9901332754316 / 86400</f>
        <v>1.7349691291008795E-4</v>
      </c>
      <c r="L24" s="2">
        <f xml:space="preserve"> 4.12483289756647 / 86400</f>
        <v>4.7741121499611915E-5</v>
      </c>
    </row>
    <row r="25" spans="2:12" x14ac:dyDescent="0.25">
      <c r="B25" s="4" t="s">
        <v>43</v>
      </c>
      <c r="C25" s="9" t="s">
        <v>44</v>
      </c>
      <c r="D25" s="4">
        <v>12</v>
      </c>
      <c r="E25" s="24" t="s">
        <v>59</v>
      </c>
      <c r="F25" s="9" t="s">
        <v>46</v>
      </c>
      <c r="G25" s="4">
        <v>127</v>
      </c>
      <c r="H25" s="9"/>
      <c r="I25" s="2">
        <f xml:space="preserve"> 132.32709026681 / 86400</f>
        <v>1.5315635447547453E-3</v>
      </c>
      <c r="J25" s="2">
        <f xml:space="preserve"> 1211.16457043586 / 86400</f>
        <v>1.4018108454118751E-2</v>
      </c>
      <c r="K25" s="25">
        <f xml:space="preserve"> 545.88662423743 / 86400</f>
        <v>6.3181322249702548E-3</v>
      </c>
      <c r="L25" s="2">
        <f xml:space="preserve"> 255.536189051429 / 86400</f>
        <v>2.9575947806878356E-3</v>
      </c>
    </row>
    <row r="26" spans="2:12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127</v>
      </c>
      <c r="H26" s="9"/>
      <c r="I26" s="2">
        <f xml:space="preserve"> 343.510601263731 / 86400</f>
        <v>3.9758171442561456E-3</v>
      </c>
      <c r="J26" s="2">
        <f xml:space="preserve"> 888.42543150178 / 86400</f>
        <v>1.0282701753492825E-2</v>
      </c>
      <c r="K26" s="23">
        <f xml:space="preserve"> 578.92778644961 / 86400</f>
        <v>6.7005530839075239E-3</v>
      </c>
      <c r="L26" s="2">
        <f xml:space="preserve"> 107.297910135533 / 86400</f>
        <v>1.2418739599020024E-3</v>
      </c>
    </row>
    <row r="27" spans="2:12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127</v>
      </c>
      <c r="H27" s="9"/>
      <c r="I27" s="2">
        <f xml:space="preserve"> 260.483179509401 / 86400</f>
        <v>3.0148516146921412E-3</v>
      </c>
      <c r="J27" s="2">
        <f xml:space="preserve"> 704.5535107048 / 86400</f>
        <v>8.1545545220462964E-3</v>
      </c>
      <c r="K27" s="23">
        <f xml:space="preserve"> 403.646517469448 / 86400</f>
        <v>4.6718346929334256E-3</v>
      </c>
      <c r="L27" s="2">
        <f xml:space="preserve"> 66.1344865791227 / 86400</f>
        <v>7.6544544651762378E-4</v>
      </c>
    </row>
    <row r="28" spans="2:12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127</v>
      </c>
      <c r="H28" s="9"/>
      <c r="I28" s="2">
        <f xml:space="preserve"> 3081.2646628401 / 86400</f>
        <v>3.5662785449538194E-2</v>
      </c>
      <c r="J28" s="2">
        <f xml:space="preserve"> 5002.2643864687 / 86400</f>
        <v>5.7896578547091432E-2</v>
      </c>
      <c r="K28" s="23">
        <f xml:space="preserve"> 4123.42190808039 / 86400</f>
        <v>4.7724790602782285E-2</v>
      </c>
      <c r="L28" s="2">
        <f xml:space="preserve"> 422.905319128099 / 86400</f>
        <v>4.8947374899085535E-3</v>
      </c>
    </row>
    <row r="29" spans="2:12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127</v>
      </c>
      <c r="H29" s="9"/>
      <c r="I29" s="2">
        <f xml:space="preserve"> 327.6829829327 / 86400</f>
        <v>3.7926271172766201E-3</v>
      </c>
      <c r="J29" s="2">
        <f xml:space="preserve"> 621.556533975321 / 86400</f>
        <v>7.1939413654551043E-3</v>
      </c>
      <c r="K29" s="23">
        <f xml:space="preserve"> 463.378688052749 / 86400</f>
        <v>5.3631792598697802E-3</v>
      </c>
      <c r="L29" s="2">
        <f xml:space="preserve"> 52.8719058807498 / 86400</f>
        <v>6.1194335510127086E-4</v>
      </c>
    </row>
    <row r="30" spans="2:12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127</v>
      </c>
      <c r="H30" s="9"/>
      <c r="I30" s="2">
        <f xml:space="preserve"> 85.8370156892797 / 86400</f>
        <v>9.9348397788518177E-4</v>
      </c>
      <c r="J30" s="2">
        <f xml:space="preserve"> 265.9507892123 / 86400</f>
        <v>3.0781341344016202E-3</v>
      </c>
      <c r="K30" s="23">
        <f xml:space="preserve"> 177.643084962611 / 86400</f>
        <v>2.056054224104294E-3</v>
      </c>
      <c r="L30" s="2">
        <f xml:space="preserve"> 38.6904320694738 / 86400</f>
        <v>4.4780592673002086E-4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127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81</v>
      </c>
      <c r="F35" s="17" t="s">
        <v>72</v>
      </c>
      <c r="G35" s="15" t="s">
        <v>76</v>
      </c>
      <c r="H35" s="15" t="s">
        <v>77</v>
      </c>
      <c r="I35" s="37" t="s">
        <v>78</v>
      </c>
      <c r="J35" s="15"/>
      <c r="K35" s="15"/>
      <c r="L35" s="15"/>
    </row>
    <row r="36" spans="4:12" x14ac:dyDescent="0.25">
      <c r="D36" s="28"/>
      <c r="E36" t="s">
        <v>48</v>
      </c>
      <c r="F36" s="19">
        <f>(K14*86400)/60</f>
        <v>3.1201683229907839</v>
      </c>
      <c r="G36" s="4">
        <v>127</v>
      </c>
      <c r="H36" s="39">
        <f>G36/127</f>
        <v>1</v>
      </c>
      <c r="I36" s="31">
        <f>F36*H36</f>
        <v>3.1201683229907839</v>
      </c>
      <c r="J36" s="15"/>
      <c r="K36" s="15"/>
      <c r="L36" s="15"/>
    </row>
    <row r="37" spans="4:12" x14ac:dyDescent="0.25">
      <c r="D37" s="28"/>
      <c r="E37" t="s">
        <v>49</v>
      </c>
      <c r="F37" s="19">
        <f>(K15*86400)/60</f>
        <v>0.25114723305922831</v>
      </c>
      <c r="G37" s="4">
        <v>127</v>
      </c>
      <c r="H37" s="39">
        <f>G37/127</f>
        <v>1</v>
      </c>
      <c r="I37" s="31">
        <f>F37*H37</f>
        <v>0.25114723305922831</v>
      </c>
      <c r="J37" s="15"/>
      <c r="K37" s="15"/>
      <c r="L37" s="15"/>
    </row>
    <row r="38" spans="4:12" x14ac:dyDescent="0.25">
      <c r="D38" s="28"/>
      <c r="E38" s="18" t="s">
        <v>50</v>
      </c>
      <c r="F38" s="20">
        <f>(K16*86400)/60</f>
        <v>0.42663390101732335</v>
      </c>
      <c r="G38" s="4">
        <v>127</v>
      </c>
      <c r="H38" s="39">
        <f>G38/127</f>
        <v>1</v>
      </c>
      <c r="I38" s="43">
        <f>F38*H38</f>
        <v>0.42663390101732335</v>
      </c>
      <c r="J38" s="37" t="s">
        <v>83</v>
      </c>
      <c r="K38" s="15"/>
      <c r="L38" s="15"/>
    </row>
    <row r="39" spans="4:12" x14ac:dyDescent="0.25">
      <c r="E39" s="16" t="s">
        <v>71</v>
      </c>
      <c r="F39" s="21">
        <f>SUM(F36:F38)</f>
        <v>3.7979494570673356</v>
      </c>
      <c r="G39" s="39"/>
      <c r="H39" s="39"/>
      <c r="I39" s="32">
        <f>SUM(I36:I38)</f>
        <v>3.7979494570673356</v>
      </c>
      <c r="J39" s="15"/>
      <c r="K39" s="15"/>
      <c r="L39" s="15"/>
    </row>
    <row r="40" spans="4:12" x14ac:dyDescent="0.25">
      <c r="F40" s="15"/>
      <c r="G40" s="39"/>
      <c r="H40" s="39"/>
      <c r="I40" s="31"/>
      <c r="J40" s="15"/>
      <c r="K40" s="15"/>
      <c r="L40" s="15"/>
    </row>
    <row r="41" spans="4:12" x14ac:dyDescent="0.25">
      <c r="F41" s="15"/>
      <c r="G41" s="39"/>
      <c r="H41" s="39"/>
      <c r="I41" s="31"/>
      <c r="J41" s="15"/>
      <c r="K41" s="15"/>
      <c r="L41" s="15"/>
    </row>
    <row r="42" spans="4:12" x14ac:dyDescent="0.25">
      <c r="E42" s="12" t="s">
        <v>82</v>
      </c>
      <c r="F42" s="17" t="s">
        <v>72</v>
      </c>
      <c r="G42" s="39"/>
      <c r="H42" s="39"/>
      <c r="I42" s="31"/>
      <c r="J42" s="15"/>
      <c r="K42" s="15"/>
      <c r="L42" s="15"/>
    </row>
    <row r="43" spans="4:12" x14ac:dyDescent="0.25">
      <c r="D43" s="29"/>
      <c r="E43" t="s">
        <v>51</v>
      </c>
      <c r="F43" s="19">
        <f t="shared" ref="F43:F49" si="0">(K17*86400)/60</f>
        <v>3.1819451401050336</v>
      </c>
      <c r="G43" s="4">
        <v>127</v>
      </c>
      <c r="H43" s="39">
        <f t="shared" ref="H43:H51" si="1">G43/127</f>
        <v>1</v>
      </c>
      <c r="I43" s="31">
        <f t="shared" ref="I43:I60" si="2">F43*H43</f>
        <v>3.1819451401050336</v>
      </c>
      <c r="J43" s="15"/>
      <c r="K43" s="15"/>
      <c r="L43" s="15"/>
    </row>
    <row r="44" spans="4:12" x14ac:dyDescent="0.25">
      <c r="D44" s="29"/>
      <c r="E44" t="s">
        <v>52</v>
      </c>
      <c r="F44" s="19">
        <f t="shared" si="0"/>
        <v>1.2307811612207449</v>
      </c>
      <c r="G44" s="4">
        <v>127</v>
      </c>
      <c r="H44" s="39">
        <f t="shared" si="1"/>
        <v>1</v>
      </c>
      <c r="I44" s="31">
        <f t="shared" si="2"/>
        <v>1.2307811612207449</v>
      </c>
      <c r="J44" s="15"/>
      <c r="K44" s="15"/>
      <c r="L44" s="15"/>
    </row>
    <row r="45" spans="4:12" x14ac:dyDescent="0.25">
      <c r="D45" s="29"/>
      <c r="E45" t="s">
        <v>53</v>
      </c>
      <c r="F45" s="19">
        <f t="shared" si="0"/>
        <v>0.81919499812740837</v>
      </c>
      <c r="G45" s="4">
        <v>127</v>
      </c>
      <c r="H45" s="39">
        <f t="shared" si="1"/>
        <v>1</v>
      </c>
      <c r="I45" s="31">
        <f t="shared" si="2"/>
        <v>0.81919499812740837</v>
      </c>
      <c r="J45" s="15"/>
      <c r="K45" s="15"/>
      <c r="L45" s="15"/>
    </row>
    <row r="46" spans="4:12" x14ac:dyDescent="0.25">
      <c r="D46" s="29"/>
      <c r="E46" t="s">
        <v>54</v>
      </c>
      <c r="F46" s="19">
        <f t="shared" si="0"/>
        <v>1.160833989818715</v>
      </c>
      <c r="G46" s="4">
        <v>127</v>
      </c>
      <c r="H46" s="39">
        <f t="shared" si="1"/>
        <v>1</v>
      </c>
      <c r="I46" s="31">
        <f t="shared" si="2"/>
        <v>1.160833989818715</v>
      </c>
      <c r="J46" s="15"/>
      <c r="K46" s="15"/>
      <c r="L46" s="15"/>
    </row>
    <row r="47" spans="4:12" x14ac:dyDescent="0.25">
      <c r="D47" s="29"/>
      <c r="E47" t="s">
        <v>55</v>
      </c>
      <c r="F47" s="19">
        <f t="shared" si="0"/>
        <v>68.338798743492504</v>
      </c>
      <c r="G47" s="4">
        <v>127</v>
      </c>
      <c r="H47" s="39">
        <f t="shared" si="1"/>
        <v>1</v>
      </c>
      <c r="I47" s="31">
        <f t="shared" si="2"/>
        <v>68.338798743492504</v>
      </c>
      <c r="J47" s="15"/>
      <c r="K47" s="15"/>
      <c r="L47" s="15"/>
    </row>
    <row r="48" spans="4:12" x14ac:dyDescent="0.25">
      <c r="D48" s="29"/>
      <c r="E48" t="s">
        <v>56</v>
      </c>
      <c r="F48" s="19">
        <f t="shared" si="0"/>
        <v>23.090340333692502</v>
      </c>
      <c r="G48" s="4">
        <v>20</v>
      </c>
      <c r="H48" s="15">
        <f t="shared" si="1"/>
        <v>0.15748031496062992</v>
      </c>
      <c r="I48" s="31">
        <f t="shared" si="2"/>
        <v>3.6362740682980319</v>
      </c>
      <c r="J48" s="15"/>
      <c r="K48" s="15"/>
      <c r="L48" s="15"/>
    </row>
    <row r="49" spans="4:12" x14ac:dyDescent="0.25">
      <c r="D49" s="29"/>
      <c r="E49" t="s">
        <v>57</v>
      </c>
      <c r="F49" s="19">
        <f t="shared" si="0"/>
        <v>17.285339571312665</v>
      </c>
      <c r="G49" s="4">
        <v>127</v>
      </c>
      <c r="H49" s="39">
        <f t="shared" si="1"/>
        <v>1</v>
      </c>
      <c r="I49" s="31">
        <f t="shared" si="2"/>
        <v>17.285339571312665</v>
      </c>
      <c r="J49" s="15"/>
      <c r="K49" s="15"/>
      <c r="L49" s="15"/>
    </row>
    <row r="50" spans="4:12" x14ac:dyDescent="0.25">
      <c r="D50" s="29"/>
      <c r="E50" t="s">
        <v>58</v>
      </c>
      <c r="F50" s="19">
        <f>(K24*86400)/60</f>
        <v>0.24983555459052662</v>
      </c>
      <c r="G50" s="4">
        <v>127</v>
      </c>
      <c r="H50" s="39">
        <f t="shared" si="1"/>
        <v>1</v>
      </c>
      <c r="I50" s="31">
        <f t="shared" si="2"/>
        <v>0.24983555459052662</v>
      </c>
      <c r="J50" s="15"/>
      <c r="K50" s="15"/>
      <c r="L50" s="15"/>
    </row>
    <row r="51" spans="4:12" x14ac:dyDescent="0.25">
      <c r="D51" s="29"/>
      <c r="E51" s="18" t="s">
        <v>59</v>
      </c>
      <c r="F51" s="20">
        <f>(K25*86400)/60</f>
        <v>9.0981104039571683</v>
      </c>
      <c r="G51" s="4">
        <v>127</v>
      </c>
      <c r="H51" s="39">
        <f t="shared" si="1"/>
        <v>1</v>
      </c>
      <c r="I51" s="40">
        <f t="shared" si="2"/>
        <v>9.0981104039571683</v>
      </c>
      <c r="J51" s="15"/>
      <c r="K51" s="15"/>
      <c r="L51" s="15"/>
    </row>
    <row r="52" spans="4:12" x14ac:dyDescent="0.25">
      <c r="E52" s="16" t="s">
        <v>73</v>
      </c>
      <c r="F52" s="21">
        <f>SUM(F43:F51)</f>
        <v>124.45517989631728</v>
      </c>
      <c r="G52" s="39"/>
      <c r="H52" s="39"/>
      <c r="I52" s="41">
        <f>SUM(I43:I51)</f>
        <v>105.0011136309228</v>
      </c>
      <c r="J52" s="15"/>
      <c r="K52" s="15"/>
      <c r="L52" s="15"/>
    </row>
    <row r="53" spans="4:12" x14ac:dyDescent="0.25">
      <c r="F53" s="15"/>
      <c r="G53" s="39"/>
      <c r="H53" s="39"/>
      <c r="I53" s="31"/>
      <c r="J53" s="15"/>
      <c r="K53" s="15"/>
      <c r="L53" s="15"/>
    </row>
    <row r="54" spans="4:12" x14ac:dyDescent="0.25">
      <c r="F54" s="15"/>
      <c r="G54" s="39"/>
      <c r="H54" s="39"/>
      <c r="I54" s="31"/>
      <c r="J54" s="15"/>
      <c r="K54" s="15"/>
      <c r="L54" s="15"/>
    </row>
    <row r="55" spans="4:12" x14ac:dyDescent="0.25">
      <c r="E55" s="12" t="s">
        <v>74</v>
      </c>
      <c r="F55" s="17" t="s">
        <v>72</v>
      </c>
      <c r="G55" s="39"/>
      <c r="H55" s="39"/>
      <c r="I55" s="31"/>
      <c r="J55" s="15"/>
      <c r="K55" s="15"/>
      <c r="L55" s="15"/>
    </row>
    <row r="56" spans="4:12" x14ac:dyDescent="0.25">
      <c r="D56" s="30"/>
      <c r="E56" t="s">
        <v>60</v>
      </c>
      <c r="F56" s="19">
        <f>(K26*86400)/60</f>
        <v>9.6487964408268336</v>
      </c>
      <c r="G56" s="4">
        <v>127</v>
      </c>
      <c r="H56" s="39">
        <f>G56/127</f>
        <v>1</v>
      </c>
      <c r="I56" s="31">
        <f t="shared" si="2"/>
        <v>9.6487964408268336</v>
      </c>
      <c r="J56" s="15"/>
      <c r="K56" s="15"/>
      <c r="L56" s="15"/>
    </row>
    <row r="57" spans="4:12" x14ac:dyDescent="0.25">
      <c r="D57" s="30"/>
      <c r="E57" t="s">
        <v>61</v>
      </c>
      <c r="F57" s="19">
        <f>(K27*86400)/60</f>
        <v>6.7274419578241327</v>
      </c>
      <c r="G57" s="4">
        <v>127</v>
      </c>
      <c r="H57" s="39">
        <f>G57/127</f>
        <v>1</v>
      </c>
      <c r="I57" s="31">
        <f t="shared" si="2"/>
        <v>6.7274419578241327</v>
      </c>
      <c r="J57" s="15"/>
      <c r="K57" s="15"/>
      <c r="L57" s="15"/>
    </row>
    <row r="58" spans="4:12" x14ac:dyDescent="0.25">
      <c r="D58" s="30"/>
      <c r="E58" t="s">
        <v>62</v>
      </c>
      <c r="F58" s="19">
        <f>(K28*86400)/60</f>
        <v>68.723698468006489</v>
      </c>
      <c r="G58" s="4">
        <v>127</v>
      </c>
      <c r="H58" s="39">
        <f>G58/127</f>
        <v>1</v>
      </c>
      <c r="I58" s="31">
        <f t="shared" si="2"/>
        <v>68.723698468006489</v>
      </c>
      <c r="J58" s="15"/>
      <c r="K58" s="15"/>
      <c r="L58" s="15"/>
    </row>
    <row r="59" spans="4:12" x14ac:dyDescent="0.25">
      <c r="D59" s="30"/>
      <c r="E59" t="s">
        <v>63</v>
      </c>
      <c r="F59" s="19">
        <f>(K29*86400)/60</f>
        <v>7.7229781342124832</v>
      </c>
      <c r="G59" s="4">
        <v>127</v>
      </c>
      <c r="H59" s="39">
        <f>G59/127</f>
        <v>1</v>
      </c>
      <c r="I59" s="31">
        <f t="shared" si="2"/>
        <v>7.7229781342124832</v>
      </c>
      <c r="J59" s="15"/>
      <c r="K59" s="15"/>
      <c r="L59" s="15"/>
    </row>
    <row r="60" spans="4:12" x14ac:dyDescent="0.25">
      <c r="D60" s="30"/>
      <c r="E60" s="18" t="s">
        <v>64</v>
      </c>
      <c r="F60" s="20">
        <f>(K30*86400)/60</f>
        <v>2.9607180827101831</v>
      </c>
      <c r="G60" s="4">
        <v>127</v>
      </c>
      <c r="H60" s="39">
        <f>G60/127</f>
        <v>1</v>
      </c>
      <c r="I60" s="40">
        <f t="shared" si="2"/>
        <v>2.9607180827101831</v>
      </c>
      <c r="J60" s="15"/>
      <c r="K60" s="15"/>
      <c r="L60" s="15"/>
    </row>
    <row r="61" spans="4:12" x14ac:dyDescent="0.25">
      <c r="E61" s="16" t="s">
        <v>73</v>
      </c>
      <c r="F61" s="21">
        <f>SUM(F56:F60)</f>
        <v>95.783633083580128</v>
      </c>
      <c r="G61" s="15"/>
      <c r="H61" s="15"/>
      <c r="I61" s="32">
        <f>SUM(I56:I60)</f>
        <v>95.783633083580128</v>
      </c>
      <c r="J61" s="15"/>
      <c r="K61" s="15"/>
      <c r="L61" s="15"/>
    </row>
    <row r="62" spans="4:12" x14ac:dyDescent="0.25">
      <c r="F62" s="15"/>
      <c r="G62" s="15"/>
      <c r="H62" s="15"/>
      <c r="I62" s="31"/>
      <c r="J62" s="15"/>
      <c r="K62" s="15"/>
      <c r="L62" s="15"/>
    </row>
    <row r="63" spans="4:12" x14ac:dyDescent="0.25">
      <c r="F63" s="15"/>
      <c r="G63" s="15"/>
      <c r="H63" s="15"/>
      <c r="I63" s="31"/>
      <c r="J63" s="15"/>
      <c r="K63" s="15"/>
      <c r="L63" s="15"/>
    </row>
    <row r="64" spans="4:12" x14ac:dyDescent="0.25">
      <c r="D64" s="42"/>
      <c r="E64" s="16" t="s">
        <v>80</v>
      </c>
      <c r="F64" s="21">
        <f>I52+SUM(I56:I59)</f>
        <v>197.82402863179274</v>
      </c>
      <c r="G64" s="15"/>
      <c r="H64" s="38" t="s">
        <v>79</v>
      </c>
      <c r="I64" s="33">
        <f>I39+I52+I61</f>
        <v>204.58269617157026</v>
      </c>
      <c r="J64" s="15"/>
      <c r="K64" s="15"/>
      <c r="L64" s="15"/>
    </row>
    <row r="65" spans="6:12" x14ac:dyDescent="0.25">
      <c r="F65" s="15"/>
      <c r="G65" s="15"/>
      <c r="H65" s="15"/>
      <c r="I65" s="15"/>
      <c r="J65" s="15"/>
      <c r="K65" s="15"/>
      <c r="L65" s="15"/>
    </row>
    <row r="66" spans="6:12" x14ac:dyDescent="0.25">
      <c r="F66" s="15"/>
      <c r="G66" s="15"/>
      <c r="H66" s="15"/>
      <c r="I66" s="15"/>
      <c r="J66" s="15"/>
      <c r="K66" s="15"/>
      <c r="L66" s="15"/>
    </row>
    <row r="67" spans="6:12" x14ac:dyDescent="0.25">
      <c r="F67" s="15"/>
    </row>
    <row r="68" spans="6:12" x14ac:dyDescent="0.25">
      <c r="F68" s="15"/>
    </row>
    <row r="69" spans="6:12" x14ac:dyDescent="0.25">
      <c r="F69" s="15"/>
    </row>
    <row r="70" spans="6:12" x14ac:dyDescent="0.25">
      <c r="F70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2025-05-10T03:21:28Z</dcterms:created>
  <dcterms:modified xsi:type="dcterms:W3CDTF">2025-06-03T04:46:21Z</dcterms:modified>
</cp:coreProperties>
</file>