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B4702A0B-DBB0-4E90-B6E8-5660C37B4CD0}" xr6:coauthVersionLast="47" xr6:coauthVersionMax="47" xr10:uidLastSave="{00000000-0000-0000-0000-000000000000}"/>
  <bookViews>
    <workbookView xWindow="-120" yWindow="-120" windowWidth="51840" windowHeight="21120" activeTab="2" xr2:uid="{69990FB1-28BF-44D2-9F50-FFEF37242FF1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H48" i="3"/>
  <c r="H47" i="3"/>
  <c r="H43" i="3"/>
  <c r="H44" i="3"/>
  <c r="H45" i="3"/>
  <c r="H46" i="3"/>
  <c r="I46" i="3" s="1"/>
  <c r="H49" i="3"/>
  <c r="I49" i="3" s="1"/>
  <c r="H50" i="3"/>
  <c r="H51" i="3"/>
  <c r="I51" i="3" s="1"/>
  <c r="H56" i="3"/>
  <c r="H57" i="3"/>
  <c r="H58" i="3"/>
  <c r="I58" i="3" s="1"/>
  <c r="H59" i="3"/>
  <c r="I59" i="3" s="1"/>
  <c r="H60" i="3"/>
  <c r="I60" i="3" s="1"/>
  <c r="H38" i="3"/>
  <c r="I38" i="3" s="1"/>
  <c r="H37" i="3"/>
  <c r="I37" i="3" s="1"/>
  <c r="H36" i="3"/>
  <c r="I36" i="3" s="1"/>
  <c r="I57" i="3"/>
  <c r="I56" i="3"/>
  <c r="I50" i="3"/>
  <c r="I48" i="3"/>
  <c r="I47" i="3"/>
  <c r="I45" i="3"/>
  <c r="I44" i="3"/>
  <c r="I43" i="3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39" i="3" l="1"/>
  <c r="I61" i="3"/>
  <c r="I52" i="3"/>
  <c r="I64" i="3" s="1"/>
  <c r="F39" i="3"/>
  <c r="F61" i="3"/>
  <c r="F52" i="3"/>
</calcChain>
</file>

<file path=xl/sharedStrings.xml><?xml version="1.0" encoding="utf-8"?>
<sst xmlns="http://schemas.openxmlformats.org/spreadsheetml/2006/main" count="307" uniqueCount="85">
  <si>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</si>
  <si>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</si>
  <si>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</si>
  <si>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</si>
  <si>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</si>
  <si>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</si>
  <si>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</si>
  <si>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</si>
  <si>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</si>
  <si>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</si>
  <si>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</si>
  <si>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</si>
  <si>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</si>
  <si>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</si>
  <si>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</si>
  <si>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</si>
  <si>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</si>
  <si>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</si>
  <si>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</si>
  <si>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</si>
  <si>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Date: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</si>
  <si>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</si>
  <si>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</si>
  <si>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</si>
  <si>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</si>
  <si>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</si>
  <si>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</si>
  <si>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</si>
  <si>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</si>
  <si>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</si>
  <si>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</si>
  <si>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</si>
  <si>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</si>
  <si>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</si>
  <si>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</si>
  <si>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</si>
  <si>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</si>
  <si>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</si>
  <si>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</si>
  <si>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</si>
  <si>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</si>
  <si>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</si>
  <si>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</si>
  <si>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</si>
  <si>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</si>
  <si>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</si>
  <si>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</si>
  <si>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</si>
  <si>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</si>
  <si>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</si>
  <si>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</si>
  <si>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</si>
  <si>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</si>
  <si>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</si>
  <si>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</si>
  <si>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</si>
  <si>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</si>
  <si>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</si>
  <si>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</si>
  <si>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</si>
  <si>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</si>
  <si>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</si>
  <si>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</si>
  <si>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</si>
  <si>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</si>
  <si>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</si>
  <si>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</si>
  <si>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</si>
  <si>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</si>
  <si>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</si>
  <si>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</si>
  <si>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12</t>
  </si>
  <si>
    <t>Satellite Contact Window Requirement</t>
  </si>
  <si>
    <t>Mean (Minutes)</t>
  </si>
  <si>
    <t>Image Processing and Analysis</t>
  </si>
  <si>
    <t>Group 3 - Task Name</t>
  </si>
  <si>
    <t>(minutes)</t>
  </si>
  <si>
    <t># of Simulations</t>
  </si>
  <si>
    <t># of Repetitions</t>
  </si>
  <si>
    <t>Sum of Mean (Minutes)</t>
  </si>
  <si>
    <t>Total Sim. Time</t>
  </si>
  <si>
    <t>Group 1 - Task Name</t>
  </si>
  <si>
    <t>Group 2 - Task Name</t>
  </si>
  <si>
    <t>Analytical Tasks Requiring Accuracy - Mean (Minutes)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</si>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</sst>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ill="1"/>
    <xf numFmtId="167" fontId="0" fillId="0" borderId="0" xfId="0" applyNumberFormat="1"/>
    <xf numFmtId="167" fontId="1" fillId="0" borderId="0" xfId="0" applyNumberFormat="1" applyFont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7" fontId="1" fillId="5" borderId="0" xfId="0" applyNumberFormat="1" applyFont="1" applyFill="1"/>
    <xf numFmtId="0" fontId="1" fillId="5" borderId="0" xfId="0" applyFont="1" applyFill="1"/>
    <xf numFmtId="2" fontId="1" fillId="0" borderId="0" xfId="0" applyNumberFormat="1" applyFont="1"/>
    <xf numFmtId="1" fontId="0" fillId="0" borderId="0" xfId="0" applyNumberFormat="1"/>
    <xf numFmtId="167" fontId="0" fillId="0" borderId="1" xfId="0" applyNumberFormat="1" applyBorder="1"/>
    <xf numFmtId="2" fontId="1" fillId="5" borderId="0" xfId="0" applyNumberFormat="1" applyFont="1" applyFill="1"/>
    <xf numFmtId="0" fontId="0" fillId="6" borderId="0" xfId="0" applyFill="1"/>
    <xf numFmtId="167" fontId="0" fillId="5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12104D-C61A-24F9-2826-2DC844BED6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920C44-98B1-6EC6-35D1-D969DBE786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9F6D09-5B20-4273-85A4-4C403C17DC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4970-F078-4C6D-947B-D17B9B361EFE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5" customWidth="1"/>
  </cols>
  <sheetData>
    <row r="1" spans="1:5" x14ac:dyDescent="0.25">
      <c r="A1" s="43"/>
    </row>
    <row r="2" spans="1:5" ht="18.75" x14ac:dyDescent="0.3">
      <c r="A2" s="43"/>
      <c r="B2" s="6" t="s">
        <v>16</v>
      </c>
    </row>
    <row r="3" spans="1:5" ht="17.25" x14ac:dyDescent="0.3">
      <c r="A3" s="43"/>
      <c r="B3" s="7" t="s">
        <v>17</v>
      </c>
    </row>
    <row r="4" spans="1:5" x14ac:dyDescent="0.25">
      <c r="A4" s="43"/>
      <c r="B4" s="9"/>
    </row>
    <row r="5" spans="1:5" x14ac:dyDescent="0.25">
      <c r="A5" s="5" t="s">
        <v>18</v>
      </c>
      <c r="B5" s="8" t="s">
        <v>70</v>
      </c>
    </row>
    <row r="6" spans="1:5" x14ac:dyDescent="0.25">
      <c r="A6" s="5" t="s">
        <v>19</v>
      </c>
      <c r="B6" s="8" t="s">
        <v>71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21</v>
      </c>
      <c r="B9" s="11">
        <v>15873</v>
      </c>
    </row>
    <row r="10" spans="1:5" x14ac:dyDescent="0.25">
      <c r="A10" s="5" t="s">
        <v>22</v>
      </c>
      <c r="B10" s="8">
        <v>52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26023.1491688216 / 86400</f>
        <v>0.30119385612062038</v>
      </c>
    </row>
    <row r="15" spans="1:5" x14ac:dyDescent="0.25">
      <c r="B15" s="1" t="s">
        <v>2</v>
      </c>
      <c r="C15" s="2">
        <f xml:space="preserve"> 40145.747201325 / 86400</f>
        <v>0.46464985186718749</v>
      </c>
    </row>
    <row r="16" spans="1:5" x14ac:dyDescent="0.25">
      <c r="B16" s="33" t="s">
        <v>3</v>
      </c>
      <c r="C16" s="34">
        <f xml:space="preserve"> 31611.8316513747 / 86400</f>
        <v>0.36587768115017016</v>
      </c>
      <c r="D16" s="35">
        <f>(C16*86400)/60</f>
        <v>526.86386085624497</v>
      </c>
      <c r="E16" s="36" t="s">
        <v>76</v>
      </c>
    </row>
    <row r="17" spans="2:3" x14ac:dyDescent="0.25">
      <c r="B17" s="1" t="s">
        <v>4</v>
      </c>
      <c r="C17" s="2">
        <f xml:space="preserve"> 2596.37742652679 / 86400</f>
        <v>3.0050664658874883E-2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D5FD-102D-45DC-A560-84CD551B8F2B}">
  <dimension ref="A1:X40"/>
  <sheetViews>
    <sheetView topLeftCell="A4" workbookViewId="0">
      <selection activeCell="E42" sqref="E42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3"/>
    </row>
    <row r="2" spans="1:24" ht="18.75" x14ac:dyDescent="0.3">
      <c r="A2" s="43"/>
      <c r="B2" s="6" t="s">
        <v>16</v>
      </c>
    </row>
    <row r="3" spans="1:24" ht="17.25" x14ac:dyDescent="0.3">
      <c r="A3" s="43"/>
      <c r="B3" s="7" t="s">
        <v>67</v>
      </c>
    </row>
    <row r="4" spans="1:24" x14ac:dyDescent="0.25">
      <c r="A4" s="43"/>
      <c r="B4" s="9"/>
    </row>
    <row r="5" spans="1:24" x14ac:dyDescent="0.25">
      <c r="A5" s="5" t="s">
        <v>18</v>
      </c>
      <c r="B5" s="8" t="s">
        <v>70</v>
      </c>
    </row>
    <row r="6" spans="1:24" x14ac:dyDescent="0.25">
      <c r="A6" s="5" t="s">
        <v>19</v>
      </c>
      <c r="B6" s="8" t="s">
        <v>71</v>
      </c>
    </row>
    <row r="7" spans="1:24" x14ac:dyDescent="0.25">
      <c r="A7" s="5" t="s">
        <v>21</v>
      </c>
      <c r="B7" s="11">
        <v>15873</v>
      </c>
    </row>
    <row r="8" spans="1:24" x14ac:dyDescent="0.25">
      <c r="A8" s="5" t="s">
        <v>20</v>
      </c>
      <c r="B8" s="10"/>
    </row>
    <row r="9" spans="1:24" x14ac:dyDescent="0.25">
      <c r="A9" s="5" t="s">
        <v>68</v>
      </c>
      <c r="B9" s="9" t="s">
        <v>69</v>
      </c>
    </row>
    <row r="11" spans="1:24" s="12" customFormat="1" x14ac:dyDescent="0.25">
      <c r="B11" s="44" t="s">
        <v>23</v>
      </c>
      <c r="C11" s="45"/>
      <c r="D11" s="44" t="s">
        <v>24</v>
      </c>
      <c r="E11" s="45"/>
      <c r="F11" s="46" t="s">
        <v>25</v>
      </c>
      <c r="I11" s="44" t="s">
        <v>26</v>
      </c>
      <c r="J11" s="45"/>
      <c r="K11" s="45"/>
      <c r="L11" s="45"/>
      <c r="M11" s="45"/>
      <c r="N11" s="48" t="s">
        <v>27</v>
      </c>
      <c r="P11" s="44" t="s">
        <v>28</v>
      </c>
      <c r="Q11" s="45"/>
      <c r="R11" s="45"/>
      <c r="S11" s="45"/>
      <c r="T11" s="48" t="s">
        <v>29</v>
      </c>
      <c r="V11" s="44" t="s">
        <v>30</v>
      </c>
      <c r="W11" s="45"/>
      <c r="X11" s="45"/>
    </row>
    <row r="12" spans="1:24" s="12" customFormat="1" x14ac:dyDescent="0.25">
      <c r="B12" s="12" t="s">
        <v>31</v>
      </c>
      <c r="C12" s="12" t="s">
        <v>32</v>
      </c>
      <c r="D12" s="12" t="s">
        <v>31</v>
      </c>
      <c r="E12" s="12" t="s">
        <v>32</v>
      </c>
      <c r="F12" s="47"/>
      <c r="G12" s="12" t="s">
        <v>33</v>
      </c>
      <c r="I12" s="12" t="s">
        <v>34</v>
      </c>
      <c r="J12" s="12" t="s">
        <v>35</v>
      </c>
      <c r="K12" s="12" t="s">
        <v>36</v>
      </c>
      <c r="L12" s="12" t="s">
        <v>37</v>
      </c>
      <c r="M12" s="12" t="s">
        <v>38</v>
      </c>
      <c r="N12" s="49"/>
      <c r="P12" s="12" t="s">
        <v>39</v>
      </c>
      <c r="Q12" s="12" t="s">
        <v>40</v>
      </c>
      <c r="R12" s="12" t="s">
        <v>41</v>
      </c>
      <c r="S12" s="12" t="s">
        <v>38</v>
      </c>
      <c r="T12" s="49"/>
      <c r="V12" s="12" t="s">
        <v>42</v>
      </c>
      <c r="W12" s="12" t="s">
        <v>29</v>
      </c>
      <c r="X12" s="12" t="s">
        <v>43</v>
      </c>
    </row>
    <row r="13" spans="1:24" x14ac:dyDescent="0.25">
      <c r="B13" s="4" t="s">
        <v>44</v>
      </c>
      <c r="C13" s="9" t="s">
        <v>45</v>
      </c>
      <c r="D13" s="4">
        <v>0</v>
      </c>
      <c r="E13" s="9" t="s">
        <v>46</v>
      </c>
      <c r="F13" s="9" t="s">
        <v>47</v>
      </c>
      <c r="G13" s="4">
        <v>52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48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44</v>
      </c>
      <c r="C14" s="9" t="s">
        <v>45</v>
      </c>
      <c r="D14" s="4">
        <v>1</v>
      </c>
      <c r="E14" s="9" t="s">
        <v>49</v>
      </c>
      <c r="F14" s="9" t="s">
        <v>47</v>
      </c>
      <c r="G14" s="4">
        <v>52</v>
      </c>
      <c r="H14" s="9"/>
      <c r="I14" s="2">
        <f xml:space="preserve"> 109.149932141486 / 86400</f>
        <v>1.2633093997857176E-3</v>
      </c>
      <c r="J14" s="2">
        <f xml:space="preserve"> 278.698807334387 / 86400</f>
        <v>3.2256806404442943E-3</v>
      </c>
      <c r="K14" s="2">
        <f xml:space="preserve"> 192.160314440032 / 86400</f>
        <v>2.2240777134262964E-3</v>
      </c>
      <c r="L14" s="2">
        <f xml:space="preserve"> 42.6316882166626 / 86400</f>
        <v>4.9342231732248381E-4</v>
      </c>
      <c r="M14" s="2">
        <f t="shared" ref="M14:M31" si="0" xml:space="preserve"> 0 / 86400</f>
        <v>0</v>
      </c>
      <c r="N14" s="3">
        <v>0</v>
      </c>
      <c r="O14" s="9"/>
      <c r="P14" s="13" t="s">
        <v>48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44</v>
      </c>
      <c r="C15" s="9" t="s">
        <v>45</v>
      </c>
      <c r="D15" s="4">
        <v>2</v>
      </c>
      <c r="E15" s="9" t="s">
        <v>50</v>
      </c>
      <c r="F15" s="9" t="s">
        <v>47</v>
      </c>
      <c r="G15" s="4">
        <v>52</v>
      </c>
      <c r="H15" s="9"/>
      <c r="I15" s="2">
        <f xml:space="preserve"> 5.99184072110398 / 86400</f>
        <v>6.9350008346110876E-5</v>
      </c>
      <c r="J15" s="2">
        <f xml:space="preserve"> 22.613115750539 / 86400</f>
        <v>2.6172587674234954E-4</v>
      </c>
      <c r="K15" s="2">
        <f xml:space="preserve"> 14.8711358146823 / 86400</f>
        <v>1.7211962748474882E-4</v>
      </c>
      <c r="L15" s="2">
        <f xml:space="preserve"> 4.72149780261707 / 86400</f>
        <v>5.4646965308067941E-5</v>
      </c>
      <c r="M15" s="2">
        <f t="shared" si="0"/>
        <v>0</v>
      </c>
      <c r="N15" s="3">
        <v>0</v>
      </c>
      <c r="O15" s="9"/>
      <c r="P15" s="13" t="s">
        <v>48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44</v>
      </c>
      <c r="C16" s="9" t="s">
        <v>45</v>
      </c>
      <c r="D16" s="4">
        <v>3</v>
      </c>
      <c r="E16" s="9" t="s">
        <v>51</v>
      </c>
      <c r="F16" s="9" t="s">
        <v>47</v>
      </c>
      <c r="G16" s="4">
        <v>52</v>
      </c>
      <c r="H16" s="9"/>
      <c r="I16" s="2">
        <f xml:space="preserve"> 17.633342327989 / 86400</f>
        <v>2.0408961027765045E-4</v>
      </c>
      <c r="J16" s="2">
        <f xml:space="preserve"> 42.93155150111 / 86400</f>
        <v>4.968929571887732E-4</v>
      </c>
      <c r="K16" s="2">
        <f xml:space="preserve"> 30.5018320549791 / 86400</f>
        <v>3.5303046359929513E-4</v>
      </c>
      <c r="L16" s="2">
        <f xml:space="preserve"> 7.56215208949395 / 86400</f>
        <v>8.7524908443217011E-5</v>
      </c>
      <c r="M16" s="2">
        <f t="shared" si="0"/>
        <v>0</v>
      </c>
      <c r="N16" s="3">
        <v>0</v>
      </c>
      <c r="O16" s="9"/>
      <c r="P16" s="13" t="s">
        <v>48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44</v>
      </c>
      <c r="C17" s="9" t="s">
        <v>45</v>
      </c>
      <c r="D17" s="4">
        <v>4</v>
      </c>
      <c r="E17" s="9" t="s">
        <v>52</v>
      </c>
      <c r="F17" s="9" t="s">
        <v>47</v>
      </c>
      <c r="G17" s="4">
        <v>52</v>
      </c>
      <c r="H17" s="9"/>
      <c r="I17" s="2">
        <f xml:space="preserve"> 77.248688574727 / 86400</f>
        <v>8.940820436889699E-4</v>
      </c>
      <c r="J17" s="2">
        <f xml:space="preserve"> 427.818516850177 / 86400</f>
        <v>4.9516032042844563E-3</v>
      </c>
      <c r="K17" s="2">
        <f xml:space="preserve"> 190.792207464816 / 86400</f>
        <v>2.2082431419538887E-3</v>
      </c>
      <c r="L17" s="2">
        <f xml:space="preserve"> 72.8160588245842 / 86400</f>
        <v>8.4277845861787271E-4</v>
      </c>
      <c r="M17" s="2">
        <f t="shared" si="0"/>
        <v>0</v>
      </c>
      <c r="N17" s="3">
        <v>0</v>
      </c>
      <c r="O17" s="9"/>
      <c r="P17" s="13" t="s">
        <v>48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44</v>
      </c>
      <c r="C18" s="9" t="s">
        <v>45</v>
      </c>
      <c r="D18" s="4">
        <v>5</v>
      </c>
      <c r="E18" s="9" t="s">
        <v>53</v>
      </c>
      <c r="F18" s="9" t="s">
        <v>47</v>
      </c>
      <c r="G18" s="4">
        <v>312</v>
      </c>
      <c r="H18" s="9"/>
      <c r="I18" s="2">
        <f xml:space="preserve"> 24.6571872279001 / 86400</f>
        <v>2.8538411143402891E-4</v>
      </c>
      <c r="J18" s="2">
        <f xml:space="preserve"> 125.3139580648 / 86400</f>
        <v>1.4503930331574075E-3</v>
      </c>
      <c r="K18" s="2">
        <f xml:space="preserve"> 70.6617929136435 / 86400</f>
        <v>8.1784482538939233E-4</v>
      </c>
      <c r="L18" s="2">
        <f xml:space="preserve"> 18.8124726584179 / 86400</f>
        <v>2.1773695206502198E-4</v>
      </c>
      <c r="M18" s="2">
        <f t="shared" si="0"/>
        <v>0</v>
      </c>
      <c r="N18" s="3">
        <v>0</v>
      </c>
      <c r="O18" s="9"/>
      <c r="P18" s="13" t="s">
        <v>48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44</v>
      </c>
      <c r="C19" s="9" t="s">
        <v>45</v>
      </c>
      <c r="D19" s="4">
        <v>6</v>
      </c>
      <c r="E19" s="9" t="s">
        <v>54</v>
      </c>
      <c r="F19" s="9" t="s">
        <v>47</v>
      </c>
      <c r="G19" s="4">
        <v>312</v>
      </c>
      <c r="H19" s="9"/>
      <c r="I19" s="2">
        <f xml:space="preserve"> 27.572790432988 / 86400</f>
        <v>3.191295189003241E-4</v>
      </c>
      <c r="J19" s="2">
        <f xml:space="preserve"> 72.2515079003097 / 86400</f>
        <v>8.3624430440173265E-4</v>
      </c>
      <c r="K19" s="2">
        <f xml:space="preserve"> 49.6039097852833 / 86400</f>
        <v>5.7411932621855672E-4</v>
      </c>
      <c r="L19" s="2">
        <f xml:space="preserve"> 9.18326237590109 / 86400</f>
        <v>1.062877589803367E-4</v>
      </c>
      <c r="M19" s="2">
        <f t="shared" si="0"/>
        <v>0</v>
      </c>
      <c r="N19" s="3">
        <v>0</v>
      </c>
      <c r="O19" s="9"/>
      <c r="P19" s="13" t="s">
        <v>48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44</v>
      </c>
      <c r="C20" s="9" t="s">
        <v>45</v>
      </c>
      <c r="D20" s="4">
        <v>7</v>
      </c>
      <c r="E20" s="9" t="s">
        <v>55</v>
      </c>
      <c r="F20" s="9" t="s">
        <v>47</v>
      </c>
      <c r="G20" s="4">
        <v>312</v>
      </c>
      <c r="H20" s="9"/>
      <c r="I20" s="2">
        <f xml:space="preserve"> 40.6858169137013 / 86400</f>
        <v>4.7090065872339469E-4</v>
      </c>
      <c r="J20" s="2">
        <f xml:space="preserve"> 112.5362880265 / 86400</f>
        <v>1.3025033336400464E-3</v>
      </c>
      <c r="K20" s="2">
        <f xml:space="preserve"> 69.6477718953256 / 86400</f>
        <v>8.06108471010713E-4</v>
      </c>
      <c r="L20" s="2">
        <f xml:space="preserve"> 10.8482422378766 / 86400</f>
        <v>1.2555835923468286E-4</v>
      </c>
      <c r="M20" s="2">
        <f t="shared" si="0"/>
        <v>0</v>
      </c>
      <c r="N20" s="3">
        <v>0</v>
      </c>
      <c r="O20" s="9"/>
      <c r="P20" s="13" t="s">
        <v>48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44</v>
      </c>
      <c r="C21" s="9" t="s">
        <v>45</v>
      </c>
      <c r="D21" s="4">
        <v>8</v>
      </c>
      <c r="E21" s="9" t="s">
        <v>56</v>
      </c>
      <c r="F21" s="9" t="s">
        <v>47</v>
      </c>
      <c r="G21" s="4">
        <v>312</v>
      </c>
      <c r="H21" s="9"/>
      <c r="I21" s="2">
        <f xml:space="preserve"> 651.97108320866 / 86400</f>
        <v>7.5459616112113432E-3</v>
      </c>
      <c r="J21" s="2">
        <f xml:space="preserve"> 4436.7468719905 / 86400</f>
        <v>5.1351236944334494E-2</v>
      </c>
      <c r="K21" s="2">
        <f xml:space="preserve"> 2206.98923734974 / 86400</f>
        <v>2.554385691377014E-2</v>
      </c>
      <c r="L21" s="2">
        <f xml:space="preserve"> 768.675182066106 / 86400</f>
        <v>8.8967034961354857E-3</v>
      </c>
      <c r="M21" s="2">
        <f t="shared" si="0"/>
        <v>0</v>
      </c>
      <c r="N21" s="3">
        <v>0</v>
      </c>
      <c r="O21" s="9"/>
      <c r="P21" s="13" t="s">
        <v>48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44</v>
      </c>
      <c r="C22" s="9" t="s">
        <v>45</v>
      </c>
      <c r="D22" s="4">
        <v>9</v>
      </c>
      <c r="E22" s="9" t="s">
        <v>57</v>
      </c>
      <c r="F22" s="9" t="s">
        <v>47</v>
      </c>
      <c r="G22" s="4">
        <v>46</v>
      </c>
      <c r="H22" s="9"/>
      <c r="I22" s="2">
        <f xml:space="preserve"> 685.67436558608 / 86400</f>
        <v>7.9360458979870364E-3</v>
      </c>
      <c r="J22" s="2">
        <f xml:space="preserve"> 2981.5286945175 / 86400</f>
        <v>3.4508433964322918E-2</v>
      </c>
      <c r="K22" s="2">
        <f xml:space="preserve"> 1579.93676173594 / 86400</f>
        <v>1.8286305112684493E-2</v>
      </c>
      <c r="L22" s="2">
        <f xml:space="preserve"> 532.592051867614 / 86400</f>
        <v>6.1642598595788665E-3</v>
      </c>
      <c r="M22" s="2">
        <f t="shared" si="0"/>
        <v>0</v>
      </c>
      <c r="N22" s="3">
        <v>0</v>
      </c>
      <c r="O22" s="9"/>
      <c r="P22" s="13" t="s">
        <v>48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44</v>
      </c>
      <c r="C23" s="9" t="s">
        <v>45</v>
      </c>
      <c r="D23" s="4">
        <v>10</v>
      </c>
      <c r="E23" s="9" t="s">
        <v>58</v>
      </c>
      <c r="F23" s="9" t="s">
        <v>47</v>
      </c>
      <c r="G23" s="4">
        <v>312</v>
      </c>
      <c r="H23" s="9"/>
      <c r="I23" s="2">
        <f xml:space="preserve"> 630.8455986726 / 86400</f>
        <v>7.3014536883402774E-3</v>
      </c>
      <c r="J23" s="2">
        <f xml:space="preserve"> 1665.0735650426 / 86400</f>
        <v>1.9271684780585649E-2</v>
      </c>
      <c r="K23" s="2">
        <f xml:space="preserve"> 994.302572302195 / 86400</f>
        <v>1.1508131623867998E-2</v>
      </c>
      <c r="L23" s="2">
        <f xml:space="preserve"> 212.635648390807 / 86400</f>
        <v>2.4610607452639701E-3</v>
      </c>
      <c r="M23" s="2">
        <f t="shared" si="0"/>
        <v>0</v>
      </c>
      <c r="N23" s="3">
        <v>0</v>
      </c>
      <c r="O23" s="9"/>
      <c r="P23" s="13" t="s">
        <v>48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44</v>
      </c>
      <c r="C24" s="9" t="s">
        <v>45</v>
      </c>
      <c r="D24" s="4">
        <v>11</v>
      </c>
      <c r="E24" s="9" t="s">
        <v>59</v>
      </c>
      <c r="F24" s="9" t="s">
        <v>47</v>
      </c>
      <c r="G24" s="4">
        <v>312</v>
      </c>
      <c r="H24" s="9"/>
      <c r="I24" s="2">
        <f xml:space="preserve"> 8.62653719756054 / 86400</f>
        <v>9.9844180527321053E-5</v>
      </c>
      <c r="J24" s="2">
        <f xml:space="preserve"> 89.039697333501 / 86400</f>
        <v>1.0305520524710764E-3</v>
      </c>
      <c r="K24" s="2">
        <f xml:space="preserve"> 53.1982011896952 / 86400</f>
        <v>6.157199211770277E-4</v>
      </c>
      <c r="L24" s="2">
        <f xml:space="preserve"> 22.0090973353704 / 86400</f>
        <v>2.5473492286308332E-4</v>
      </c>
      <c r="M24" s="2">
        <f t="shared" si="0"/>
        <v>0</v>
      </c>
      <c r="N24" s="3">
        <v>0</v>
      </c>
      <c r="O24" s="9"/>
      <c r="P24" s="13" t="s">
        <v>48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44</v>
      </c>
      <c r="C25" s="9" t="s">
        <v>45</v>
      </c>
      <c r="D25" s="4">
        <v>12</v>
      </c>
      <c r="E25" s="9" t="s">
        <v>60</v>
      </c>
      <c r="F25" s="9" t="s">
        <v>47</v>
      </c>
      <c r="G25" s="4">
        <v>312</v>
      </c>
      <c r="H25" s="9"/>
      <c r="I25" s="2">
        <f xml:space="preserve"> 112.6435698245 / 86400</f>
        <v>1.3037450211168982E-3</v>
      </c>
      <c r="J25" s="2">
        <f xml:space="preserve"> 1269.4004966578 / 86400</f>
        <v>1.4692135377983796E-2</v>
      </c>
      <c r="K25" s="2">
        <f xml:space="preserve"> 556.805045774361 / 86400</f>
        <v>6.4445028446106596E-3</v>
      </c>
      <c r="L25" s="2">
        <f xml:space="preserve"> 234.006149957718 / 86400</f>
        <v>2.7084045133995141E-3</v>
      </c>
      <c r="M25" s="2">
        <f t="shared" si="0"/>
        <v>0</v>
      </c>
      <c r="N25" s="3">
        <v>0</v>
      </c>
      <c r="O25" s="9"/>
      <c r="P25" s="13" t="s">
        <v>48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44</v>
      </c>
      <c r="C26" s="9" t="s">
        <v>45</v>
      </c>
      <c r="D26" s="4">
        <v>13</v>
      </c>
      <c r="E26" s="9" t="s">
        <v>61</v>
      </c>
      <c r="F26" s="9" t="s">
        <v>47</v>
      </c>
      <c r="G26" s="4">
        <v>52</v>
      </c>
      <c r="H26" s="9"/>
      <c r="I26" s="2">
        <f xml:space="preserve"> 380.1362451153 / 86400</f>
        <v>4.3997250592048617E-3</v>
      </c>
      <c r="J26" s="2">
        <f xml:space="preserve"> 794.0579054509 / 86400</f>
        <v>9.190485016792824E-3</v>
      </c>
      <c r="K26" s="2">
        <f xml:space="preserve"> 578.190404391459 / 86400</f>
        <v>6.6920185693455899E-3</v>
      </c>
      <c r="L26" s="2">
        <f xml:space="preserve"> 108.956812830154 / 86400</f>
        <v>1.2610742225712269E-3</v>
      </c>
      <c r="M26" s="2">
        <f t="shared" si="0"/>
        <v>0</v>
      </c>
      <c r="N26" s="3">
        <v>0</v>
      </c>
      <c r="O26" s="9"/>
      <c r="P26" s="13" t="s">
        <v>48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44</v>
      </c>
      <c r="C27" s="9" t="s">
        <v>45</v>
      </c>
      <c r="D27" s="4">
        <v>14</v>
      </c>
      <c r="E27" s="9" t="s">
        <v>62</v>
      </c>
      <c r="F27" s="9" t="s">
        <v>47</v>
      </c>
      <c r="G27" s="4">
        <v>52</v>
      </c>
      <c r="H27" s="9"/>
      <c r="I27" s="2">
        <f xml:space="preserve"> 278.312299490601 / 86400</f>
        <v>3.2212071700301039E-3</v>
      </c>
      <c r="J27" s="2">
        <f xml:space="preserve"> 571.019097685901 / 86400</f>
        <v>6.6090173343275578E-3</v>
      </c>
      <c r="K27" s="2">
        <f xml:space="preserve"> 407.5948158892 / 86400</f>
        <v>4.7175325913101848E-3</v>
      </c>
      <c r="L27" s="2">
        <f xml:space="preserve"> 61.107420461533 / 86400</f>
        <v>7.0726181089737273E-4</v>
      </c>
      <c r="M27" s="2">
        <f t="shared" si="0"/>
        <v>0</v>
      </c>
      <c r="N27" s="3">
        <v>0</v>
      </c>
      <c r="O27" s="9"/>
      <c r="P27" s="13" t="s">
        <v>48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44</v>
      </c>
      <c r="C28" s="9" t="s">
        <v>45</v>
      </c>
      <c r="D28" s="4">
        <v>15</v>
      </c>
      <c r="E28" s="9" t="s">
        <v>63</v>
      </c>
      <c r="F28" s="9" t="s">
        <v>47</v>
      </c>
      <c r="G28" s="4">
        <v>52</v>
      </c>
      <c r="H28" s="9"/>
      <c r="I28" s="2">
        <f xml:space="preserve"> 3032.3752147818 / 86400</f>
        <v>3.5096935356270835E-2</v>
      </c>
      <c r="J28" s="2">
        <f xml:space="preserve"> 5453.7603943813 / 86400</f>
        <v>6.3122226786820598E-2</v>
      </c>
      <c r="K28" s="2">
        <f xml:space="preserve"> 4161.50192873327 / 86400</f>
        <v>4.816553158256099E-2</v>
      </c>
      <c r="L28" s="2">
        <f xml:space="preserve"> 509.860522383419 / 86400</f>
        <v>5.9011634535117942E-3</v>
      </c>
      <c r="M28" s="2">
        <f t="shared" si="0"/>
        <v>0</v>
      </c>
      <c r="N28" s="3">
        <v>0</v>
      </c>
      <c r="O28" s="9"/>
      <c r="P28" s="13" t="s">
        <v>48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44</v>
      </c>
      <c r="C29" s="9" t="s">
        <v>45</v>
      </c>
      <c r="D29" s="4">
        <v>16</v>
      </c>
      <c r="E29" s="9" t="s">
        <v>64</v>
      </c>
      <c r="F29" s="9" t="s">
        <v>47</v>
      </c>
      <c r="G29" s="4">
        <v>52</v>
      </c>
      <c r="H29" s="9"/>
      <c r="I29" s="2">
        <f xml:space="preserve"> 344.325642968703 / 86400</f>
        <v>3.9852504973229511E-3</v>
      </c>
      <c r="J29" s="2">
        <f xml:space="preserve"> 562.640928315297 / 86400</f>
        <v>6.512047781427048E-3</v>
      </c>
      <c r="K29" s="2">
        <f xml:space="preserve"> 465.76915294885 / 86400</f>
        <v>5.3908466776487265E-3</v>
      </c>
      <c r="L29" s="2">
        <f xml:space="preserve"> 50.3360660029298 / 86400</f>
        <v>5.8259335651539117E-4</v>
      </c>
      <c r="M29" s="2">
        <f t="shared" si="0"/>
        <v>0</v>
      </c>
      <c r="N29" s="3">
        <v>0</v>
      </c>
      <c r="O29" s="9"/>
      <c r="P29" s="13" t="s">
        <v>48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44</v>
      </c>
      <c r="C30" s="9" t="s">
        <v>45</v>
      </c>
      <c r="D30" s="4">
        <v>17</v>
      </c>
      <c r="E30" s="9" t="s">
        <v>65</v>
      </c>
      <c r="F30" s="9" t="s">
        <v>47</v>
      </c>
      <c r="G30" s="4">
        <v>52</v>
      </c>
      <c r="H30" s="9"/>
      <c r="I30" s="2">
        <f xml:space="preserve"> 92.1537887640989 / 86400</f>
        <v>1.0665947773622559E-3</v>
      </c>
      <c r="J30" s="2">
        <f xml:space="preserve"> 243.618690587402 / 86400</f>
        <v>2.8196607706875232E-3</v>
      </c>
      <c r="K30" s="2">
        <f xml:space="preserve"> 165.562306224954 / 86400</f>
        <v>1.9162303961221528E-3</v>
      </c>
      <c r="L30" s="2">
        <f xml:space="preserve"> 35.2947632416033 / 86400</f>
        <v>4.0850420418522338E-4</v>
      </c>
      <c r="M30" s="2">
        <f t="shared" si="0"/>
        <v>0</v>
      </c>
      <c r="N30" s="3">
        <v>0</v>
      </c>
      <c r="O30" s="9"/>
      <c r="P30" s="13" t="s">
        <v>48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44</v>
      </c>
      <c r="C31" s="9" t="s">
        <v>45</v>
      </c>
      <c r="D31" s="4">
        <v>999</v>
      </c>
      <c r="E31" s="9" t="s">
        <v>66</v>
      </c>
      <c r="F31" s="9" t="s">
        <v>47</v>
      </c>
      <c r="G31" s="4">
        <v>52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48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526B-D64E-4F12-A80A-47EE7FD3D443}">
  <dimension ref="A1:M69"/>
  <sheetViews>
    <sheetView tabSelected="1" topLeftCell="A19" workbookViewId="0">
      <selection activeCell="P38" sqref="P38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.28515625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3"/>
    </row>
    <row r="2" spans="1:12" ht="18.75" x14ac:dyDescent="0.3">
      <c r="A2" s="43"/>
      <c r="B2" s="6" t="s">
        <v>16</v>
      </c>
    </row>
    <row r="3" spans="1:12" ht="17.25" x14ac:dyDescent="0.3">
      <c r="A3" s="43"/>
      <c r="B3" s="7" t="s">
        <v>67</v>
      </c>
    </row>
    <row r="4" spans="1:12" x14ac:dyDescent="0.25">
      <c r="A4" s="43"/>
      <c r="B4" s="9"/>
    </row>
    <row r="5" spans="1:12" x14ac:dyDescent="0.25">
      <c r="A5" s="5" t="s">
        <v>18</v>
      </c>
      <c r="B5" s="8" t="s">
        <v>70</v>
      </c>
    </row>
    <row r="6" spans="1:12" x14ac:dyDescent="0.25">
      <c r="A6" s="5" t="s">
        <v>19</v>
      </c>
      <c r="B6" s="8" t="s">
        <v>71</v>
      </c>
    </row>
    <row r="7" spans="1:12" x14ac:dyDescent="0.25">
      <c r="A7" s="5" t="s">
        <v>21</v>
      </c>
      <c r="B7" s="11">
        <v>15873</v>
      </c>
    </row>
    <row r="8" spans="1:12" x14ac:dyDescent="0.25">
      <c r="A8" s="5" t="s">
        <v>20</v>
      </c>
      <c r="B8" s="10"/>
    </row>
    <row r="9" spans="1:12" x14ac:dyDescent="0.25">
      <c r="A9" s="5" t="s">
        <v>68</v>
      </c>
      <c r="B9" s="9" t="s">
        <v>69</v>
      </c>
    </row>
    <row r="11" spans="1:12" s="12" customFormat="1" x14ac:dyDescent="0.25">
      <c r="B11" s="44" t="s">
        <v>23</v>
      </c>
      <c r="C11" s="45"/>
      <c r="D11" s="44" t="s">
        <v>24</v>
      </c>
      <c r="E11" s="45"/>
      <c r="F11" s="46" t="s">
        <v>25</v>
      </c>
      <c r="I11" s="44" t="s">
        <v>26</v>
      </c>
      <c r="J11" s="45"/>
      <c r="K11" s="45"/>
      <c r="L11" s="45"/>
    </row>
    <row r="12" spans="1:12" s="12" customFormat="1" x14ac:dyDescent="0.25">
      <c r="B12" s="12" t="s">
        <v>31</v>
      </c>
      <c r="C12" s="12" t="s">
        <v>32</v>
      </c>
      <c r="D12" s="12" t="s">
        <v>31</v>
      </c>
      <c r="E12" s="12" t="s">
        <v>32</v>
      </c>
      <c r="F12" s="47"/>
      <c r="G12" s="12" t="s">
        <v>33</v>
      </c>
      <c r="I12" s="12" t="s">
        <v>34</v>
      </c>
      <c r="J12" s="12" t="s">
        <v>35</v>
      </c>
      <c r="K12" s="12" t="s">
        <v>36</v>
      </c>
      <c r="L12" s="12" t="s">
        <v>37</v>
      </c>
    </row>
    <row r="13" spans="1:12" x14ac:dyDescent="0.25">
      <c r="B13" s="4" t="s">
        <v>44</v>
      </c>
      <c r="C13" s="9" t="s">
        <v>45</v>
      </c>
      <c r="D13" s="4">
        <v>0</v>
      </c>
      <c r="E13" s="9" t="s">
        <v>46</v>
      </c>
      <c r="F13" s="9" t="s">
        <v>47</v>
      </c>
      <c r="G13" s="4">
        <v>52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44</v>
      </c>
      <c r="C14" s="9" t="s">
        <v>45</v>
      </c>
      <c r="D14" s="4">
        <v>1</v>
      </c>
      <c r="E14" s="22" t="s">
        <v>49</v>
      </c>
      <c r="F14" s="9" t="s">
        <v>47</v>
      </c>
      <c r="G14" s="4">
        <v>52</v>
      </c>
      <c r="H14" s="9"/>
      <c r="I14" s="2">
        <f xml:space="preserve"> 109.149932141486 / 86400</f>
        <v>1.2633093997857176E-3</v>
      </c>
      <c r="J14" s="2">
        <f xml:space="preserve"> 278.698807334387 / 86400</f>
        <v>3.2256806404442943E-3</v>
      </c>
      <c r="K14" s="23">
        <f xml:space="preserve"> 192.160314440032 / 86400</f>
        <v>2.2240777134262964E-3</v>
      </c>
      <c r="L14" s="2">
        <f xml:space="preserve"> 42.6316882166626 / 86400</f>
        <v>4.9342231732248381E-4</v>
      </c>
    </row>
    <row r="15" spans="1:12" x14ac:dyDescent="0.25">
      <c r="B15" s="4" t="s">
        <v>44</v>
      </c>
      <c r="C15" s="9" t="s">
        <v>45</v>
      </c>
      <c r="D15" s="4">
        <v>2</v>
      </c>
      <c r="E15" s="22" t="s">
        <v>50</v>
      </c>
      <c r="F15" s="9" t="s">
        <v>47</v>
      </c>
      <c r="G15" s="4">
        <v>52</v>
      </c>
      <c r="H15" s="9"/>
      <c r="I15" s="2">
        <f xml:space="preserve"> 5.99184072110398 / 86400</f>
        <v>6.9350008346110876E-5</v>
      </c>
      <c r="J15" s="2">
        <f xml:space="preserve"> 22.613115750539 / 86400</f>
        <v>2.6172587674234954E-4</v>
      </c>
      <c r="K15" s="23">
        <f xml:space="preserve"> 14.8711358146823 / 86400</f>
        <v>1.7211962748474882E-4</v>
      </c>
      <c r="L15" s="2">
        <f xml:space="preserve"> 4.72149780261707 / 86400</f>
        <v>5.4646965308067941E-5</v>
      </c>
    </row>
    <row r="16" spans="1:12" x14ac:dyDescent="0.25">
      <c r="B16" s="4" t="s">
        <v>44</v>
      </c>
      <c r="C16" s="9" t="s">
        <v>45</v>
      </c>
      <c r="D16" s="4">
        <v>3</v>
      </c>
      <c r="E16" s="22" t="s">
        <v>51</v>
      </c>
      <c r="F16" s="9" t="s">
        <v>47</v>
      </c>
      <c r="G16" s="4">
        <v>52</v>
      </c>
      <c r="H16" s="9"/>
      <c r="I16" s="2">
        <f xml:space="preserve"> 17.633342327989 / 86400</f>
        <v>2.0408961027765045E-4</v>
      </c>
      <c r="J16" s="2">
        <f xml:space="preserve"> 42.93155150111 / 86400</f>
        <v>4.968929571887732E-4</v>
      </c>
      <c r="K16" s="23">
        <f xml:space="preserve"> 30.5018320549791 / 86400</f>
        <v>3.5303046359929513E-4</v>
      </c>
      <c r="L16" s="2">
        <f xml:space="preserve"> 7.56215208949395 / 86400</f>
        <v>8.7524908443217011E-5</v>
      </c>
    </row>
    <row r="17" spans="2:12" x14ac:dyDescent="0.25">
      <c r="B17" s="4" t="s">
        <v>44</v>
      </c>
      <c r="C17" s="9" t="s">
        <v>45</v>
      </c>
      <c r="D17" s="4">
        <v>4</v>
      </c>
      <c r="E17" s="24" t="s">
        <v>52</v>
      </c>
      <c r="F17" s="9" t="s">
        <v>47</v>
      </c>
      <c r="G17" s="4">
        <v>52</v>
      </c>
      <c r="H17" s="9"/>
      <c r="I17" s="2">
        <f xml:space="preserve"> 77.248688574727 / 86400</f>
        <v>8.940820436889699E-4</v>
      </c>
      <c r="J17" s="2">
        <f xml:space="preserve"> 427.818516850177 / 86400</f>
        <v>4.9516032042844563E-3</v>
      </c>
      <c r="K17" s="25">
        <f xml:space="preserve"> 190.792207464816 / 86400</f>
        <v>2.2082431419538887E-3</v>
      </c>
      <c r="L17" s="2">
        <f xml:space="preserve"> 72.8160588245842 / 86400</f>
        <v>8.4277845861787271E-4</v>
      </c>
    </row>
    <row r="18" spans="2:12" x14ac:dyDescent="0.25">
      <c r="B18" s="4" t="s">
        <v>44</v>
      </c>
      <c r="C18" s="9" t="s">
        <v>45</v>
      </c>
      <c r="D18" s="4">
        <v>5</v>
      </c>
      <c r="E18" s="24" t="s">
        <v>53</v>
      </c>
      <c r="F18" s="9" t="s">
        <v>47</v>
      </c>
      <c r="G18" s="4">
        <v>312</v>
      </c>
      <c r="H18" s="9"/>
      <c r="I18" s="2">
        <f xml:space="preserve"> 24.6571872279001 / 86400</f>
        <v>2.8538411143402891E-4</v>
      </c>
      <c r="J18" s="2">
        <f xml:space="preserve"> 125.3139580648 / 86400</f>
        <v>1.4503930331574075E-3</v>
      </c>
      <c r="K18" s="25">
        <f xml:space="preserve"> 70.6617929136435 / 86400</f>
        <v>8.1784482538939233E-4</v>
      </c>
      <c r="L18" s="2">
        <f xml:space="preserve"> 18.8124726584179 / 86400</f>
        <v>2.1773695206502198E-4</v>
      </c>
    </row>
    <row r="19" spans="2:12" x14ac:dyDescent="0.25">
      <c r="B19" s="4" t="s">
        <v>44</v>
      </c>
      <c r="C19" s="9" t="s">
        <v>45</v>
      </c>
      <c r="D19" s="4">
        <v>6</v>
      </c>
      <c r="E19" s="24" t="s">
        <v>54</v>
      </c>
      <c r="F19" s="9" t="s">
        <v>47</v>
      </c>
      <c r="G19" s="4">
        <v>312</v>
      </c>
      <c r="H19" s="9"/>
      <c r="I19" s="2">
        <f xml:space="preserve"> 27.572790432988 / 86400</f>
        <v>3.191295189003241E-4</v>
      </c>
      <c r="J19" s="2">
        <f xml:space="preserve"> 72.2515079003097 / 86400</f>
        <v>8.3624430440173265E-4</v>
      </c>
      <c r="K19" s="25">
        <f xml:space="preserve"> 49.6039097852833 / 86400</f>
        <v>5.7411932621855672E-4</v>
      </c>
      <c r="L19" s="2">
        <f xml:space="preserve"> 9.18326237590109 / 86400</f>
        <v>1.062877589803367E-4</v>
      </c>
    </row>
    <row r="20" spans="2:12" x14ac:dyDescent="0.25">
      <c r="B20" s="4" t="s">
        <v>44</v>
      </c>
      <c r="C20" s="9" t="s">
        <v>45</v>
      </c>
      <c r="D20" s="4">
        <v>7</v>
      </c>
      <c r="E20" s="24" t="s">
        <v>55</v>
      </c>
      <c r="F20" s="9" t="s">
        <v>47</v>
      </c>
      <c r="G20" s="4">
        <v>312</v>
      </c>
      <c r="H20" s="9"/>
      <c r="I20" s="2">
        <f xml:space="preserve"> 40.6858169137013 / 86400</f>
        <v>4.7090065872339469E-4</v>
      </c>
      <c r="J20" s="2">
        <f xml:space="preserve"> 112.5362880265 / 86400</f>
        <v>1.3025033336400464E-3</v>
      </c>
      <c r="K20" s="25">
        <f xml:space="preserve"> 69.6477718953256 / 86400</f>
        <v>8.06108471010713E-4</v>
      </c>
      <c r="L20" s="2">
        <f xml:space="preserve"> 10.8482422378766 / 86400</f>
        <v>1.2555835923468286E-4</v>
      </c>
    </row>
    <row r="21" spans="2:12" x14ac:dyDescent="0.25">
      <c r="B21" s="4" t="s">
        <v>44</v>
      </c>
      <c r="C21" s="9" t="s">
        <v>45</v>
      </c>
      <c r="D21" s="4">
        <v>8</v>
      </c>
      <c r="E21" s="24" t="s">
        <v>56</v>
      </c>
      <c r="F21" s="9" t="s">
        <v>47</v>
      </c>
      <c r="G21" s="4">
        <v>312</v>
      </c>
      <c r="H21" s="9"/>
      <c r="I21" s="2">
        <f xml:space="preserve"> 651.97108320866 / 86400</f>
        <v>7.5459616112113432E-3</v>
      </c>
      <c r="J21" s="2">
        <f xml:space="preserve"> 4436.7468719905 / 86400</f>
        <v>5.1351236944334494E-2</v>
      </c>
      <c r="K21" s="25">
        <f xml:space="preserve"> 2206.98923734974 / 86400</f>
        <v>2.554385691377014E-2</v>
      </c>
      <c r="L21" s="2">
        <f xml:space="preserve"> 768.675182066106 / 86400</f>
        <v>8.8967034961354857E-3</v>
      </c>
    </row>
    <row r="22" spans="2:12" x14ac:dyDescent="0.25">
      <c r="B22" s="4" t="s">
        <v>44</v>
      </c>
      <c r="C22" s="9" t="s">
        <v>45</v>
      </c>
      <c r="D22" s="4">
        <v>9</v>
      </c>
      <c r="E22" s="24" t="s">
        <v>57</v>
      </c>
      <c r="F22" s="9" t="s">
        <v>47</v>
      </c>
      <c r="G22" s="4">
        <v>46</v>
      </c>
      <c r="H22" s="9"/>
      <c r="I22" s="2">
        <f xml:space="preserve"> 685.67436558608 / 86400</f>
        <v>7.9360458979870364E-3</v>
      </c>
      <c r="J22" s="2">
        <f xml:space="preserve"> 2981.5286945175 / 86400</f>
        <v>3.4508433964322918E-2</v>
      </c>
      <c r="K22" s="25">
        <f xml:space="preserve"> 1579.93676173594 / 86400</f>
        <v>1.8286305112684493E-2</v>
      </c>
      <c r="L22" s="2">
        <f xml:space="preserve"> 532.592051867614 / 86400</f>
        <v>6.1642598595788665E-3</v>
      </c>
    </row>
    <row r="23" spans="2:12" x14ac:dyDescent="0.25">
      <c r="B23" s="4" t="s">
        <v>44</v>
      </c>
      <c r="C23" s="9" t="s">
        <v>45</v>
      </c>
      <c r="D23" s="4">
        <v>10</v>
      </c>
      <c r="E23" s="24" t="s">
        <v>58</v>
      </c>
      <c r="F23" s="9" t="s">
        <v>47</v>
      </c>
      <c r="G23" s="4">
        <v>312</v>
      </c>
      <c r="H23" s="9"/>
      <c r="I23" s="2">
        <f xml:space="preserve"> 630.8455986726 / 86400</f>
        <v>7.3014536883402774E-3</v>
      </c>
      <c r="J23" s="2">
        <f xml:space="preserve"> 1665.0735650426 / 86400</f>
        <v>1.9271684780585649E-2</v>
      </c>
      <c r="K23" s="25">
        <f xml:space="preserve"> 994.302572302195 / 86400</f>
        <v>1.1508131623867998E-2</v>
      </c>
      <c r="L23" s="2">
        <f xml:space="preserve"> 212.635648390807 / 86400</f>
        <v>2.4610607452639701E-3</v>
      </c>
    </row>
    <row r="24" spans="2:12" x14ac:dyDescent="0.25">
      <c r="B24" s="4" t="s">
        <v>44</v>
      </c>
      <c r="C24" s="9" t="s">
        <v>45</v>
      </c>
      <c r="D24" s="4">
        <v>11</v>
      </c>
      <c r="E24" s="24" t="s">
        <v>59</v>
      </c>
      <c r="F24" s="9" t="s">
        <v>47</v>
      </c>
      <c r="G24" s="4">
        <v>312</v>
      </c>
      <c r="H24" s="9"/>
      <c r="I24" s="2">
        <f xml:space="preserve"> 8.62653719756054 / 86400</f>
        <v>9.9844180527321053E-5</v>
      </c>
      <c r="J24" s="2">
        <f xml:space="preserve"> 89.039697333501 / 86400</f>
        <v>1.0305520524710764E-3</v>
      </c>
      <c r="K24" s="25">
        <f xml:space="preserve"> 53.1982011896952 / 86400</f>
        <v>6.157199211770277E-4</v>
      </c>
      <c r="L24" s="2">
        <f xml:space="preserve"> 22.0090973353704 / 86400</f>
        <v>2.5473492286308332E-4</v>
      </c>
    </row>
    <row r="25" spans="2:12" x14ac:dyDescent="0.25">
      <c r="B25" s="4" t="s">
        <v>44</v>
      </c>
      <c r="C25" s="9" t="s">
        <v>45</v>
      </c>
      <c r="D25" s="4">
        <v>12</v>
      </c>
      <c r="E25" s="24" t="s">
        <v>60</v>
      </c>
      <c r="F25" s="9" t="s">
        <v>47</v>
      </c>
      <c r="G25" s="4">
        <v>312</v>
      </c>
      <c r="H25" s="9"/>
      <c r="I25" s="2">
        <f xml:space="preserve"> 112.6435698245 / 86400</f>
        <v>1.3037450211168982E-3</v>
      </c>
      <c r="J25" s="2">
        <f xml:space="preserve"> 1269.4004966578 / 86400</f>
        <v>1.4692135377983796E-2</v>
      </c>
      <c r="K25" s="25">
        <f xml:space="preserve"> 556.805045774361 / 86400</f>
        <v>6.4445028446106596E-3</v>
      </c>
      <c r="L25" s="2">
        <f xml:space="preserve"> 234.006149957718 / 86400</f>
        <v>2.7084045133995141E-3</v>
      </c>
    </row>
    <row r="26" spans="2:12" x14ac:dyDescent="0.25">
      <c r="B26" s="4" t="s">
        <v>44</v>
      </c>
      <c r="C26" s="9" t="s">
        <v>45</v>
      </c>
      <c r="D26" s="4">
        <v>13</v>
      </c>
      <c r="E26" s="26" t="s">
        <v>61</v>
      </c>
      <c r="F26" s="9" t="s">
        <v>47</v>
      </c>
      <c r="G26" s="4">
        <v>52</v>
      </c>
      <c r="H26" s="9"/>
      <c r="I26" s="2">
        <f xml:space="preserve"> 380.1362451153 / 86400</f>
        <v>4.3997250592048617E-3</v>
      </c>
      <c r="J26" s="2">
        <f xml:space="preserve"> 794.0579054509 / 86400</f>
        <v>9.190485016792824E-3</v>
      </c>
      <c r="K26" s="27">
        <f xml:space="preserve"> 578.190404391459 / 86400</f>
        <v>6.6920185693455899E-3</v>
      </c>
      <c r="L26" s="2">
        <f xml:space="preserve"> 108.956812830154 / 86400</f>
        <v>1.2610742225712269E-3</v>
      </c>
    </row>
    <row r="27" spans="2:12" x14ac:dyDescent="0.25">
      <c r="B27" s="4" t="s">
        <v>44</v>
      </c>
      <c r="C27" s="9" t="s">
        <v>45</v>
      </c>
      <c r="D27" s="4">
        <v>14</v>
      </c>
      <c r="E27" s="26" t="s">
        <v>62</v>
      </c>
      <c r="F27" s="9" t="s">
        <v>47</v>
      </c>
      <c r="G27" s="4">
        <v>52</v>
      </c>
      <c r="H27" s="9"/>
      <c r="I27" s="2">
        <f xml:space="preserve"> 278.312299490601 / 86400</f>
        <v>3.2212071700301039E-3</v>
      </c>
      <c r="J27" s="2">
        <f xml:space="preserve"> 571.019097685901 / 86400</f>
        <v>6.6090173343275578E-3</v>
      </c>
      <c r="K27" s="27">
        <f xml:space="preserve"> 407.5948158892 / 86400</f>
        <v>4.7175325913101848E-3</v>
      </c>
      <c r="L27" s="2">
        <f xml:space="preserve"> 61.107420461533 / 86400</f>
        <v>7.0726181089737273E-4</v>
      </c>
    </row>
    <row r="28" spans="2:12" x14ac:dyDescent="0.25">
      <c r="B28" s="4" t="s">
        <v>44</v>
      </c>
      <c r="C28" s="9" t="s">
        <v>45</v>
      </c>
      <c r="D28" s="4">
        <v>15</v>
      </c>
      <c r="E28" s="26" t="s">
        <v>63</v>
      </c>
      <c r="F28" s="9" t="s">
        <v>47</v>
      </c>
      <c r="G28" s="4">
        <v>52</v>
      </c>
      <c r="H28" s="9"/>
      <c r="I28" s="2">
        <f xml:space="preserve"> 3032.3752147818 / 86400</f>
        <v>3.5096935356270835E-2</v>
      </c>
      <c r="J28" s="2">
        <f xml:space="preserve"> 5453.7603943813 / 86400</f>
        <v>6.3122226786820598E-2</v>
      </c>
      <c r="K28" s="27">
        <f xml:space="preserve"> 4161.50192873327 / 86400</f>
        <v>4.816553158256099E-2</v>
      </c>
      <c r="L28" s="2">
        <f xml:space="preserve"> 509.860522383419 / 86400</f>
        <v>5.9011634535117942E-3</v>
      </c>
    </row>
    <row r="29" spans="2:12" x14ac:dyDescent="0.25">
      <c r="B29" s="4" t="s">
        <v>44</v>
      </c>
      <c r="C29" s="9" t="s">
        <v>45</v>
      </c>
      <c r="D29" s="4">
        <v>16</v>
      </c>
      <c r="E29" s="26" t="s">
        <v>64</v>
      </c>
      <c r="F29" s="9" t="s">
        <v>47</v>
      </c>
      <c r="G29" s="4">
        <v>52</v>
      </c>
      <c r="H29" s="9"/>
      <c r="I29" s="2">
        <f xml:space="preserve"> 344.325642968703 / 86400</f>
        <v>3.9852504973229511E-3</v>
      </c>
      <c r="J29" s="2">
        <f xml:space="preserve"> 562.640928315297 / 86400</f>
        <v>6.512047781427048E-3</v>
      </c>
      <c r="K29" s="27">
        <f xml:space="preserve"> 465.76915294885 / 86400</f>
        <v>5.3908466776487265E-3</v>
      </c>
      <c r="L29" s="2">
        <f xml:space="preserve"> 50.3360660029298 / 86400</f>
        <v>5.8259335651539117E-4</v>
      </c>
    </row>
    <row r="30" spans="2:12" x14ac:dyDescent="0.25">
      <c r="B30" s="4" t="s">
        <v>44</v>
      </c>
      <c r="C30" s="9" t="s">
        <v>45</v>
      </c>
      <c r="D30" s="4">
        <v>17</v>
      </c>
      <c r="E30" s="26" t="s">
        <v>65</v>
      </c>
      <c r="F30" s="9" t="s">
        <v>47</v>
      </c>
      <c r="G30" s="4">
        <v>52</v>
      </c>
      <c r="H30" s="9"/>
      <c r="I30" s="2">
        <f xml:space="preserve"> 92.1537887640989 / 86400</f>
        <v>1.0665947773622559E-3</v>
      </c>
      <c r="J30" s="2">
        <f xml:space="preserve"> 243.618690587402 / 86400</f>
        <v>2.8196607706875232E-3</v>
      </c>
      <c r="K30" s="27">
        <f xml:space="preserve"> 165.562306224954 / 86400</f>
        <v>1.9162303961221528E-3</v>
      </c>
      <c r="L30" s="2">
        <f xml:space="preserve"> 35.2947632416033 / 86400</f>
        <v>4.0850420418522338E-4</v>
      </c>
    </row>
    <row r="31" spans="2:12" x14ac:dyDescent="0.25">
      <c r="B31" s="4" t="s">
        <v>44</v>
      </c>
      <c r="C31" s="9" t="s">
        <v>45</v>
      </c>
      <c r="D31" s="4">
        <v>999</v>
      </c>
      <c r="E31" s="9" t="s">
        <v>66</v>
      </c>
      <c r="F31" s="9" t="s">
        <v>47</v>
      </c>
      <c r="G31" s="4">
        <v>52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4" spans="4:13" x14ac:dyDescent="0.25">
      <c r="G34" s="15"/>
      <c r="H34" s="15"/>
      <c r="I34" s="15"/>
      <c r="J34" s="15"/>
      <c r="K34" s="15"/>
      <c r="L34" s="15"/>
      <c r="M34" s="15"/>
    </row>
    <row r="35" spans="4:13" x14ac:dyDescent="0.25">
      <c r="E35" s="12" t="s">
        <v>81</v>
      </c>
      <c r="F35" s="17" t="s">
        <v>73</v>
      </c>
      <c r="G35" s="15" t="s">
        <v>77</v>
      </c>
      <c r="H35" s="15" t="s">
        <v>78</v>
      </c>
      <c r="I35" s="37" t="s">
        <v>79</v>
      </c>
      <c r="J35" s="15"/>
      <c r="K35" s="15"/>
      <c r="L35" s="15"/>
      <c r="M35" s="15"/>
    </row>
    <row r="36" spans="4:13" x14ac:dyDescent="0.25">
      <c r="D36" s="30"/>
      <c r="E36" t="s">
        <v>49</v>
      </c>
      <c r="F36" s="19">
        <f>(K14*86400)/60</f>
        <v>3.2026719073338668</v>
      </c>
      <c r="G36" s="38">
        <v>52</v>
      </c>
      <c r="H36" s="38">
        <f>G36/52</f>
        <v>1</v>
      </c>
      <c r="I36" s="31">
        <f>F36*H36</f>
        <v>3.2026719073338668</v>
      </c>
      <c r="J36" s="15"/>
      <c r="K36" s="15"/>
      <c r="L36" s="15"/>
      <c r="M36" s="15"/>
    </row>
    <row r="37" spans="4:13" x14ac:dyDescent="0.25">
      <c r="D37" s="30"/>
      <c r="E37" t="s">
        <v>50</v>
      </c>
      <c r="F37" s="19">
        <f>(K15*86400)/60</f>
        <v>0.2478522635780383</v>
      </c>
      <c r="G37" s="38">
        <v>52</v>
      </c>
      <c r="H37" s="38">
        <f>G37/52</f>
        <v>1</v>
      </c>
      <c r="I37" s="31">
        <f>F37*H37</f>
        <v>0.2478522635780383</v>
      </c>
      <c r="J37" s="15"/>
      <c r="K37" s="15"/>
      <c r="L37" s="15"/>
      <c r="M37" s="15"/>
    </row>
    <row r="38" spans="4:13" x14ac:dyDescent="0.25">
      <c r="D38" s="30"/>
      <c r="E38" s="18" t="s">
        <v>51</v>
      </c>
      <c r="F38" s="20">
        <f>(K16*86400)/60</f>
        <v>0.50836386758298502</v>
      </c>
      <c r="G38" s="38">
        <v>52</v>
      </c>
      <c r="H38" s="38">
        <f>G38/52</f>
        <v>1</v>
      </c>
      <c r="I38" s="42">
        <f>F38*H38</f>
        <v>0.50836386758298502</v>
      </c>
      <c r="J38" s="37" t="s">
        <v>84</v>
      </c>
      <c r="K38" s="15"/>
      <c r="L38" s="15"/>
      <c r="M38" s="15"/>
    </row>
    <row r="39" spans="4:13" x14ac:dyDescent="0.25">
      <c r="E39" s="16" t="s">
        <v>72</v>
      </c>
      <c r="F39" s="21">
        <f>SUM(F36:F38)</f>
        <v>3.9588880384948903</v>
      </c>
      <c r="G39" s="38"/>
      <c r="H39" s="38"/>
      <c r="I39" s="32">
        <f>SUM(I36:I38)</f>
        <v>3.9588880384948903</v>
      </c>
      <c r="J39" s="15"/>
      <c r="K39" s="15"/>
      <c r="L39" s="15"/>
      <c r="M39" s="15"/>
    </row>
    <row r="40" spans="4:13" x14ac:dyDescent="0.25">
      <c r="F40" s="15"/>
      <c r="G40" s="38"/>
      <c r="H40" s="38"/>
      <c r="I40" s="31"/>
      <c r="J40" s="15"/>
      <c r="K40" s="15"/>
      <c r="L40" s="15"/>
      <c r="M40" s="15"/>
    </row>
    <row r="41" spans="4:13" x14ac:dyDescent="0.25">
      <c r="F41" s="15"/>
      <c r="G41" s="38"/>
      <c r="H41" s="38"/>
      <c r="I41" s="31"/>
      <c r="J41" s="15"/>
      <c r="K41" s="15"/>
      <c r="L41" s="15"/>
      <c r="M41" s="15"/>
    </row>
    <row r="42" spans="4:13" x14ac:dyDescent="0.25">
      <c r="E42" s="12" t="s">
        <v>82</v>
      </c>
      <c r="F42" s="17" t="s">
        <v>73</v>
      </c>
      <c r="G42" s="38"/>
      <c r="H42" s="38"/>
      <c r="I42" s="31"/>
      <c r="J42" s="15"/>
      <c r="K42" s="15"/>
      <c r="L42" s="15"/>
      <c r="M42" s="15"/>
    </row>
    <row r="43" spans="4:13" x14ac:dyDescent="0.25">
      <c r="D43" s="29"/>
      <c r="E43" t="s">
        <v>52</v>
      </c>
      <c r="F43" s="19">
        <f t="shared" ref="F43:F49" si="0">(K17*86400)/60</f>
        <v>3.1798701244135996</v>
      </c>
      <c r="G43" s="4">
        <v>52</v>
      </c>
      <c r="H43" s="38">
        <f t="shared" ref="H43:H60" si="1">G43/52</f>
        <v>1</v>
      </c>
      <c r="I43" s="31">
        <f t="shared" ref="I43:I60" si="2">F43*H43</f>
        <v>3.1798701244135996</v>
      </c>
      <c r="J43" s="15"/>
      <c r="K43" s="15"/>
      <c r="L43" s="15"/>
      <c r="M43" s="15"/>
    </row>
    <row r="44" spans="4:13" x14ac:dyDescent="0.25">
      <c r="D44" s="29"/>
      <c r="E44" t="s">
        <v>53</v>
      </c>
      <c r="F44" s="19">
        <f t="shared" si="0"/>
        <v>1.1776965485607249</v>
      </c>
      <c r="G44" s="4">
        <v>312</v>
      </c>
      <c r="H44" s="38">
        <f t="shared" si="1"/>
        <v>6</v>
      </c>
      <c r="I44" s="31">
        <f t="shared" si="2"/>
        <v>7.0661792913643495</v>
      </c>
      <c r="J44" s="15"/>
      <c r="K44" s="15"/>
      <c r="L44" s="15"/>
      <c r="M44" s="15"/>
    </row>
    <row r="45" spans="4:13" x14ac:dyDescent="0.25">
      <c r="D45" s="29"/>
      <c r="E45" t="s">
        <v>54</v>
      </c>
      <c r="F45" s="19">
        <f t="shared" si="0"/>
        <v>0.8267318297547217</v>
      </c>
      <c r="G45" s="4">
        <v>312</v>
      </c>
      <c r="H45" s="38">
        <f t="shared" si="1"/>
        <v>6</v>
      </c>
      <c r="I45" s="31">
        <f t="shared" si="2"/>
        <v>4.9603909785283307</v>
      </c>
      <c r="J45" s="15"/>
      <c r="K45" s="15"/>
      <c r="L45" s="15"/>
      <c r="M45" s="15"/>
    </row>
    <row r="46" spans="4:13" x14ac:dyDescent="0.25">
      <c r="D46" s="29"/>
      <c r="E46" t="s">
        <v>55</v>
      </c>
      <c r="F46" s="19">
        <f t="shared" si="0"/>
        <v>1.1607961982554267</v>
      </c>
      <c r="G46" s="4">
        <v>312</v>
      </c>
      <c r="H46" s="38">
        <f t="shared" si="1"/>
        <v>6</v>
      </c>
      <c r="I46" s="31">
        <f t="shared" si="2"/>
        <v>6.9647771895325601</v>
      </c>
      <c r="J46" s="15"/>
      <c r="K46" s="15"/>
      <c r="L46" s="15"/>
      <c r="M46" s="15"/>
    </row>
    <row r="47" spans="4:13" x14ac:dyDescent="0.25">
      <c r="D47" s="29"/>
      <c r="E47" t="s">
        <v>56</v>
      </c>
      <c r="F47" s="19">
        <f t="shared" si="0"/>
        <v>36.783153955829</v>
      </c>
      <c r="G47" s="4">
        <v>312</v>
      </c>
      <c r="H47" s="38">
        <f>G47/52</f>
        <v>6</v>
      </c>
      <c r="I47" s="31">
        <f t="shared" si="2"/>
        <v>220.69892373497402</v>
      </c>
      <c r="J47" s="15"/>
      <c r="K47" s="15"/>
      <c r="L47" s="15"/>
      <c r="M47" s="15"/>
    </row>
    <row r="48" spans="4:13" x14ac:dyDescent="0.25">
      <c r="D48" s="29"/>
      <c r="E48" t="s">
        <v>57</v>
      </c>
      <c r="F48" s="19">
        <f t="shared" si="0"/>
        <v>26.33227936226567</v>
      </c>
      <c r="G48" s="4">
        <v>46</v>
      </c>
      <c r="H48" s="15">
        <f>G48/52</f>
        <v>0.88461538461538458</v>
      </c>
      <c r="I48" s="31">
        <f t="shared" si="2"/>
        <v>23.293939435850398</v>
      </c>
      <c r="J48" s="15"/>
      <c r="K48" s="15"/>
      <c r="L48" s="15"/>
      <c r="M48" s="15"/>
    </row>
    <row r="49" spans="4:13" x14ac:dyDescent="0.25">
      <c r="D49" s="29"/>
      <c r="E49" t="s">
        <v>58</v>
      </c>
      <c r="F49" s="19">
        <f t="shared" si="0"/>
        <v>16.571709538369916</v>
      </c>
      <c r="G49" s="4">
        <v>312</v>
      </c>
      <c r="H49" s="38">
        <f t="shared" si="1"/>
        <v>6</v>
      </c>
      <c r="I49" s="31">
        <f t="shared" si="2"/>
        <v>99.430257230219496</v>
      </c>
      <c r="J49" s="15"/>
      <c r="K49" s="15"/>
      <c r="L49" s="15"/>
      <c r="M49" s="15"/>
    </row>
    <row r="50" spans="4:13" x14ac:dyDescent="0.25">
      <c r="D50" s="29"/>
      <c r="E50" t="s">
        <v>59</v>
      </c>
      <c r="F50" s="19">
        <f>(K24*86400)/60</f>
        <v>0.88663668649491989</v>
      </c>
      <c r="G50" s="4">
        <v>312</v>
      </c>
      <c r="H50" s="38">
        <f t="shared" si="1"/>
        <v>6</v>
      </c>
      <c r="I50" s="31">
        <f t="shared" si="2"/>
        <v>5.3198201189695196</v>
      </c>
      <c r="J50" s="15"/>
      <c r="K50" s="15"/>
      <c r="L50" s="15"/>
      <c r="M50" s="15"/>
    </row>
    <row r="51" spans="4:13" x14ac:dyDescent="0.25">
      <c r="D51" s="29"/>
      <c r="E51" s="18" t="s">
        <v>60</v>
      </c>
      <c r="F51" s="20">
        <f>(K25*86400)/60</f>
        <v>9.2800840962393512</v>
      </c>
      <c r="G51" s="4">
        <v>312</v>
      </c>
      <c r="H51" s="38">
        <f t="shared" si="1"/>
        <v>6</v>
      </c>
      <c r="I51" s="39">
        <f t="shared" si="2"/>
        <v>55.68050457743611</v>
      </c>
      <c r="J51" s="15"/>
      <c r="K51" s="15"/>
      <c r="L51" s="15"/>
      <c r="M51" s="15"/>
    </row>
    <row r="52" spans="4:13" x14ac:dyDescent="0.25">
      <c r="E52" s="16" t="s">
        <v>74</v>
      </c>
      <c r="F52" s="21">
        <f>SUM(F43:F51)</f>
        <v>96.198958340183339</v>
      </c>
      <c r="G52" s="38"/>
      <c r="H52" s="38"/>
      <c r="I52" s="32">
        <f>SUM(I43:I51)</f>
        <v>426.59466268128836</v>
      </c>
      <c r="J52" s="15"/>
      <c r="K52" s="15"/>
      <c r="L52" s="15"/>
      <c r="M52" s="15"/>
    </row>
    <row r="53" spans="4:13" x14ac:dyDescent="0.25">
      <c r="F53" s="15"/>
      <c r="G53" s="38"/>
      <c r="H53" s="38"/>
      <c r="I53" s="31"/>
      <c r="J53" s="15"/>
      <c r="K53" s="15"/>
      <c r="L53" s="15"/>
      <c r="M53" s="15"/>
    </row>
    <row r="54" spans="4:13" x14ac:dyDescent="0.25">
      <c r="F54" s="15"/>
      <c r="G54" s="38"/>
      <c r="H54" s="38"/>
      <c r="I54" s="31"/>
      <c r="J54" s="15"/>
      <c r="K54" s="15"/>
      <c r="L54" s="15"/>
      <c r="M54" s="15"/>
    </row>
    <row r="55" spans="4:13" x14ac:dyDescent="0.25">
      <c r="E55" s="12" t="s">
        <v>75</v>
      </c>
      <c r="F55" s="17" t="s">
        <v>73</v>
      </c>
      <c r="G55" s="38"/>
      <c r="H55" s="38"/>
      <c r="I55" s="31"/>
      <c r="J55" s="15"/>
      <c r="K55" s="15"/>
      <c r="L55" s="15"/>
      <c r="M55" s="15"/>
    </row>
    <row r="56" spans="4:13" x14ac:dyDescent="0.25">
      <c r="D56" s="28"/>
      <c r="E56" t="s">
        <v>61</v>
      </c>
      <c r="F56" s="19">
        <f>(K26*86400)/60</f>
        <v>9.6365067398576496</v>
      </c>
      <c r="G56" s="4">
        <v>52</v>
      </c>
      <c r="H56" s="38">
        <f t="shared" si="1"/>
        <v>1</v>
      </c>
      <c r="I56" s="31">
        <f t="shared" si="2"/>
        <v>9.6365067398576496</v>
      </c>
      <c r="J56" s="15"/>
      <c r="K56" s="15"/>
      <c r="L56" s="15"/>
      <c r="M56" s="15"/>
    </row>
    <row r="57" spans="4:13" x14ac:dyDescent="0.25">
      <c r="D57" s="28"/>
      <c r="E57" t="s">
        <v>62</v>
      </c>
      <c r="F57" s="19">
        <f>(K27*86400)/60</f>
        <v>6.7932469314866664</v>
      </c>
      <c r="G57" s="4">
        <v>52</v>
      </c>
      <c r="H57" s="38">
        <f t="shared" si="1"/>
        <v>1</v>
      </c>
      <c r="I57" s="31">
        <f t="shared" si="2"/>
        <v>6.7932469314866664</v>
      </c>
      <c r="J57" s="15"/>
      <c r="K57" s="15"/>
      <c r="L57" s="15"/>
      <c r="M57" s="15"/>
    </row>
    <row r="58" spans="4:13" x14ac:dyDescent="0.25">
      <c r="D58" s="28"/>
      <c r="E58" t="s">
        <v>63</v>
      </c>
      <c r="F58" s="19">
        <f>(K28*86400)/60</f>
        <v>69.358365478887833</v>
      </c>
      <c r="G58" s="4">
        <v>52</v>
      </c>
      <c r="H58" s="38">
        <f t="shared" si="1"/>
        <v>1</v>
      </c>
      <c r="I58" s="31">
        <f t="shared" si="2"/>
        <v>69.358365478887833</v>
      </c>
      <c r="J58" s="15"/>
      <c r="K58" s="15"/>
      <c r="L58" s="15"/>
      <c r="M58" s="15"/>
    </row>
    <row r="59" spans="4:13" x14ac:dyDescent="0.25">
      <c r="D59" s="28"/>
      <c r="E59" t="s">
        <v>64</v>
      </c>
      <c r="F59" s="19">
        <f>(K29*86400)/60</f>
        <v>7.762819215814166</v>
      </c>
      <c r="G59" s="4">
        <v>52</v>
      </c>
      <c r="H59" s="38">
        <f t="shared" si="1"/>
        <v>1</v>
      </c>
      <c r="I59" s="31">
        <f t="shared" si="2"/>
        <v>7.762819215814166</v>
      </c>
      <c r="J59" s="15"/>
      <c r="K59" s="15"/>
      <c r="L59" s="15"/>
      <c r="M59" s="15"/>
    </row>
    <row r="60" spans="4:13" x14ac:dyDescent="0.25">
      <c r="D60" s="28"/>
      <c r="E60" s="18" t="s">
        <v>65</v>
      </c>
      <c r="F60" s="20">
        <f>(K30*86400)/60</f>
        <v>2.7593717704159002</v>
      </c>
      <c r="G60" s="4">
        <v>52</v>
      </c>
      <c r="H60" s="38">
        <f t="shared" si="1"/>
        <v>1</v>
      </c>
      <c r="I60" s="39">
        <f t="shared" si="2"/>
        <v>2.7593717704159002</v>
      </c>
      <c r="J60" s="15"/>
      <c r="K60" s="15"/>
      <c r="L60" s="15"/>
      <c r="M60" s="15"/>
    </row>
    <row r="61" spans="4:13" x14ac:dyDescent="0.25">
      <c r="E61" s="16" t="s">
        <v>74</v>
      </c>
      <c r="F61" s="21">
        <f>SUM(F56:F60)</f>
        <v>96.310310136462206</v>
      </c>
      <c r="G61" s="15"/>
      <c r="H61" s="15"/>
      <c r="I61" s="32">
        <f>SUM(I56:I60)</f>
        <v>96.310310136462206</v>
      </c>
      <c r="J61" s="15"/>
      <c r="K61" s="15"/>
      <c r="L61" s="15"/>
      <c r="M61" s="15"/>
    </row>
    <row r="62" spans="4:13" x14ac:dyDescent="0.25">
      <c r="F62" s="15"/>
      <c r="G62" s="15"/>
      <c r="H62" s="15"/>
      <c r="I62" s="31"/>
      <c r="J62" s="15"/>
      <c r="K62" s="15"/>
      <c r="L62" s="15"/>
      <c r="M62" s="15"/>
    </row>
    <row r="63" spans="4:13" x14ac:dyDescent="0.25">
      <c r="F63" s="15"/>
      <c r="G63" s="15"/>
      <c r="H63" s="15"/>
      <c r="I63" s="31"/>
      <c r="J63" s="15"/>
      <c r="K63" s="15"/>
      <c r="L63" s="15"/>
      <c r="M63" s="15"/>
    </row>
    <row r="64" spans="4:13" x14ac:dyDescent="0.25">
      <c r="D64" s="41"/>
      <c r="E64" s="16" t="s">
        <v>83</v>
      </c>
      <c r="F64" s="37">
        <f>I52+SUM(I56:I59)</f>
        <v>520.14560104733471</v>
      </c>
      <c r="G64" s="15"/>
      <c r="H64" s="40" t="s">
        <v>80</v>
      </c>
      <c r="I64" s="35">
        <f>I39+I52+I61</f>
        <v>526.86386085624542</v>
      </c>
      <c r="J64" s="15"/>
      <c r="K64" s="15"/>
      <c r="L64" s="15"/>
      <c r="M64" s="15"/>
    </row>
    <row r="65" spans="6:13" x14ac:dyDescent="0.25">
      <c r="F65" s="15"/>
      <c r="G65" s="15"/>
      <c r="H65" s="15"/>
      <c r="I65" s="15"/>
      <c r="J65" s="15"/>
      <c r="K65" s="15"/>
      <c r="L65" s="15"/>
      <c r="M65" s="15"/>
    </row>
    <row r="66" spans="6:13" x14ac:dyDescent="0.25">
      <c r="F66" s="15"/>
      <c r="G66" s="15"/>
      <c r="H66" s="15"/>
      <c r="I66" s="15"/>
      <c r="J66" s="15"/>
      <c r="K66" s="15"/>
      <c r="L66" s="15"/>
      <c r="M66" s="15"/>
    </row>
    <row r="67" spans="6:13" x14ac:dyDescent="0.25">
      <c r="F67" s="15"/>
    </row>
    <row r="68" spans="6:13" x14ac:dyDescent="0.25">
      <c r="F68" s="15"/>
    </row>
    <row r="69" spans="6:13" x14ac:dyDescent="0.25">
      <c r="F69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2025-05-10T03:30:48Z</dcterms:created>
  <dcterms:modified xsi:type="dcterms:W3CDTF">2025-06-03T04:46:34Z</dcterms:modified>
</cp:coreProperties>
</file>