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369EC4A0-44C5-49A1-9800-0895FFC25BEE}" xr6:coauthVersionLast="47" xr6:coauthVersionMax="47" xr10:uidLastSave="{00000000-0000-0000-0000-000000000000}"/>
  <bookViews>
    <workbookView xWindow="-120" yWindow="-120" windowWidth="51840" windowHeight="21120" tabRatio="719" activeTab="2" xr2:uid="{2364611B-353C-4BEA-A3FC-4F86FFF3E239}"/>
  </bookViews>
  <sheets>
    <sheet name="Scenario Performance" sheetId="1" r:id="rId1"/>
    <sheet name="Task Performance" sheetId="4" r:id="rId2"/>
    <sheet name="Task Performance (Cleaned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F64" i="2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D16" i="1" l="1"/>
  <c r="I64" i="2"/>
  <c r="I61" i="2"/>
  <c r="I60" i="2"/>
  <c r="I59" i="2"/>
  <c r="I58" i="2"/>
  <c r="I57" i="2"/>
  <c r="I56" i="2"/>
  <c r="I51" i="2"/>
  <c r="I50" i="2"/>
  <c r="I49" i="2"/>
  <c r="I48" i="2"/>
  <c r="I47" i="2"/>
  <c r="I46" i="2"/>
  <c r="I52" i="2" s="1"/>
  <c r="I45" i="2"/>
  <c r="I44" i="2"/>
  <c r="I43" i="2"/>
  <c r="I38" i="2"/>
  <c r="I37" i="2"/>
  <c r="I36" i="2"/>
  <c r="I39" i="2" s="1"/>
  <c r="H60" i="2"/>
  <c r="H59" i="2"/>
  <c r="H58" i="2"/>
  <c r="H57" i="2"/>
  <c r="H56" i="2"/>
  <c r="H51" i="2"/>
  <c r="H50" i="2"/>
  <c r="H49" i="2"/>
  <c r="H48" i="2"/>
  <c r="H47" i="2"/>
  <c r="H46" i="2"/>
  <c r="H45" i="2"/>
  <c r="H44" i="2"/>
  <c r="H43" i="2"/>
  <c r="H38" i="2"/>
  <c r="H37" i="2"/>
  <c r="H36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F36" i="2" s="1"/>
  <c r="K15" i="2"/>
  <c r="F37" i="2" s="1"/>
  <c r="K16" i="2"/>
  <c r="F38" i="2" s="1"/>
  <c r="K17" i="2"/>
  <c r="F43" i="2" s="1"/>
  <c r="K18" i="2"/>
  <c r="F44" i="2" s="1"/>
  <c r="K19" i="2"/>
  <c r="F45" i="2" s="1"/>
  <c r="K20" i="2"/>
  <c r="F46" i="2" s="1"/>
  <c r="K21" i="2"/>
  <c r="F47" i="2" s="1"/>
  <c r="K22" i="2"/>
  <c r="F48" i="2" s="1"/>
  <c r="K23" i="2"/>
  <c r="F49" i="2" s="1"/>
  <c r="K24" i="2"/>
  <c r="F50" i="2" s="1"/>
  <c r="K25" i="2"/>
  <c r="F51" i="2" s="1"/>
  <c r="K26" i="2"/>
  <c r="F56" i="2" s="1"/>
  <c r="K27" i="2"/>
  <c r="F57" i="2" s="1"/>
  <c r="K28" i="2"/>
  <c r="F58" i="2" s="1"/>
  <c r="K29" i="2"/>
  <c r="F59" i="2" s="1"/>
  <c r="K30" i="2"/>
  <c r="F60" i="2" s="1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7" i="1"/>
  <c r="F61" i="2" l="1"/>
  <c r="F39" i="2"/>
  <c r="F52" i="2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<sst xmlns="http://schemas.openxmlformats.org/spreadsheetml/2006/main" count="305" uniqueCount="84">
  <si>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</si>
  <si>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</si>
  <si>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</si>
  <si>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</si>
  <si>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</si>
  <si>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</si>
  <si>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</si>
  <si>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</si>
  <si>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</si>
  <si>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</si>
  <si>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</si>
  <si>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</si>
  <si>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</si>
  <si>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</si>
  <si>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</si>
  <si>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</si>
  <si>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</si>
  <si>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</si>
  <si>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</si>
  <si>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</si>
  <si>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</si>
  <si>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</si>
  <si>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</si>
  <si>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</si>
  <si>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</si>
  <si>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</si>
  <si>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ID</t>
  </si>
  <si>
    <t>Name</t>
  </si>
  <si>
    <t>Times Performed</t>
  </si>
  <si>
    <t>Minimum</t>
  </si>
  <si>
    <t>Maximum</t>
  </si>
  <si>
    <t>Mean</t>
  </si>
  <si>
    <t>Std. Dev.</t>
  </si>
  <si>
    <t>Root</t>
  </si>
  <si>
    <t>(Root)</t>
  </si>
  <si>
    <t>Model START</t>
  </si>
  <si>
    <t>Operator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</si>
  <si>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</si>
  <si>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</si>
  <si>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</si>
  <si>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</si>
  <si>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</si>
  <si>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</si>
  <si>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</si>
  <si>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</si>
  <si>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</si>
  <si>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</si>
  <si>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</si>
  <si>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</si>
  <si>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</si>
  <si>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</si>
  <si>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</si>
  <si>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</si>
  <si>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</si>
  <si>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</si>
  <si>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</si>
  <si>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</si>
  <si>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</si>
  <si>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</si>
  <si>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15</t>
  </si>
  <si>
    <t>Satellite Contact Window Requirement</t>
  </si>
  <si>
    <t>Mean (Minutes)</t>
  </si>
  <si>
    <t>Image Processing and Analysis</t>
  </si>
  <si>
    <t>Group 3 - Task Name</t>
  </si>
  <si>
    <t># of Simulations</t>
  </si>
  <si>
    <t># of Repetitions</t>
  </si>
  <si>
    <t>Sum of Mean (Minutes)</t>
  </si>
  <si>
    <t>Total Sim. Time</t>
  </si>
  <si>
    <t>(minutes)</t>
  </si>
  <si>
    <t>Analytical Tasks Requiring Accuracy - Mean (Minutes)</t>
  </si>
  <si>
    <t>Group 1 - Task Name</t>
  </si>
  <si>
    <t>Group 2 - Task Name</t>
  </si>
  <si>
    <t>% Met</t>
  </si>
  <si>
    <t>Accuracy</t>
  </si>
  <si>
    <t>% Successful</t>
  </si>
  <si>
    <t>Both Time and Accuracy</t>
  </si>
  <si>
    <t>Requirement</t>
  </si>
  <si>
    <t>Accuracy Measure</t>
  </si>
  <si>
    <t>Failures</t>
  </si>
  <si>
    <t>Scenario Aborts</t>
  </si>
  <si>
    <t>Criterion</t>
  </si>
  <si>
    <t>Results</t>
  </si>
  <si>
    <t>Percent Steps Correct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</si>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</sst>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h]:mm:ss.00"/>
    <numFmt numFmtId="165" formatCode="0\ "/>
    <numFmt numFmtId="166" formatCode="0.00000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1" fillId="0" borderId="0" xfId="0" applyNumberFormat="1" applyFont="1"/>
    <xf numFmtId="1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7" fontId="1" fillId="0" borderId="0" xfId="0" applyNumberFormat="1" applyFont="1"/>
    <xf numFmtId="0" fontId="1" fillId="5" borderId="0" xfId="0" applyFont="1" applyFill="1"/>
    <xf numFmtId="168" fontId="1" fillId="5" borderId="0" xfId="0" applyNumberFormat="1" applyFont="1" applyFill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0" fillId="6" borderId="0" xfId="0" applyFill="1"/>
    <xf numFmtId="167" fontId="0" fillId="5" borderId="1" xfId="0" applyNumberFormat="1" applyFill="1" applyBorder="1"/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3EE450-442F-F734-C75C-5923F98317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AAB3E-8522-429C-8C8E-10B9111E5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DD34F9-0E0E-6688-FC24-F56792274E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8B3F-727A-47DF-80A3-898620C048D2}">
  <dimension ref="A1:E30"/>
  <sheetViews>
    <sheetView workbookViewId="0">
      <selection activeCell="D16" sqref="D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6.42578125" customWidth="1"/>
  </cols>
  <sheetData>
    <row r="1" spans="1:5" x14ac:dyDescent="0.25">
      <c r="A1" s="42"/>
    </row>
    <row r="2" spans="1:5" ht="18.75" x14ac:dyDescent="0.3">
      <c r="A2" s="42"/>
      <c r="B2" s="6" t="s">
        <v>16</v>
      </c>
    </row>
    <row r="3" spans="1:5" ht="17.25" x14ac:dyDescent="0.3">
      <c r="A3" s="42"/>
      <c r="B3" s="7" t="s">
        <v>17</v>
      </c>
    </row>
    <row r="4" spans="1:5" x14ac:dyDescent="0.25">
      <c r="A4" s="42"/>
      <c r="B4" s="9"/>
    </row>
    <row r="5" spans="1:5" x14ac:dyDescent="0.25">
      <c r="A5" s="5" t="s">
        <v>18</v>
      </c>
      <c r="B5" s="8" t="s">
        <v>58</v>
      </c>
    </row>
    <row r="6" spans="1:5" x14ac:dyDescent="0.25">
      <c r="A6" s="5" t="s">
        <v>19</v>
      </c>
      <c r="B6" s="8" t="s">
        <v>59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77853</v>
      </c>
    </row>
    <row r="10" spans="1:5" x14ac:dyDescent="0.25">
      <c r="A10" s="5" t="s">
        <v>21</v>
      </c>
      <c r="B10" s="8">
        <v>33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8328.6496901309 / 86400</f>
        <v>9.6396408450589124E-2</v>
      </c>
    </row>
    <row r="15" spans="1:5" x14ac:dyDescent="0.25">
      <c r="B15" s="1" t="s">
        <v>2</v>
      </c>
      <c r="C15" s="2">
        <f xml:space="preserve"> 13682.5985095413 / 86400</f>
        <v>0.15836340867524654</v>
      </c>
    </row>
    <row r="16" spans="1:5" x14ac:dyDescent="0.25">
      <c r="B16" s="36" t="s">
        <v>3</v>
      </c>
      <c r="C16" s="37">
        <f xml:space="preserve"> 10225.3310019643 / 86400</f>
        <v>0.11834873844866087</v>
      </c>
      <c r="D16" s="35">
        <f>(C16*86400)/60</f>
        <v>170.42218336607166</v>
      </c>
      <c r="E16" s="34" t="s">
        <v>68</v>
      </c>
    </row>
    <row r="17" spans="2:3" x14ac:dyDescent="0.25">
      <c r="B17" s="1" t="s">
        <v>4</v>
      </c>
      <c r="C17" s="2">
        <f xml:space="preserve"> 1112.72496120514 / 86400</f>
        <v>1.2878761125059491E-2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DE04-7424-44AB-8388-509F80BD9C2E}">
  <dimension ref="A1:X32"/>
  <sheetViews>
    <sheetView workbookViewId="0">
      <selection activeCell="J13" sqref="J13:J30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8.7109375" customWidth="1"/>
    <col min="9" max="9" width="22.42578125" bestFit="1" customWidth="1"/>
    <col min="10" max="12" width="10.7109375" bestFit="1" customWidth="1"/>
    <col min="13" max="13" width="15.28515625" customWidth="1"/>
    <col min="16" max="16" width="20.28515625" bestFit="1" customWidth="1"/>
    <col min="17" max="17" width="8.140625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2"/>
    </row>
    <row r="2" spans="1:24" ht="18.75" x14ac:dyDescent="0.3">
      <c r="A2" s="42"/>
      <c r="B2" s="6" t="s">
        <v>16</v>
      </c>
    </row>
    <row r="3" spans="1:24" ht="17.25" x14ac:dyDescent="0.3">
      <c r="A3" s="42"/>
      <c r="B3" s="7" t="s">
        <v>55</v>
      </c>
    </row>
    <row r="4" spans="1:24" x14ac:dyDescent="0.25">
      <c r="A4" s="42"/>
      <c r="B4" s="9"/>
    </row>
    <row r="5" spans="1:24" x14ac:dyDescent="0.25">
      <c r="A5" s="5" t="s">
        <v>18</v>
      </c>
      <c r="B5" s="8" t="s">
        <v>58</v>
      </c>
    </row>
    <row r="6" spans="1:24" x14ac:dyDescent="0.25">
      <c r="A6" s="5" t="s">
        <v>19</v>
      </c>
      <c r="B6" s="8" t="s">
        <v>59</v>
      </c>
    </row>
    <row r="7" spans="1:24" x14ac:dyDescent="0.25">
      <c r="A7" s="5" t="s">
        <v>20</v>
      </c>
      <c r="B7" s="11">
        <v>77853</v>
      </c>
    </row>
    <row r="8" spans="1:24" x14ac:dyDescent="0.25">
      <c r="A8" s="5"/>
      <c r="B8" s="10"/>
    </row>
    <row r="9" spans="1:24" x14ac:dyDescent="0.25">
      <c r="A9" s="5" t="s">
        <v>56</v>
      </c>
      <c r="B9" s="9" t="s">
        <v>57</v>
      </c>
    </row>
    <row r="11" spans="1:24" s="12" customFormat="1" x14ac:dyDescent="0.25">
      <c r="B11" s="43" t="s">
        <v>22</v>
      </c>
      <c r="C11" s="44"/>
      <c r="D11" s="43" t="s">
        <v>23</v>
      </c>
      <c r="E11" s="44"/>
      <c r="F11" s="47" t="s">
        <v>24</v>
      </c>
      <c r="I11" s="43" t="s">
        <v>25</v>
      </c>
      <c r="J11" s="43"/>
      <c r="K11" s="43"/>
      <c r="L11" s="43"/>
      <c r="M11" s="43"/>
      <c r="N11" s="45" t="s">
        <v>72</v>
      </c>
      <c r="P11" s="43" t="s">
        <v>73</v>
      </c>
      <c r="Q11" s="44"/>
      <c r="R11" s="44"/>
      <c r="S11" s="44"/>
      <c r="T11" s="43" t="s">
        <v>74</v>
      </c>
      <c r="V11" s="43" t="s">
        <v>75</v>
      </c>
      <c r="W11" s="44"/>
      <c r="X11" s="44"/>
    </row>
    <row r="12" spans="1:24" s="12" customFormat="1" x14ac:dyDescent="0.25">
      <c r="B12" s="12" t="s">
        <v>26</v>
      </c>
      <c r="C12" s="12" t="s">
        <v>27</v>
      </c>
      <c r="D12" s="12" t="s">
        <v>26</v>
      </c>
      <c r="E12" s="12" t="s">
        <v>27</v>
      </c>
      <c r="F12" s="48"/>
      <c r="G12" s="12" t="s">
        <v>28</v>
      </c>
      <c r="I12" s="12" t="s">
        <v>29</v>
      </c>
      <c r="J12" s="12" t="s">
        <v>30</v>
      </c>
      <c r="K12" s="12" t="s">
        <v>31</v>
      </c>
      <c r="L12" s="12" t="s">
        <v>32</v>
      </c>
      <c r="M12" s="12" t="s">
        <v>76</v>
      </c>
      <c r="N12" s="46"/>
      <c r="P12" s="12" t="s">
        <v>77</v>
      </c>
      <c r="Q12" s="12" t="s">
        <v>78</v>
      </c>
      <c r="R12" s="12" t="s">
        <v>79</v>
      </c>
      <c r="S12" s="12" t="s">
        <v>76</v>
      </c>
      <c r="T12" s="43"/>
      <c r="V12" s="12" t="s">
        <v>80</v>
      </c>
      <c r="W12" s="12" t="s">
        <v>74</v>
      </c>
      <c r="X12" s="12" t="s">
        <v>81</v>
      </c>
    </row>
    <row r="13" spans="1:24" x14ac:dyDescent="0.25">
      <c r="B13" s="4" t="s">
        <v>33</v>
      </c>
      <c r="C13" s="9" t="s">
        <v>34</v>
      </c>
      <c r="D13" s="4">
        <v>0</v>
      </c>
      <c r="E13" s="9" t="s">
        <v>35</v>
      </c>
      <c r="F13" s="9" t="s">
        <v>36</v>
      </c>
      <c r="G13" s="4">
        <v>33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P13" s="40" t="s">
        <v>82</v>
      </c>
      <c r="Q13" s="41">
        <v>0</v>
      </c>
      <c r="R13" s="41">
        <v>0</v>
      </c>
      <c r="S13" s="3">
        <v>0</v>
      </c>
      <c r="T13" s="3">
        <v>100</v>
      </c>
      <c r="V13" s="3">
        <v>0</v>
      </c>
      <c r="W13" s="3">
        <v>100</v>
      </c>
      <c r="X13" s="4" t="s">
        <v>15</v>
      </c>
    </row>
    <row r="14" spans="1:24" x14ac:dyDescent="0.25">
      <c r="B14" s="4" t="s">
        <v>33</v>
      </c>
      <c r="C14" s="9" t="s">
        <v>34</v>
      </c>
      <c r="D14" s="4">
        <v>1</v>
      </c>
      <c r="E14" s="9" t="s">
        <v>37</v>
      </c>
      <c r="F14" s="9" t="s">
        <v>36</v>
      </c>
      <c r="G14" s="4">
        <v>33</v>
      </c>
      <c r="H14" s="9"/>
      <c r="I14" s="2">
        <f xml:space="preserve"> 104.138424651762 / 86400</f>
        <v>1.2053058408768749E-3</v>
      </c>
      <c r="J14" s="2">
        <f xml:space="preserve"> 288.637402099854 / 86400</f>
        <v>3.340710672452014E-3</v>
      </c>
      <c r="K14" s="2">
        <f xml:space="preserve"> 191.890534658075 / 86400</f>
        <v>2.2209552622462388E-3</v>
      </c>
      <c r="L14" s="2">
        <f xml:space="preserve"> 50.3206595108592 / 86400</f>
        <v>5.8241504063494449E-4</v>
      </c>
      <c r="M14" s="2">
        <f t="shared" ref="M14:M31" si="0" xml:space="preserve"> 0 / 86400</f>
        <v>0</v>
      </c>
      <c r="N14" s="3">
        <v>0</v>
      </c>
      <c r="P14" s="40" t="s">
        <v>82</v>
      </c>
      <c r="Q14" s="41">
        <v>0</v>
      </c>
      <c r="R14" s="41">
        <v>0</v>
      </c>
      <c r="S14" s="3">
        <v>0</v>
      </c>
      <c r="T14" s="3">
        <v>100</v>
      </c>
      <c r="V14" s="3">
        <v>0</v>
      </c>
      <c r="W14" s="3">
        <v>0</v>
      </c>
      <c r="X14" s="4" t="s">
        <v>15</v>
      </c>
    </row>
    <row r="15" spans="1:24" x14ac:dyDescent="0.25">
      <c r="B15" s="4" t="s">
        <v>33</v>
      </c>
      <c r="C15" s="9" t="s">
        <v>34</v>
      </c>
      <c r="D15" s="4">
        <v>2</v>
      </c>
      <c r="E15" s="9" t="s">
        <v>38</v>
      </c>
      <c r="F15" s="9" t="s">
        <v>36</v>
      </c>
      <c r="G15" s="4">
        <v>33</v>
      </c>
      <c r="H15" s="9"/>
      <c r="I15" s="2">
        <f xml:space="preserve"> 7.20481674056697 / 86400</f>
        <v>8.338908264545104E-5</v>
      </c>
      <c r="J15" s="2">
        <f xml:space="preserve"> 23.08992299302 / 86400</f>
        <v>2.6724447908587962E-4</v>
      </c>
      <c r="K15" s="2">
        <f xml:space="preserve"> 14.8538171242609 / 86400</f>
        <v>1.7191917967894561E-4</v>
      </c>
      <c r="L15" s="2">
        <f xml:space="preserve"> 4.55332563839613 / 86400</f>
        <v>5.2700528222177431E-5</v>
      </c>
      <c r="M15" s="2">
        <f t="shared" si="0"/>
        <v>0</v>
      </c>
      <c r="N15" s="3">
        <v>0</v>
      </c>
      <c r="P15" s="40" t="s">
        <v>82</v>
      </c>
      <c r="Q15" s="41">
        <v>0</v>
      </c>
      <c r="R15" s="41">
        <v>0</v>
      </c>
      <c r="S15" s="3">
        <v>0</v>
      </c>
      <c r="T15" s="3">
        <v>100</v>
      </c>
      <c r="V15" s="3">
        <v>0</v>
      </c>
      <c r="W15" s="3">
        <v>0</v>
      </c>
      <c r="X15" s="4" t="s">
        <v>15</v>
      </c>
    </row>
    <row r="16" spans="1:24" x14ac:dyDescent="0.25">
      <c r="B16" s="4" t="s">
        <v>33</v>
      </c>
      <c r="C16" s="9" t="s">
        <v>34</v>
      </c>
      <c r="D16" s="4">
        <v>3</v>
      </c>
      <c r="E16" s="9" t="s">
        <v>39</v>
      </c>
      <c r="F16" s="9" t="s">
        <v>36</v>
      </c>
      <c r="G16" s="4">
        <v>33</v>
      </c>
      <c r="H16" s="9"/>
      <c r="I16" s="2">
        <f xml:space="preserve"> 13.552366046603 / 86400</f>
        <v>1.5685608850234952E-4</v>
      </c>
      <c r="J16" s="2">
        <f xml:space="preserve"> 38.674555894276 / 86400</f>
        <v>4.476221747022685E-4</v>
      </c>
      <c r="K16" s="2">
        <f xml:space="preserve"> 26.4218122394871 / 86400</f>
        <v>3.0580801203110069E-4</v>
      </c>
      <c r="L16" s="2">
        <f xml:space="preserve"> 7.70731290989679 / 86400</f>
        <v>8.9205010531212848E-5</v>
      </c>
      <c r="M16" s="2">
        <f t="shared" si="0"/>
        <v>0</v>
      </c>
      <c r="N16" s="3">
        <v>0</v>
      </c>
      <c r="P16" s="40" t="s">
        <v>82</v>
      </c>
      <c r="Q16" s="41">
        <v>0</v>
      </c>
      <c r="R16" s="41">
        <v>0</v>
      </c>
      <c r="S16" s="3">
        <v>0</v>
      </c>
      <c r="T16" s="3">
        <v>100</v>
      </c>
      <c r="V16" s="3">
        <v>0</v>
      </c>
      <c r="W16" s="3">
        <v>0</v>
      </c>
      <c r="X16" s="4" t="s">
        <v>15</v>
      </c>
    </row>
    <row r="17" spans="2:24" x14ac:dyDescent="0.25">
      <c r="B17" s="4" t="s">
        <v>33</v>
      </c>
      <c r="C17" s="9" t="s">
        <v>34</v>
      </c>
      <c r="D17" s="4">
        <v>4</v>
      </c>
      <c r="E17" s="9" t="s">
        <v>40</v>
      </c>
      <c r="F17" s="9" t="s">
        <v>36</v>
      </c>
      <c r="G17" s="4">
        <v>33</v>
      </c>
      <c r="H17" s="9"/>
      <c r="I17" s="2">
        <f xml:space="preserve"> 87.277950161409 / 86400</f>
        <v>1.0101614602014931E-3</v>
      </c>
      <c r="J17" s="2">
        <f xml:space="preserve"> 327.958862112464 / 86400</f>
        <v>3.7958201633387033E-3</v>
      </c>
      <c r="K17" s="2">
        <f xml:space="preserve"> 188.366987451111 / 86400</f>
        <v>2.1801734658693402E-3</v>
      </c>
      <c r="L17" s="2">
        <f xml:space="preserve"> 70.8817740205357 / 86400</f>
        <v>8.2039090301545955E-4</v>
      </c>
      <c r="M17" s="2">
        <f t="shared" si="0"/>
        <v>0</v>
      </c>
      <c r="N17" s="3">
        <v>0</v>
      </c>
      <c r="P17" s="40" t="s">
        <v>82</v>
      </c>
      <c r="Q17" s="41">
        <v>0</v>
      </c>
      <c r="R17" s="41">
        <v>0</v>
      </c>
      <c r="S17" s="3">
        <v>0</v>
      </c>
      <c r="T17" s="3">
        <v>100</v>
      </c>
      <c r="V17" s="3">
        <v>0</v>
      </c>
      <c r="W17" s="3">
        <v>0</v>
      </c>
      <c r="X17" s="4" t="s">
        <v>15</v>
      </c>
    </row>
    <row r="18" spans="2:24" x14ac:dyDescent="0.25">
      <c r="B18" s="4" t="s">
        <v>33</v>
      </c>
      <c r="C18" s="9" t="s">
        <v>34</v>
      </c>
      <c r="D18" s="4">
        <v>5</v>
      </c>
      <c r="E18" s="9" t="s">
        <v>41</v>
      </c>
      <c r="F18" s="9" t="s">
        <v>36</v>
      </c>
      <c r="G18" s="4">
        <v>33</v>
      </c>
      <c r="H18" s="9"/>
      <c r="I18" s="2">
        <f xml:space="preserve"> 51.492233442838 / 86400</f>
        <v>5.9597492410692128E-4</v>
      </c>
      <c r="J18" s="2">
        <f xml:space="preserve"> 115.626456443046 / 86400</f>
        <v>1.3382691717945137E-3</v>
      </c>
      <c r="K18" s="2">
        <f xml:space="preserve"> 80.6807921047134 / 86400</f>
        <v>9.3380546417492366E-4</v>
      </c>
      <c r="L18" s="2">
        <f xml:space="preserve"> 17.6727477007716 / 86400</f>
        <v>2.0454569098115276E-4</v>
      </c>
      <c r="M18" s="2">
        <f t="shared" si="0"/>
        <v>0</v>
      </c>
      <c r="N18" s="3">
        <v>0</v>
      </c>
      <c r="P18" s="40" t="s">
        <v>82</v>
      </c>
      <c r="Q18" s="41">
        <v>0</v>
      </c>
      <c r="R18" s="41">
        <v>0</v>
      </c>
      <c r="S18" s="3">
        <v>0</v>
      </c>
      <c r="T18" s="3">
        <v>100</v>
      </c>
      <c r="V18" s="3">
        <v>0</v>
      </c>
      <c r="W18" s="3">
        <v>0</v>
      </c>
      <c r="X18" s="4" t="s">
        <v>15</v>
      </c>
    </row>
    <row r="19" spans="2:24" x14ac:dyDescent="0.25">
      <c r="B19" s="4" t="s">
        <v>33</v>
      </c>
      <c r="C19" s="9" t="s">
        <v>34</v>
      </c>
      <c r="D19" s="4">
        <v>6</v>
      </c>
      <c r="E19" s="9" t="s">
        <v>42</v>
      </c>
      <c r="F19" s="9" t="s">
        <v>36</v>
      </c>
      <c r="G19" s="4">
        <v>33</v>
      </c>
      <c r="H19" s="9"/>
      <c r="I19" s="2">
        <f xml:space="preserve"> 32.786667460477 / 86400</f>
        <v>3.7947531782959489E-4</v>
      </c>
      <c r="J19" s="2">
        <f xml:space="preserve"> 63.399645820446 / 86400</f>
        <v>7.337921969959027E-4</v>
      </c>
      <c r="K19" s="2">
        <f xml:space="preserve"> 50.1833744521091 / 86400</f>
        <v>5.8082609319570712E-4</v>
      </c>
      <c r="L19" s="2">
        <f xml:space="preserve"> 7.96970230630386 / 86400</f>
        <v>9.2241924841479861E-5</v>
      </c>
      <c r="M19" s="2">
        <f t="shared" si="0"/>
        <v>0</v>
      </c>
      <c r="N19" s="3">
        <v>0</v>
      </c>
      <c r="P19" s="40" t="s">
        <v>82</v>
      </c>
      <c r="Q19" s="41">
        <v>0</v>
      </c>
      <c r="R19" s="41">
        <v>0</v>
      </c>
      <c r="S19" s="3">
        <v>0</v>
      </c>
      <c r="T19" s="3">
        <v>100</v>
      </c>
      <c r="V19" s="3">
        <v>0</v>
      </c>
      <c r="W19" s="3">
        <v>0</v>
      </c>
      <c r="X19" s="4" t="s">
        <v>15</v>
      </c>
    </row>
    <row r="20" spans="2:24" x14ac:dyDescent="0.25">
      <c r="B20" s="4" t="s">
        <v>33</v>
      </c>
      <c r="C20" s="9" t="s">
        <v>34</v>
      </c>
      <c r="D20" s="4">
        <v>7</v>
      </c>
      <c r="E20" s="9" t="s">
        <v>43</v>
      </c>
      <c r="F20" s="9" t="s">
        <v>36</v>
      </c>
      <c r="G20" s="4">
        <v>33</v>
      </c>
      <c r="H20" s="9"/>
      <c r="I20" s="2">
        <f xml:space="preserve"> 52.1553545813799 / 86400</f>
        <v>6.0364993728448965E-4</v>
      </c>
      <c r="J20" s="2">
        <f xml:space="preserve"> 88.178886143109 / 86400</f>
        <v>1.0205889599896874E-3</v>
      </c>
      <c r="K20" s="2">
        <f xml:space="preserve"> 71.3133475727478 / 86400</f>
        <v>8.253859672771736E-4</v>
      </c>
      <c r="L20" s="2">
        <f xml:space="preserve"> 8.88727202579532 / 86400</f>
        <v>1.028619447430014E-4</v>
      </c>
      <c r="M20" s="2">
        <f t="shared" si="0"/>
        <v>0</v>
      </c>
      <c r="N20" s="3">
        <v>0</v>
      </c>
      <c r="P20" s="40" t="s">
        <v>82</v>
      </c>
      <c r="Q20" s="41">
        <v>0</v>
      </c>
      <c r="R20" s="41">
        <v>0</v>
      </c>
      <c r="S20" s="3">
        <v>0</v>
      </c>
      <c r="T20" s="3">
        <v>100</v>
      </c>
      <c r="V20" s="3">
        <v>0</v>
      </c>
      <c r="W20" s="3">
        <v>0</v>
      </c>
      <c r="X20" s="4" t="s">
        <v>15</v>
      </c>
    </row>
    <row r="21" spans="2:24" x14ac:dyDescent="0.25">
      <c r="B21" s="4" t="s">
        <v>33</v>
      </c>
      <c r="C21" s="9" t="s">
        <v>34</v>
      </c>
      <c r="D21" s="4">
        <v>8</v>
      </c>
      <c r="E21" s="9" t="s">
        <v>44</v>
      </c>
      <c r="F21" s="9" t="s">
        <v>36</v>
      </c>
      <c r="G21" s="4">
        <v>33</v>
      </c>
      <c r="H21" s="9"/>
      <c r="I21" s="2">
        <f xml:space="preserve"> 687.191792330774 / 86400</f>
        <v>7.9536087075321067E-3</v>
      </c>
      <c r="J21" s="2">
        <f xml:space="preserve"> 4359.63373654461 / 86400</f>
        <v>5.045872380259965E-2</v>
      </c>
      <c r="K21" s="2">
        <f xml:space="preserve"> 2240.68792472862 / 86400</f>
        <v>2.5933888017692364E-2</v>
      </c>
      <c r="L21" s="2">
        <f xml:space="preserve"> 700.300456183213 / 86400</f>
        <v>8.1053293539723719E-3</v>
      </c>
      <c r="M21" s="2">
        <f t="shared" si="0"/>
        <v>0</v>
      </c>
      <c r="N21" s="3">
        <v>0</v>
      </c>
      <c r="P21" s="40" t="s">
        <v>82</v>
      </c>
      <c r="Q21" s="41">
        <v>0</v>
      </c>
      <c r="R21" s="41">
        <v>0</v>
      </c>
      <c r="S21" s="3">
        <v>0</v>
      </c>
      <c r="T21" s="3">
        <v>100</v>
      </c>
      <c r="V21" s="3">
        <v>0</v>
      </c>
      <c r="W21" s="3">
        <v>0</v>
      </c>
      <c r="X21" s="4" t="s">
        <v>15</v>
      </c>
    </row>
    <row r="22" spans="2:24" x14ac:dyDescent="0.25">
      <c r="B22" s="4" t="s">
        <v>33</v>
      </c>
      <c r="C22" s="9" t="s">
        <v>34</v>
      </c>
      <c r="D22" s="4">
        <v>9</v>
      </c>
      <c r="E22" s="9" t="s">
        <v>45</v>
      </c>
      <c r="F22" s="9" t="s">
        <v>36</v>
      </c>
      <c r="G22" s="4">
        <v>4</v>
      </c>
      <c r="H22" s="9"/>
      <c r="I22" s="2">
        <f xml:space="preserve"> 1203.26569455324 / 86400</f>
        <v>1.392668627955139E-2</v>
      </c>
      <c r="J22" s="2">
        <f xml:space="preserve"> 2428.29128187516 / 86400</f>
        <v>2.8105223169851392E-2</v>
      </c>
      <c r="K22" s="2">
        <f xml:space="preserve"> 1568.49752268211 / 86400</f>
        <v>1.815390651252442E-2</v>
      </c>
      <c r="L22" s="2">
        <f xml:space="preserve"> 582.569123509495 / 86400</f>
        <v>6.7426981887673022E-3</v>
      </c>
      <c r="M22" s="2">
        <f t="shared" si="0"/>
        <v>0</v>
      </c>
      <c r="N22" s="3">
        <v>0</v>
      </c>
      <c r="P22" s="40" t="s">
        <v>82</v>
      </c>
      <c r="Q22" s="41">
        <v>0</v>
      </c>
      <c r="R22" s="41">
        <v>0</v>
      </c>
      <c r="S22" s="3">
        <v>0</v>
      </c>
      <c r="T22" s="3">
        <v>100</v>
      </c>
      <c r="V22" s="3">
        <v>0</v>
      </c>
      <c r="W22" s="3">
        <v>0</v>
      </c>
      <c r="X22" s="4" t="s">
        <v>15</v>
      </c>
    </row>
    <row r="23" spans="2:24" x14ac:dyDescent="0.25">
      <c r="B23" s="4" t="s">
        <v>33</v>
      </c>
      <c r="C23" s="9" t="s">
        <v>34</v>
      </c>
      <c r="D23" s="4">
        <v>10</v>
      </c>
      <c r="E23" s="9" t="s">
        <v>46</v>
      </c>
      <c r="F23" s="9" t="s">
        <v>36</v>
      </c>
      <c r="G23" s="4">
        <v>33</v>
      </c>
      <c r="H23" s="9"/>
      <c r="I23" s="2">
        <f xml:space="preserve"> 693.27587943762 / 86400</f>
        <v>8.0240263823798605E-3</v>
      </c>
      <c r="J23" s="2">
        <f xml:space="preserve"> 1657.94233443851 / 86400</f>
        <v>1.9189147389334606E-2</v>
      </c>
      <c r="K23" s="2">
        <f xml:space="preserve"> 1078.81009601075 / 86400</f>
        <v>1.2486227963087383E-2</v>
      </c>
      <c r="L23" s="2">
        <f xml:space="preserve"> 261.423023250266 / 86400</f>
        <v>3.0257294357669677E-3</v>
      </c>
      <c r="M23" s="2">
        <f t="shared" si="0"/>
        <v>0</v>
      </c>
      <c r="N23" s="3">
        <v>0</v>
      </c>
      <c r="P23" s="40" t="s">
        <v>82</v>
      </c>
      <c r="Q23" s="41">
        <v>0</v>
      </c>
      <c r="R23" s="41">
        <v>0</v>
      </c>
      <c r="S23" s="3">
        <v>0</v>
      </c>
      <c r="T23" s="3">
        <v>100</v>
      </c>
      <c r="V23" s="3">
        <v>0</v>
      </c>
      <c r="W23" s="3">
        <v>0</v>
      </c>
      <c r="X23" s="4" t="s">
        <v>15</v>
      </c>
    </row>
    <row r="24" spans="2:24" x14ac:dyDescent="0.25">
      <c r="B24" s="4" t="s">
        <v>33</v>
      </c>
      <c r="C24" s="9" t="s">
        <v>34</v>
      </c>
      <c r="D24" s="4">
        <v>11</v>
      </c>
      <c r="E24" s="9" t="s">
        <v>47</v>
      </c>
      <c r="F24" s="9" t="s">
        <v>36</v>
      </c>
      <c r="G24" s="4">
        <v>33</v>
      </c>
      <c r="H24" s="9"/>
      <c r="I24" s="2">
        <f xml:space="preserve"> 9.66307610630065 / 86400</f>
        <v>1.11841158637739E-4</v>
      </c>
      <c r="J24" s="2">
        <f xml:space="preserve"> 21.80589619177 / 86400</f>
        <v>2.5238305777511576E-4</v>
      </c>
      <c r="K24" s="2">
        <f xml:space="preserve"> 15.9346203512461 / 86400</f>
        <v>1.844284762875706E-4</v>
      </c>
      <c r="L24" s="2">
        <f xml:space="preserve"> 3.88466890059208 / 86400</f>
        <v>4.4961445608704631E-5</v>
      </c>
      <c r="M24" s="2">
        <f t="shared" si="0"/>
        <v>0</v>
      </c>
      <c r="N24" s="3">
        <v>0</v>
      </c>
      <c r="P24" s="40" t="s">
        <v>82</v>
      </c>
      <c r="Q24" s="41">
        <v>0</v>
      </c>
      <c r="R24" s="41">
        <v>0</v>
      </c>
      <c r="S24" s="3">
        <v>0</v>
      </c>
      <c r="T24" s="3">
        <v>100</v>
      </c>
      <c r="V24" s="3">
        <v>0</v>
      </c>
      <c r="W24" s="3">
        <v>0</v>
      </c>
      <c r="X24" s="4" t="s">
        <v>15</v>
      </c>
    </row>
    <row r="25" spans="2:24" x14ac:dyDescent="0.25">
      <c r="B25" s="4" t="s">
        <v>33</v>
      </c>
      <c r="C25" s="9" t="s">
        <v>34</v>
      </c>
      <c r="D25" s="4">
        <v>12</v>
      </c>
      <c r="E25" s="9" t="s">
        <v>48</v>
      </c>
      <c r="F25" s="9" t="s">
        <v>36</v>
      </c>
      <c r="G25" s="4">
        <v>33</v>
      </c>
      <c r="H25" s="9"/>
      <c r="I25" s="2">
        <f xml:space="preserve"> 152.57944598521 / 86400</f>
        <v>1.7659658100140044E-3</v>
      </c>
      <c r="J25" s="2">
        <f xml:space="preserve"> 978.28210281051 / 86400</f>
        <v>1.1322709523269791E-2</v>
      </c>
      <c r="K25" s="2">
        <f xml:space="preserve"> 506.16363985471 / 86400</f>
        <v>5.8583754612813663E-3</v>
      </c>
      <c r="L25" s="2">
        <f xml:space="preserve"> 221.478504368855 / 86400</f>
        <v>2.5634086153802664E-3</v>
      </c>
      <c r="M25" s="2">
        <f t="shared" si="0"/>
        <v>0</v>
      </c>
      <c r="N25" s="3">
        <v>0</v>
      </c>
      <c r="P25" s="40" t="s">
        <v>82</v>
      </c>
      <c r="Q25" s="41">
        <v>0</v>
      </c>
      <c r="R25" s="41">
        <v>0</v>
      </c>
      <c r="S25" s="3">
        <v>0</v>
      </c>
      <c r="T25" s="3">
        <v>100</v>
      </c>
      <c r="V25" s="3">
        <v>0</v>
      </c>
      <c r="W25" s="3">
        <v>0</v>
      </c>
      <c r="X25" s="4" t="s">
        <v>15</v>
      </c>
    </row>
    <row r="26" spans="2:24" x14ac:dyDescent="0.25">
      <c r="B26" s="4" t="s">
        <v>33</v>
      </c>
      <c r="C26" s="9" t="s">
        <v>34</v>
      </c>
      <c r="D26" s="4">
        <v>13</v>
      </c>
      <c r="E26" s="9" t="s">
        <v>49</v>
      </c>
      <c r="F26" s="9" t="s">
        <v>36</v>
      </c>
      <c r="G26" s="4">
        <v>33</v>
      </c>
      <c r="H26" s="9"/>
      <c r="I26" s="2">
        <f xml:space="preserve"> 320.00109267653 / 86400</f>
        <v>3.7037163504228007E-3</v>
      </c>
      <c r="J26" s="2">
        <f xml:space="preserve"> 855.40321475007 / 86400</f>
        <v>9.9005001707184025E-3</v>
      </c>
      <c r="K26" s="2">
        <f xml:space="preserve"> 579.193623923335 / 86400</f>
        <v>6.7036299065200812E-3</v>
      </c>
      <c r="L26" s="2">
        <f xml:space="preserve"> 109.111691282055 / 86400</f>
        <v>1.2628667972460069E-3</v>
      </c>
      <c r="M26" s="2">
        <f t="shared" si="0"/>
        <v>0</v>
      </c>
      <c r="N26" s="3">
        <v>0</v>
      </c>
      <c r="P26" s="40" t="s">
        <v>82</v>
      </c>
      <c r="Q26" s="41">
        <v>0</v>
      </c>
      <c r="R26" s="41">
        <v>0</v>
      </c>
      <c r="S26" s="3">
        <v>0</v>
      </c>
      <c r="T26" s="3">
        <v>100</v>
      </c>
      <c r="V26" s="3">
        <v>0</v>
      </c>
      <c r="W26" s="3">
        <v>0</v>
      </c>
      <c r="X26" s="4" t="s">
        <v>15</v>
      </c>
    </row>
    <row r="27" spans="2:24" x14ac:dyDescent="0.25">
      <c r="B27" s="4" t="s">
        <v>33</v>
      </c>
      <c r="C27" s="9" t="s">
        <v>34</v>
      </c>
      <c r="D27" s="4">
        <v>14</v>
      </c>
      <c r="E27" s="9" t="s">
        <v>50</v>
      </c>
      <c r="F27" s="9" t="s">
        <v>36</v>
      </c>
      <c r="G27" s="4">
        <v>33</v>
      </c>
      <c r="H27" s="9"/>
      <c r="I27" s="2">
        <f xml:space="preserve"> 280.527763215599 / 86400</f>
        <v>3.2468491112916551E-3</v>
      </c>
      <c r="J27" s="2">
        <f xml:space="preserve"> 583.64512250695 / 86400</f>
        <v>6.7551518808674762E-3</v>
      </c>
      <c r="K27" s="2">
        <f xml:space="preserve"> 410.52357418113 / 86400</f>
        <v>4.7514302567260415E-3</v>
      </c>
      <c r="L27" s="2">
        <f xml:space="preserve"> 69.7202443757315 / 86400</f>
        <v>8.0694727286726266E-4</v>
      </c>
      <c r="M27" s="2">
        <f t="shared" si="0"/>
        <v>0</v>
      </c>
      <c r="N27" s="3">
        <v>0</v>
      </c>
      <c r="P27" s="40" t="s">
        <v>82</v>
      </c>
      <c r="Q27" s="41">
        <v>0</v>
      </c>
      <c r="R27" s="41">
        <v>0</v>
      </c>
      <c r="S27" s="3">
        <v>0</v>
      </c>
      <c r="T27" s="3">
        <v>100</v>
      </c>
      <c r="V27" s="3">
        <v>0</v>
      </c>
      <c r="W27" s="3">
        <v>0</v>
      </c>
      <c r="X27" s="4" t="s">
        <v>15</v>
      </c>
    </row>
    <row r="28" spans="2:24" x14ac:dyDescent="0.25">
      <c r="B28" s="4" t="s">
        <v>33</v>
      </c>
      <c r="C28" s="9" t="s">
        <v>34</v>
      </c>
      <c r="D28" s="4">
        <v>15</v>
      </c>
      <c r="E28" s="9" t="s">
        <v>51</v>
      </c>
      <c r="F28" s="9" t="s">
        <v>36</v>
      </c>
      <c r="G28" s="4">
        <v>33</v>
      </c>
      <c r="H28" s="9"/>
      <c r="I28" s="2">
        <f xml:space="preserve"> 3412.34138438587 / 86400</f>
        <v>3.9494691948910532E-2</v>
      </c>
      <c r="J28" s="2">
        <f xml:space="preserve"> 5078.92976937488 / 86400</f>
        <v>5.8783909367764821E-2</v>
      </c>
      <c r="K28" s="2">
        <f xml:space="preserve"> 3944.55244427945 / 86400</f>
        <v>4.5654542179160297E-2</v>
      </c>
      <c r="L28" s="2">
        <f xml:space="preserve"> 384.226577417738 / 86400</f>
        <v>4.447066868260856E-3</v>
      </c>
      <c r="M28" s="2">
        <f t="shared" si="0"/>
        <v>0</v>
      </c>
      <c r="N28" s="3">
        <v>0</v>
      </c>
      <c r="P28" s="40" t="s">
        <v>82</v>
      </c>
      <c r="Q28" s="41">
        <v>0</v>
      </c>
      <c r="R28" s="41">
        <v>0</v>
      </c>
      <c r="S28" s="3">
        <v>0</v>
      </c>
      <c r="T28" s="3">
        <v>100</v>
      </c>
      <c r="V28" s="3">
        <v>0</v>
      </c>
      <c r="W28" s="3">
        <v>0</v>
      </c>
      <c r="X28" s="4" t="s">
        <v>15</v>
      </c>
    </row>
    <row r="29" spans="2:24" x14ac:dyDescent="0.25">
      <c r="B29" s="4" t="s">
        <v>33</v>
      </c>
      <c r="C29" s="9" t="s">
        <v>34</v>
      </c>
      <c r="D29" s="4">
        <v>16</v>
      </c>
      <c r="E29" s="9" t="s">
        <v>52</v>
      </c>
      <c r="F29" s="9" t="s">
        <v>36</v>
      </c>
      <c r="G29" s="4">
        <v>33</v>
      </c>
      <c r="H29" s="9"/>
      <c r="I29" s="2">
        <f xml:space="preserve"> 351.323866890429 / 86400</f>
        <v>4.0662484593799652E-3</v>
      </c>
      <c r="J29" s="2">
        <f xml:space="preserve"> 572.75911879854 / 86400</f>
        <v>6.6291564675756949E-3</v>
      </c>
      <c r="K29" s="2">
        <f xml:space="preserve"> 456.684304998634 / 86400</f>
        <v>5.2856979745212265E-3</v>
      </c>
      <c r="L29" s="2">
        <f xml:space="preserve"> 54.6844285936843 / 86400</f>
        <v>6.3292162724171651E-4</v>
      </c>
      <c r="M29" s="2">
        <f t="shared" si="0"/>
        <v>0</v>
      </c>
      <c r="N29" s="3">
        <v>0</v>
      </c>
      <c r="P29" s="40" t="s">
        <v>82</v>
      </c>
      <c r="Q29" s="41">
        <v>0</v>
      </c>
      <c r="R29" s="41">
        <v>0</v>
      </c>
      <c r="S29" s="3">
        <v>0</v>
      </c>
      <c r="T29" s="3">
        <v>100</v>
      </c>
      <c r="V29" s="3">
        <v>0</v>
      </c>
      <c r="W29" s="3">
        <v>0</v>
      </c>
      <c r="X29" s="4" t="s">
        <v>15</v>
      </c>
    </row>
    <row r="30" spans="2:24" x14ac:dyDescent="0.25">
      <c r="B30" s="4" t="s">
        <v>33</v>
      </c>
      <c r="C30" s="9" t="s">
        <v>34</v>
      </c>
      <c r="D30" s="4">
        <v>17</v>
      </c>
      <c r="E30" s="9" t="s">
        <v>53</v>
      </c>
      <c r="F30" s="9" t="s">
        <v>36</v>
      </c>
      <c r="G30" s="4">
        <v>33</v>
      </c>
      <c r="H30" s="9"/>
      <c r="I30" s="2">
        <f xml:space="preserve"> 101.584870275899 / 86400</f>
        <v>1.1757508133784607E-3</v>
      </c>
      <c r="J30" s="2">
        <f xml:space="preserve"> 243.47725062793 / 86400</f>
        <v>2.8180237341195601E-3</v>
      </c>
      <c r="K30" s="2">
        <f xml:space="preserve"> 178.949196193674 / 86400</f>
        <v>2.0711712522415971E-3</v>
      </c>
      <c r="L30" s="2">
        <f xml:space="preserve"> 35.0652054040764 / 86400</f>
        <v>4.0584728476940281E-4</v>
      </c>
      <c r="M30" s="2">
        <f t="shared" si="0"/>
        <v>0</v>
      </c>
      <c r="N30" s="3">
        <v>0</v>
      </c>
      <c r="P30" s="40" t="s">
        <v>82</v>
      </c>
      <c r="Q30" s="41">
        <v>0</v>
      </c>
      <c r="R30" s="41">
        <v>0</v>
      </c>
      <c r="S30" s="3">
        <v>0</v>
      </c>
      <c r="T30" s="3">
        <v>100</v>
      </c>
      <c r="V30" s="3">
        <v>0</v>
      </c>
      <c r="W30" s="3">
        <v>0</v>
      </c>
      <c r="X30" s="4" t="s">
        <v>15</v>
      </c>
    </row>
    <row r="31" spans="2:24" x14ac:dyDescent="0.25">
      <c r="B31" s="4" t="s">
        <v>33</v>
      </c>
      <c r="C31" s="9" t="s">
        <v>34</v>
      </c>
      <c r="D31" s="4">
        <v>999</v>
      </c>
      <c r="E31" s="9" t="s">
        <v>54</v>
      </c>
      <c r="F31" s="9" t="s">
        <v>36</v>
      </c>
      <c r="G31" s="4">
        <v>33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P31" s="40" t="s">
        <v>82</v>
      </c>
      <c r="Q31" s="41">
        <v>0</v>
      </c>
      <c r="R31" s="41">
        <v>0</v>
      </c>
      <c r="S31" s="3">
        <v>0</v>
      </c>
      <c r="T31" s="3">
        <v>100</v>
      </c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</sheetData>
  <mergeCells count="9">
    <mergeCell ref="V11:X11"/>
    <mergeCell ref="N11:N12"/>
    <mergeCell ref="P11:S11"/>
    <mergeCell ref="T11:T12"/>
    <mergeCell ref="A1:A4"/>
    <mergeCell ref="B11:C11"/>
    <mergeCell ref="D11:E11"/>
    <mergeCell ref="F11:F12"/>
    <mergeCell ref="I11:M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750A-2F00-4D7F-83F4-B04EA995B03D}">
  <dimension ref="A1:L65"/>
  <sheetViews>
    <sheetView tabSelected="1" topLeftCell="A16" workbookViewId="0">
      <selection activeCell="O40" sqref="O40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42578125" bestFit="1" customWidth="1"/>
    <col min="10" max="12" width="10.7109375" bestFit="1" customWidth="1"/>
  </cols>
  <sheetData>
    <row r="1" spans="1:12" x14ac:dyDescent="0.25">
      <c r="A1" s="42"/>
    </row>
    <row r="2" spans="1:12" ht="18.75" x14ac:dyDescent="0.3">
      <c r="A2" s="42"/>
      <c r="B2" s="6" t="s">
        <v>16</v>
      </c>
    </row>
    <row r="3" spans="1:12" ht="17.25" x14ac:dyDescent="0.3">
      <c r="A3" s="42"/>
      <c r="B3" s="7" t="s">
        <v>55</v>
      </c>
    </row>
    <row r="4" spans="1:12" x14ac:dyDescent="0.25">
      <c r="A4" s="42"/>
      <c r="B4" s="9"/>
    </row>
    <row r="5" spans="1:12" x14ac:dyDescent="0.25">
      <c r="A5" s="5" t="s">
        <v>18</v>
      </c>
      <c r="B5" s="8" t="s">
        <v>58</v>
      </c>
    </row>
    <row r="6" spans="1:12" x14ac:dyDescent="0.25">
      <c r="A6" s="5" t="s">
        <v>19</v>
      </c>
      <c r="B6" s="8" t="s">
        <v>59</v>
      </c>
    </row>
    <row r="7" spans="1:12" x14ac:dyDescent="0.25">
      <c r="A7" s="5" t="s">
        <v>20</v>
      </c>
      <c r="B7" s="11">
        <v>77853</v>
      </c>
    </row>
    <row r="8" spans="1:12" x14ac:dyDescent="0.25">
      <c r="A8" s="5"/>
      <c r="B8" s="10"/>
    </row>
    <row r="9" spans="1:12" x14ac:dyDescent="0.25">
      <c r="A9" s="5" t="s">
        <v>56</v>
      </c>
      <c r="B9" s="9" t="s">
        <v>57</v>
      </c>
    </row>
    <row r="11" spans="1:12" s="12" customFormat="1" x14ac:dyDescent="0.25">
      <c r="B11" s="43" t="s">
        <v>22</v>
      </c>
      <c r="C11" s="44"/>
      <c r="D11" s="43" t="s">
        <v>23</v>
      </c>
      <c r="E11" s="44"/>
      <c r="F11" s="47" t="s">
        <v>24</v>
      </c>
      <c r="I11" s="43" t="s">
        <v>25</v>
      </c>
      <c r="J11" s="44"/>
      <c r="K11" s="44"/>
      <c r="L11" s="44"/>
    </row>
    <row r="12" spans="1:12" s="12" customFormat="1" x14ac:dyDescent="0.25">
      <c r="B12" s="12" t="s">
        <v>26</v>
      </c>
      <c r="C12" s="12" t="s">
        <v>27</v>
      </c>
      <c r="D12" s="12" t="s">
        <v>26</v>
      </c>
      <c r="E12" s="12" t="s">
        <v>27</v>
      </c>
      <c r="F12" s="48"/>
      <c r="G12" s="12" t="s">
        <v>28</v>
      </c>
      <c r="I12" s="12" t="s">
        <v>29</v>
      </c>
      <c r="J12" s="12" t="s">
        <v>30</v>
      </c>
      <c r="K12" s="12" t="s">
        <v>31</v>
      </c>
      <c r="L12" s="12" t="s">
        <v>32</v>
      </c>
    </row>
    <row r="13" spans="1:12" x14ac:dyDescent="0.25">
      <c r="B13" s="4" t="s">
        <v>33</v>
      </c>
      <c r="C13" s="9" t="s">
        <v>34</v>
      </c>
      <c r="D13" s="4">
        <v>0</v>
      </c>
      <c r="E13" s="9" t="s">
        <v>35</v>
      </c>
      <c r="F13" s="9" t="s">
        <v>36</v>
      </c>
      <c r="G13" s="4">
        <v>33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33</v>
      </c>
      <c r="C14" s="9" t="s">
        <v>34</v>
      </c>
      <c r="D14" s="4">
        <v>1</v>
      </c>
      <c r="E14" s="24" t="s">
        <v>37</v>
      </c>
      <c r="F14" s="9" t="s">
        <v>36</v>
      </c>
      <c r="G14" s="4">
        <v>33</v>
      </c>
      <c r="H14" s="9"/>
      <c r="I14" s="2">
        <f xml:space="preserve"> 104.138424651762 / 86400</f>
        <v>1.2053058408768749E-3</v>
      </c>
      <c r="J14" s="2">
        <f xml:space="preserve"> 288.637402099854 / 86400</f>
        <v>3.340710672452014E-3</v>
      </c>
      <c r="K14" s="25">
        <f xml:space="preserve"> 191.890534658075 / 86400</f>
        <v>2.2209552622462388E-3</v>
      </c>
      <c r="L14" s="2">
        <f xml:space="preserve"> 50.3206595108592 / 86400</f>
        <v>5.8241504063494449E-4</v>
      </c>
    </row>
    <row r="15" spans="1:12" x14ac:dyDescent="0.25">
      <c r="B15" s="4" t="s">
        <v>33</v>
      </c>
      <c r="C15" s="9" t="s">
        <v>34</v>
      </c>
      <c r="D15" s="4">
        <v>2</v>
      </c>
      <c r="E15" s="24" t="s">
        <v>38</v>
      </c>
      <c r="F15" s="9" t="s">
        <v>36</v>
      </c>
      <c r="G15" s="4">
        <v>33</v>
      </c>
      <c r="H15" s="9"/>
      <c r="I15" s="2">
        <f xml:space="preserve"> 7.20481674056697 / 86400</f>
        <v>8.338908264545104E-5</v>
      </c>
      <c r="J15" s="2">
        <f xml:space="preserve"> 23.08992299302 / 86400</f>
        <v>2.6724447908587962E-4</v>
      </c>
      <c r="K15" s="25">
        <f xml:space="preserve"> 14.8538171242609 / 86400</f>
        <v>1.7191917967894561E-4</v>
      </c>
      <c r="L15" s="2">
        <f xml:space="preserve"> 4.55332563839613 / 86400</f>
        <v>5.2700528222177431E-5</v>
      </c>
    </row>
    <row r="16" spans="1:12" x14ac:dyDescent="0.25">
      <c r="B16" s="4" t="s">
        <v>33</v>
      </c>
      <c r="C16" s="9" t="s">
        <v>34</v>
      </c>
      <c r="D16" s="4">
        <v>3</v>
      </c>
      <c r="E16" s="24" t="s">
        <v>39</v>
      </c>
      <c r="F16" s="9" t="s">
        <v>36</v>
      </c>
      <c r="G16" s="4">
        <v>33</v>
      </c>
      <c r="H16" s="9"/>
      <c r="I16" s="2">
        <f xml:space="preserve"> 13.552366046603 / 86400</f>
        <v>1.5685608850234952E-4</v>
      </c>
      <c r="J16" s="2">
        <f xml:space="preserve"> 38.674555894276 / 86400</f>
        <v>4.476221747022685E-4</v>
      </c>
      <c r="K16" s="25">
        <f xml:space="preserve"> 26.4218122394871 / 86400</f>
        <v>3.0580801203110069E-4</v>
      </c>
      <c r="L16" s="2">
        <f xml:space="preserve"> 7.70731290989679 / 86400</f>
        <v>8.9205010531212848E-5</v>
      </c>
    </row>
    <row r="17" spans="2:12" x14ac:dyDescent="0.25">
      <c r="B17" s="4" t="s">
        <v>33</v>
      </c>
      <c r="C17" s="9" t="s">
        <v>34</v>
      </c>
      <c r="D17" s="4">
        <v>4</v>
      </c>
      <c r="E17" s="22" t="s">
        <v>40</v>
      </c>
      <c r="F17" s="9" t="s">
        <v>36</v>
      </c>
      <c r="G17" s="4">
        <v>33</v>
      </c>
      <c r="H17" s="9"/>
      <c r="I17" s="2">
        <f xml:space="preserve"> 87.277950161409 / 86400</f>
        <v>1.0101614602014931E-3</v>
      </c>
      <c r="J17" s="2">
        <f xml:space="preserve"> 327.958862112464 / 86400</f>
        <v>3.7958201633387033E-3</v>
      </c>
      <c r="K17" s="23">
        <f xml:space="preserve"> 188.366987451111 / 86400</f>
        <v>2.1801734658693402E-3</v>
      </c>
      <c r="L17" s="2">
        <f xml:space="preserve"> 70.8817740205357 / 86400</f>
        <v>8.2039090301545955E-4</v>
      </c>
    </row>
    <row r="18" spans="2:12" x14ac:dyDescent="0.25">
      <c r="B18" s="4" t="s">
        <v>33</v>
      </c>
      <c r="C18" s="9" t="s">
        <v>34</v>
      </c>
      <c r="D18" s="4">
        <v>5</v>
      </c>
      <c r="E18" s="22" t="s">
        <v>41</v>
      </c>
      <c r="F18" s="9" t="s">
        <v>36</v>
      </c>
      <c r="G18" s="4">
        <v>33</v>
      </c>
      <c r="H18" s="9"/>
      <c r="I18" s="2">
        <f xml:space="preserve"> 51.492233442838 / 86400</f>
        <v>5.9597492410692128E-4</v>
      </c>
      <c r="J18" s="2">
        <f xml:space="preserve"> 115.626456443046 / 86400</f>
        <v>1.3382691717945137E-3</v>
      </c>
      <c r="K18" s="23">
        <f xml:space="preserve"> 80.6807921047134 / 86400</f>
        <v>9.3380546417492366E-4</v>
      </c>
      <c r="L18" s="2">
        <f xml:space="preserve"> 17.6727477007716 / 86400</f>
        <v>2.0454569098115276E-4</v>
      </c>
    </row>
    <row r="19" spans="2:12" x14ac:dyDescent="0.25">
      <c r="B19" s="4" t="s">
        <v>33</v>
      </c>
      <c r="C19" s="9" t="s">
        <v>34</v>
      </c>
      <c r="D19" s="4">
        <v>6</v>
      </c>
      <c r="E19" s="22" t="s">
        <v>42</v>
      </c>
      <c r="F19" s="9" t="s">
        <v>36</v>
      </c>
      <c r="G19" s="4">
        <v>33</v>
      </c>
      <c r="H19" s="9"/>
      <c r="I19" s="2">
        <f xml:space="preserve"> 32.786667460477 / 86400</f>
        <v>3.7947531782959489E-4</v>
      </c>
      <c r="J19" s="2">
        <f xml:space="preserve"> 63.399645820446 / 86400</f>
        <v>7.337921969959027E-4</v>
      </c>
      <c r="K19" s="23">
        <f xml:space="preserve"> 50.1833744521091 / 86400</f>
        <v>5.8082609319570712E-4</v>
      </c>
      <c r="L19" s="2">
        <f xml:space="preserve"> 7.96970230630386 / 86400</f>
        <v>9.2241924841479861E-5</v>
      </c>
    </row>
    <row r="20" spans="2:12" x14ac:dyDescent="0.25">
      <c r="B20" s="4" t="s">
        <v>33</v>
      </c>
      <c r="C20" s="9" t="s">
        <v>34</v>
      </c>
      <c r="D20" s="4">
        <v>7</v>
      </c>
      <c r="E20" s="22" t="s">
        <v>43</v>
      </c>
      <c r="F20" s="9" t="s">
        <v>36</v>
      </c>
      <c r="G20" s="4">
        <v>33</v>
      </c>
      <c r="H20" s="9"/>
      <c r="I20" s="2">
        <f xml:space="preserve"> 52.1553545813799 / 86400</f>
        <v>6.0364993728448965E-4</v>
      </c>
      <c r="J20" s="2">
        <f xml:space="preserve"> 88.178886143109 / 86400</f>
        <v>1.0205889599896874E-3</v>
      </c>
      <c r="K20" s="23">
        <f xml:space="preserve"> 71.3133475727478 / 86400</f>
        <v>8.253859672771736E-4</v>
      </c>
      <c r="L20" s="2">
        <f xml:space="preserve"> 8.88727202579532 / 86400</f>
        <v>1.028619447430014E-4</v>
      </c>
    </row>
    <row r="21" spans="2:12" x14ac:dyDescent="0.25">
      <c r="B21" s="4" t="s">
        <v>33</v>
      </c>
      <c r="C21" s="9" t="s">
        <v>34</v>
      </c>
      <c r="D21" s="4">
        <v>8</v>
      </c>
      <c r="E21" s="22" t="s">
        <v>44</v>
      </c>
      <c r="F21" s="9" t="s">
        <v>36</v>
      </c>
      <c r="G21" s="4">
        <v>33</v>
      </c>
      <c r="H21" s="9"/>
      <c r="I21" s="2">
        <f xml:space="preserve"> 687.191792330774 / 86400</f>
        <v>7.9536087075321067E-3</v>
      </c>
      <c r="J21" s="2">
        <f xml:space="preserve"> 4359.63373654461 / 86400</f>
        <v>5.045872380259965E-2</v>
      </c>
      <c r="K21" s="23">
        <f xml:space="preserve"> 2240.68792472862 / 86400</f>
        <v>2.5933888017692364E-2</v>
      </c>
      <c r="L21" s="2">
        <f xml:space="preserve"> 700.300456183213 / 86400</f>
        <v>8.1053293539723719E-3</v>
      </c>
    </row>
    <row r="22" spans="2:12" x14ac:dyDescent="0.25">
      <c r="B22" s="4" t="s">
        <v>33</v>
      </c>
      <c r="C22" s="9" t="s">
        <v>34</v>
      </c>
      <c r="D22" s="4">
        <v>9</v>
      </c>
      <c r="E22" s="22" t="s">
        <v>45</v>
      </c>
      <c r="F22" s="9" t="s">
        <v>36</v>
      </c>
      <c r="G22" s="4">
        <v>4</v>
      </c>
      <c r="H22" s="9"/>
      <c r="I22" s="2">
        <f xml:space="preserve"> 1203.26569455324 / 86400</f>
        <v>1.392668627955139E-2</v>
      </c>
      <c r="J22" s="2">
        <f xml:space="preserve"> 2428.29128187516 / 86400</f>
        <v>2.8105223169851392E-2</v>
      </c>
      <c r="K22" s="23">
        <f xml:space="preserve"> 1568.49752268211 / 86400</f>
        <v>1.815390651252442E-2</v>
      </c>
      <c r="L22" s="2">
        <f xml:space="preserve"> 582.569123509495 / 86400</f>
        <v>6.7426981887673022E-3</v>
      </c>
    </row>
    <row r="23" spans="2:12" x14ac:dyDescent="0.25">
      <c r="B23" s="4" t="s">
        <v>33</v>
      </c>
      <c r="C23" s="9" t="s">
        <v>34</v>
      </c>
      <c r="D23" s="4">
        <v>10</v>
      </c>
      <c r="E23" s="22" t="s">
        <v>46</v>
      </c>
      <c r="F23" s="9" t="s">
        <v>36</v>
      </c>
      <c r="G23" s="4">
        <v>33</v>
      </c>
      <c r="H23" s="9"/>
      <c r="I23" s="2">
        <f xml:space="preserve"> 693.27587943762 / 86400</f>
        <v>8.0240263823798605E-3</v>
      </c>
      <c r="J23" s="2">
        <f xml:space="preserve"> 1657.94233443851 / 86400</f>
        <v>1.9189147389334606E-2</v>
      </c>
      <c r="K23" s="23">
        <f xml:space="preserve"> 1078.81009601075 / 86400</f>
        <v>1.2486227963087383E-2</v>
      </c>
      <c r="L23" s="2">
        <f xml:space="preserve"> 261.423023250266 / 86400</f>
        <v>3.0257294357669677E-3</v>
      </c>
    </row>
    <row r="24" spans="2:12" x14ac:dyDescent="0.25">
      <c r="B24" s="4" t="s">
        <v>33</v>
      </c>
      <c r="C24" s="9" t="s">
        <v>34</v>
      </c>
      <c r="D24" s="4">
        <v>11</v>
      </c>
      <c r="E24" s="22" t="s">
        <v>47</v>
      </c>
      <c r="F24" s="9" t="s">
        <v>36</v>
      </c>
      <c r="G24" s="4">
        <v>33</v>
      </c>
      <c r="H24" s="9"/>
      <c r="I24" s="2">
        <f xml:space="preserve"> 9.66307610630065 / 86400</f>
        <v>1.11841158637739E-4</v>
      </c>
      <c r="J24" s="2">
        <f xml:space="preserve"> 21.80589619177 / 86400</f>
        <v>2.5238305777511576E-4</v>
      </c>
      <c r="K24" s="23">
        <f xml:space="preserve"> 15.9346203512461 / 86400</f>
        <v>1.844284762875706E-4</v>
      </c>
      <c r="L24" s="2">
        <f xml:space="preserve"> 3.88466890059208 / 86400</f>
        <v>4.4961445608704631E-5</v>
      </c>
    </row>
    <row r="25" spans="2:12" x14ac:dyDescent="0.25">
      <c r="B25" s="4" t="s">
        <v>33</v>
      </c>
      <c r="C25" s="9" t="s">
        <v>34</v>
      </c>
      <c r="D25" s="4">
        <v>12</v>
      </c>
      <c r="E25" s="22" t="s">
        <v>48</v>
      </c>
      <c r="F25" s="9" t="s">
        <v>36</v>
      </c>
      <c r="G25" s="4">
        <v>33</v>
      </c>
      <c r="H25" s="9"/>
      <c r="I25" s="2">
        <f xml:space="preserve"> 152.57944598521 / 86400</f>
        <v>1.7659658100140044E-3</v>
      </c>
      <c r="J25" s="2">
        <f xml:space="preserve"> 978.28210281051 / 86400</f>
        <v>1.1322709523269791E-2</v>
      </c>
      <c r="K25" s="23">
        <f xml:space="preserve"> 506.16363985471 / 86400</f>
        <v>5.8583754612813663E-3</v>
      </c>
      <c r="L25" s="2">
        <f xml:space="preserve"> 221.478504368855 / 86400</f>
        <v>2.5634086153802664E-3</v>
      </c>
    </row>
    <row r="26" spans="2:12" x14ac:dyDescent="0.25">
      <c r="B26" s="4" t="s">
        <v>33</v>
      </c>
      <c r="C26" s="9" t="s">
        <v>34</v>
      </c>
      <c r="D26" s="4">
        <v>13</v>
      </c>
      <c r="E26" s="20" t="s">
        <v>49</v>
      </c>
      <c r="F26" s="9" t="s">
        <v>36</v>
      </c>
      <c r="G26" s="4">
        <v>33</v>
      </c>
      <c r="H26" s="9"/>
      <c r="I26" s="2">
        <f xml:space="preserve"> 320.00109267653 / 86400</f>
        <v>3.7037163504228007E-3</v>
      </c>
      <c r="J26" s="2">
        <f xml:space="preserve"> 855.40321475007 / 86400</f>
        <v>9.9005001707184025E-3</v>
      </c>
      <c r="K26" s="21">
        <f xml:space="preserve"> 579.193623923335 / 86400</f>
        <v>6.7036299065200812E-3</v>
      </c>
      <c r="L26" s="2">
        <f xml:space="preserve"> 109.111691282055 / 86400</f>
        <v>1.2628667972460069E-3</v>
      </c>
    </row>
    <row r="27" spans="2:12" x14ac:dyDescent="0.25">
      <c r="B27" s="4" t="s">
        <v>33</v>
      </c>
      <c r="C27" s="9" t="s">
        <v>34</v>
      </c>
      <c r="D27" s="4">
        <v>14</v>
      </c>
      <c r="E27" s="20" t="s">
        <v>50</v>
      </c>
      <c r="F27" s="9" t="s">
        <v>36</v>
      </c>
      <c r="G27" s="4">
        <v>33</v>
      </c>
      <c r="H27" s="9"/>
      <c r="I27" s="2">
        <f xml:space="preserve"> 280.527763215599 / 86400</f>
        <v>3.2468491112916551E-3</v>
      </c>
      <c r="J27" s="2">
        <f xml:space="preserve"> 583.64512250695 / 86400</f>
        <v>6.7551518808674762E-3</v>
      </c>
      <c r="K27" s="21">
        <f xml:space="preserve"> 410.52357418113 / 86400</f>
        <v>4.7514302567260415E-3</v>
      </c>
      <c r="L27" s="2">
        <f xml:space="preserve"> 69.7202443757315 / 86400</f>
        <v>8.0694727286726266E-4</v>
      </c>
    </row>
    <row r="28" spans="2:12" x14ac:dyDescent="0.25">
      <c r="B28" s="4" t="s">
        <v>33</v>
      </c>
      <c r="C28" s="9" t="s">
        <v>34</v>
      </c>
      <c r="D28" s="4">
        <v>15</v>
      </c>
      <c r="E28" s="20" t="s">
        <v>51</v>
      </c>
      <c r="F28" s="9" t="s">
        <v>36</v>
      </c>
      <c r="G28" s="4">
        <v>33</v>
      </c>
      <c r="H28" s="9"/>
      <c r="I28" s="2">
        <f xml:space="preserve"> 3412.34138438587 / 86400</f>
        <v>3.9494691948910532E-2</v>
      </c>
      <c r="J28" s="2">
        <f xml:space="preserve"> 5078.92976937488 / 86400</f>
        <v>5.8783909367764821E-2</v>
      </c>
      <c r="K28" s="21">
        <f xml:space="preserve"> 3944.55244427945 / 86400</f>
        <v>4.5654542179160297E-2</v>
      </c>
      <c r="L28" s="2">
        <f xml:space="preserve"> 384.226577417738 / 86400</f>
        <v>4.447066868260856E-3</v>
      </c>
    </row>
    <row r="29" spans="2:12" x14ac:dyDescent="0.25">
      <c r="B29" s="4" t="s">
        <v>33</v>
      </c>
      <c r="C29" s="9" t="s">
        <v>34</v>
      </c>
      <c r="D29" s="4">
        <v>16</v>
      </c>
      <c r="E29" s="20" t="s">
        <v>52</v>
      </c>
      <c r="F29" s="9" t="s">
        <v>36</v>
      </c>
      <c r="G29" s="4">
        <v>33</v>
      </c>
      <c r="H29" s="9"/>
      <c r="I29" s="2">
        <f xml:space="preserve"> 351.323866890429 / 86400</f>
        <v>4.0662484593799652E-3</v>
      </c>
      <c r="J29" s="2">
        <f xml:space="preserve"> 572.75911879854 / 86400</f>
        <v>6.6291564675756949E-3</v>
      </c>
      <c r="K29" s="21">
        <f xml:space="preserve"> 456.684304998634 / 86400</f>
        <v>5.2856979745212265E-3</v>
      </c>
      <c r="L29" s="2">
        <f xml:space="preserve"> 54.6844285936843 / 86400</f>
        <v>6.3292162724171651E-4</v>
      </c>
    </row>
    <row r="30" spans="2:12" x14ac:dyDescent="0.25">
      <c r="B30" s="4" t="s">
        <v>33</v>
      </c>
      <c r="C30" s="9" t="s">
        <v>34</v>
      </c>
      <c r="D30" s="4">
        <v>17</v>
      </c>
      <c r="E30" s="20" t="s">
        <v>53</v>
      </c>
      <c r="F30" s="9" t="s">
        <v>36</v>
      </c>
      <c r="G30" s="4">
        <v>33</v>
      </c>
      <c r="H30" s="9"/>
      <c r="I30" s="2">
        <f xml:space="preserve"> 101.584870275899 / 86400</f>
        <v>1.1757508133784607E-3</v>
      </c>
      <c r="J30" s="2">
        <f xml:space="preserve"> 243.47725062793 / 86400</f>
        <v>2.8180237341195601E-3</v>
      </c>
      <c r="K30" s="21">
        <f xml:space="preserve"> 178.949196193674 / 86400</f>
        <v>2.0711712522415971E-3</v>
      </c>
      <c r="L30" s="2">
        <f xml:space="preserve"> 35.0652054040764 / 86400</f>
        <v>4.0584728476940281E-4</v>
      </c>
    </row>
    <row r="31" spans="2:12" x14ac:dyDescent="0.25">
      <c r="B31" s="4" t="s">
        <v>33</v>
      </c>
      <c r="C31" s="9" t="s">
        <v>34</v>
      </c>
      <c r="D31" s="4">
        <v>999</v>
      </c>
      <c r="E31" s="9" t="s">
        <v>54</v>
      </c>
      <c r="F31" s="9" t="s">
        <v>36</v>
      </c>
      <c r="G31" s="4">
        <v>33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70</v>
      </c>
      <c r="F35" s="15" t="s">
        <v>61</v>
      </c>
      <c r="G35" s="13" t="s">
        <v>64</v>
      </c>
      <c r="H35" s="13" t="s">
        <v>65</v>
      </c>
      <c r="I35" s="29" t="s">
        <v>66</v>
      </c>
      <c r="J35" s="13"/>
      <c r="K35" s="13"/>
      <c r="L35" s="13"/>
    </row>
    <row r="36" spans="4:12" x14ac:dyDescent="0.25">
      <c r="D36" s="28"/>
      <c r="E36" t="s">
        <v>37</v>
      </c>
      <c r="F36" s="17">
        <f>(K14*86400)/60</f>
        <v>3.1981755776345842</v>
      </c>
      <c r="G36" s="4">
        <v>33</v>
      </c>
      <c r="H36" s="30">
        <f>G36/33</f>
        <v>1</v>
      </c>
      <c r="I36" s="31">
        <f>F36*H36</f>
        <v>3.1981755776345842</v>
      </c>
      <c r="J36" s="13"/>
      <c r="K36" s="13"/>
      <c r="L36" s="13"/>
    </row>
    <row r="37" spans="4:12" x14ac:dyDescent="0.25">
      <c r="D37" s="28"/>
      <c r="E37" t="s">
        <v>38</v>
      </c>
      <c r="F37" s="17">
        <f>(K15*86400)/60</f>
        <v>0.24756361873768168</v>
      </c>
      <c r="G37" s="4">
        <v>33</v>
      </c>
      <c r="H37" s="30">
        <f>G37/33</f>
        <v>1</v>
      </c>
      <c r="I37" s="31">
        <f>F37*H37</f>
        <v>0.24756361873768168</v>
      </c>
      <c r="J37" s="13"/>
      <c r="K37" s="13"/>
      <c r="L37" s="13"/>
    </row>
    <row r="38" spans="4:12" x14ac:dyDescent="0.25">
      <c r="D38" s="28"/>
      <c r="E38" s="16" t="s">
        <v>39</v>
      </c>
      <c r="F38" s="18">
        <f>(K16*86400)/60</f>
        <v>0.440363537324785</v>
      </c>
      <c r="G38" s="4">
        <v>33</v>
      </c>
      <c r="H38" s="30">
        <f>G38/33</f>
        <v>1</v>
      </c>
      <c r="I38" s="39">
        <f>F38*H38</f>
        <v>0.440363537324785</v>
      </c>
      <c r="J38" s="29" t="s">
        <v>83</v>
      </c>
      <c r="K38" s="13"/>
      <c r="L38" s="13"/>
    </row>
    <row r="39" spans="4:12" x14ac:dyDescent="0.25">
      <c r="E39" s="14" t="s">
        <v>60</v>
      </c>
      <c r="F39" s="19">
        <f>SUM(F36:F38)</f>
        <v>3.8861027336970508</v>
      </c>
      <c r="G39" s="13"/>
      <c r="H39" s="13"/>
      <c r="I39" s="33">
        <f>SUM(I36:I38)</f>
        <v>3.8861027336970508</v>
      </c>
      <c r="J39" s="13"/>
      <c r="K39" s="13"/>
      <c r="L39" s="13"/>
    </row>
    <row r="40" spans="4:12" x14ac:dyDescent="0.25">
      <c r="F40" s="13"/>
      <c r="G40" s="13"/>
      <c r="H40" s="13"/>
      <c r="I40" s="31"/>
      <c r="J40" s="13"/>
      <c r="K40" s="13"/>
      <c r="L40" s="13"/>
    </row>
    <row r="41" spans="4:12" x14ac:dyDescent="0.25">
      <c r="F41" s="13"/>
      <c r="G41" s="13"/>
      <c r="H41" s="13"/>
      <c r="I41" s="31"/>
      <c r="J41" s="13"/>
      <c r="K41" s="13"/>
      <c r="L41" s="13"/>
    </row>
    <row r="42" spans="4:12" x14ac:dyDescent="0.25">
      <c r="E42" s="12" t="s">
        <v>71</v>
      </c>
      <c r="F42" s="15" t="s">
        <v>61</v>
      </c>
      <c r="G42" s="13"/>
      <c r="H42" s="13"/>
      <c r="I42" s="31"/>
      <c r="J42" s="13"/>
      <c r="K42" s="13"/>
      <c r="L42" s="13"/>
    </row>
    <row r="43" spans="4:12" x14ac:dyDescent="0.25">
      <c r="D43" s="27"/>
      <c r="E43" t="s">
        <v>40</v>
      </c>
      <c r="F43" s="17">
        <f t="shared" ref="F43:F48" si="0">(K17*86400)/60</f>
        <v>3.1394497908518497</v>
      </c>
      <c r="G43" s="4">
        <v>33</v>
      </c>
      <c r="H43" s="30">
        <f t="shared" ref="H43:H51" si="1">G43/33</f>
        <v>1</v>
      </c>
      <c r="I43" s="31">
        <f t="shared" ref="I43:I51" si="2">F43*H43</f>
        <v>3.1394497908518497</v>
      </c>
      <c r="J43" s="13"/>
      <c r="K43" s="13"/>
      <c r="L43" s="13"/>
    </row>
    <row r="44" spans="4:12" x14ac:dyDescent="0.25">
      <c r="D44" s="27"/>
      <c r="E44" t="s">
        <v>41</v>
      </c>
      <c r="F44" s="17">
        <f t="shared" si="0"/>
        <v>1.3446798684118901</v>
      </c>
      <c r="G44" s="4">
        <v>33</v>
      </c>
      <c r="H44" s="30">
        <f t="shared" si="1"/>
        <v>1</v>
      </c>
      <c r="I44" s="31">
        <f t="shared" si="2"/>
        <v>1.3446798684118901</v>
      </c>
      <c r="J44" s="13"/>
      <c r="K44" s="13"/>
      <c r="L44" s="13"/>
    </row>
    <row r="45" spans="4:12" x14ac:dyDescent="0.25">
      <c r="D45" s="27"/>
      <c r="E45" t="s">
        <v>42</v>
      </c>
      <c r="F45" s="17">
        <f t="shared" si="0"/>
        <v>0.83638957420181825</v>
      </c>
      <c r="G45" s="4">
        <v>33</v>
      </c>
      <c r="H45" s="30">
        <f t="shared" si="1"/>
        <v>1</v>
      </c>
      <c r="I45" s="31">
        <f t="shared" si="2"/>
        <v>0.83638957420181825</v>
      </c>
      <c r="J45" s="13"/>
      <c r="K45" s="13"/>
      <c r="L45" s="13"/>
    </row>
    <row r="46" spans="4:12" x14ac:dyDescent="0.25">
      <c r="D46" s="27"/>
      <c r="E46" t="s">
        <v>43</v>
      </c>
      <c r="F46" s="17">
        <f t="shared" si="0"/>
        <v>1.1885557928791299</v>
      </c>
      <c r="G46" s="4">
        <v>33</v>
      </c>
      <c r="H46" s="30">
        <f t="shared" si="1"/>
        <v>1</v>
      </c>
      <c r="I46" s="31">
        <f t="shared" si="2"/>
        <v>1.1885557928791299</v>
      </c>
      <c r="J46" s="13"/>
      <c r="K46" s="13"/>
      <c r="L46" s="13"/>
    </row>
    <row r="47" spans="4:12" x14ac:dyDescent="0.25">
      <c r="D47" s="27"/>
      <c r="E47" t="s">
        <v>44</v>
      </c>
      <c r="F47" s="17">
        <f t="shared" si="0"/>
        <v>37.344798745477</v>
      </c>
      <c r="G47" s="4">
        <v>33</v>
      </c>
      <c r="H47" s="30">
        <f t="shared" si="1"/>
        <v>1</v>
      </c>
      <c r="I47" s="31">
        <f t="shared" si="2"/>
        <v>37.344798745477</v>
      </c>
      <c r="J47" s="13"/>
      <c r="K47" s="13"/>
      <c r="L47" s="13"/>
    </row>
    <row r="48" spans="4:12" x14ac:dyDescent="0.25">
      <c r="D48" s="27"/>
      <c r="E48" t="s">
        <v>45</v>
      </c>
      <c r="F48" s="17">
        <f t="shared" si="0"/>
        <v>26.141625378035162</v>
      </c>
      <c r="G48" s="4">
        <v>4</v>
      </c>
      <c r="H48" s="13">
        <f t="shared" si="1"/>
        <v>0.12121212121212122</v>
      </c>
      <c r="I48" s="31">
        <f t="shared" si="2"/>
        <v>3.1686818640042622</v>
      </c>
      <c r="J48" s="13"/>
      <c r="K48" s="13"/>
      <c r="L48" s="13"/>
    </row>
    <row r="49" spans="4:12" x14ac:dyDescent="0.25">
      <c r="D49" s="27"/>
      <c r="E49" t="s">
        <v>46</v>
      </c>
      <c r="F49" s="17">
        <f t="shared" ref="F49" si="3">(K23*86400)/60</f>
        <v>17.980168266845833</v>
      </c>
      <c r="G49" s="4">
        <v>33</v>
      </c>
      <c r="H49" s="30">
        <f t="shared" si="1"/>
        <v>1</v>
      </c>
      <c r="I49" s="31">
        <f t="shared" si="2"/>
        <v>17.980168266845833</v>
      </c>
      <c r="J49" s="13"/>
      <c r="K49" s="13"/>
      <c r="L49" s="13"/>
    </row>
    <row r="50" spans="4:12" x14ac:dyDescent="0.25">
      <c r="D50" s="27"/>
      <c r="E50" t="s">
        <v>47</v>
      </c>
      <c r="F50" s="17">
        <f>(K24*86400)/60</f>
        <v>0.26557700585410166</v>
      </c>
      <c r="G50" s="4">
        <v>33</v>
      </c>
      <c r="H50" s="30">
        <f t="shared" si="1"/>
        <v>1</v>
      </c>
      <c r="I50" s="31">
        <f t="shared" si="2"/>
        <v>0.26557700585410166</v>
      </c>
      <c r="J50" s="13"/>
      <c r="K50" s="13"/>
      <c r="L50" s="13"/>
    </row>
    <row r="51" spans="4:12" x14ac:dyDescent="0.25">
      <c r="D51" s="27"/>
      <c r="E51" s="16" t="s">
        <v>48</v>
      </c>
      <c r="F51" s="18">
        <f>(K25*86400)/60</f>
        <v>8.4360606642451668</v>
      </c>
      <c r="G51" s="4">
        <v>33</v>
      </c>
      <c r="H51" s="30">
        <f t="shared" si="1"/>
        <v>1</v>
      </c>
      <c r="I51" s="32">
        <f t="shared" si="2"/>
        <v>8.4360606642451668</v>
      </c>
      <c r="J51" s="13"/>
      <c r="K51" s="13"/>
      <c r="L51" s="13"/>
    </row>
    <row r="52" spans="4:12" x14ac:dyDescent="0.25">
      <c r="E52" s="14" t="s">
        <v>62</v>
      </c>
      <c r="F52" s="19">
        <f>SUM(F43:F51)</f>
        <v>96.677305086801951</v>
      </c>
      <c r="G52" s="13"/>
      <c r="H52" s="13"/>
      <c r="I52" s="33">
        <f>SUM(I43:I51)</f>
        <v>73.704361572771049</v>
      </c>
      <c r="J52" s="13"/>
      <c r="K52" s="13"/>
      <c r="L52" s="13"/>
    </row>
    <row r="53" spans="4:12" x14ac:dyDescent="0.25">
      <c r="F53" s="13"/>
      <c r="G53" s="13"/>
      <c r="H53" s="13"/>
      <c r="I53" s="31"/>
      <c r="J53" s="13"/>
      <c r="K53" s="13"/>
      <c r="L53" s="13"/>
    </row>
    <row r="54" spans="4:12" x14ac:dyDescent="0.25">
      <c r="F54" s="13"/>
      <c r="G54" s="13"/>
      <c r="H54" s="13"/>
      <c r="I54" s="31"/>
      <c r="J54" s="13"/>
      <c r="K54" s="13"/>
      <c r="L54" s="13"/>
    </row>
    <row r="55" spans="4:12" x14ac:dyDescent="0.25">
      <c r="E55" s="12" t="s">
        <v>63</v>
      </c>
      <c r="F55" s="15" t="s">
        <v>61</v>
      </c>
      <c r="G55" s="13"/>
      <c r="H55" s="13"/>
      <c r="I55" s="31"/>
      <c r="J55" s="13"/>
      <c r="K55" s="13"/>
      <c r="L55" s="13"/>
    </row>
    <row r="56" spans="4:12" x14ac:dyDescent="0.25">
      <c r="D56" s="26"/>
      <c r="E56" t="s">
        <v>49</v>
      </c>
      <c r="F56" s="17">
        <f>(K26*86400)/60</f>
        <v>9.6532270653889167</v>
      </c>
      <c r="G56" s="4">
        <v>33</v>
      </c>
      <c r="H56" s="30">
        <f>G56/33</f>
        <v>1</v>
      </c>
      <c r="I56" s="31">
        <f>F56*H56</f>
        <v>9.6532270653889167</v>
      </c>
      <c r="J56" s="13"/>
      <c r="K56" s="13"/>
      <c r="L56" s="13"/>
    </row>
    <row r="57" spans="4:12" x14ac:dyDescent="0.25">
      <c r="D57" s="26"/>
      <c r="E57" t="s">
        <v>50</v>
      </c>
      <c r="F57" s="17">
        <f>(K27*86400)/60</f>
        <v>6.8420595696855004</v>
      </c>
      <c r="G57" s="4">
        <v>33</v>
      </c>
      <c r="H57" s="30">
        <f>G57/33</f>
        <v>1</v>
      </c>
      <c r="I57" s="31">
        <f>F57*H57</f>
        <v>6.8420595696855004</v>
      </c>
      <c r="J57" s="13"/>
      <c r="K57" s="13"/>
      <c r="L57" s="13"/>
    </row>
    <row r="58" spans="4:12" x14ac:dyDescent="0.25">
      <c r="D58" s="26"/>
      <c r="E58" t="s">
        <v>51</v>
      </c>
      <c r="F58" s="17">
        <f>(K28*86400)/60</f>
        <v>65.742540737990822</v>
      </c>
      <c r="G58" s="4">
        <v>33</v>
      </c>
      <c r="H58" s="30">
        <f>G58/33</f>
        <v>1</v>
      </c>
      <c r="I58" s="31">
        <f>F58*H58</f>
        <v>65.742540737990822</v>
      </c>
      <c r="J58" s="13"/>
      <c r="K58" s="13"/>
      <c r="L58" s="13"/>
    </row>
    <row r="59" spans="4:12" x14ac:dyDescent="0.25">
      <c r="D59" s="26"/>
      <c r="E59" t="s">
        <v>52</v>
      </c>
      <c r="F59" s="17">
        <f>(K29*86400)/60</f>
        <v>7.6114050833105669</v>
      </c>
      <c r="G59" s="4">
        <v>33</v>
      </c>
      <c r="H59" s="30">
        <f>G59/33</f>
        <v>1</v>
      </c>
      <c r="I59" s="31">
        <f>F59*H59</f>
        <v>7.6114050833105669</v>
      </c>
      <c r="J59" s="13"/>
      <c r="K59" s="13"/>
      <c r="L59" s="13"/>
    </row>
    <row r="60" spans="4:12" x14ac:dyDescent="0.25">
      <c r="D60" s="26"/>
      <c r="E60" s="16" t="s">
        <v>53</v>
      </c>
      <c r="F60" s="18">
        <f>(K30*86400)/60</f>
        <v>2.9824866032278998</v>
      </c>
      <c r="G60" s="4">
        <v>33</v>
      </c>
      <c r="H60" s="30">
        <f>G60/33</f>
        <v>1</v>
      </c>
      <c r="I60" s="32">
        <f>F60*H60</f>
        <v>2.9824866032278998</v>
      </c>
      <c r="J60" s="13"/>
      <c r="K60" s="13"/>
      <c r="L60" s="13"/>
    </row>
    <row r="61" spans="4:12" x14ac:dyDescent="0.25">
      <c r="E61" s="14" t="s">
        <v>62</v>
      </c>
      <c r="F61" s="19">
        <f>SUM(F56:F60)</f>
        <v>92.831719059603714</v>
      </c>
      <c r="G61" s="13"/>
      <c r="H61" s="13"/>
      <c r="I61" s="33">
        <f>SUM(I56:I60)</f>
        <v>92.831719059603714</v>
      </c>
      <c r="J61" s="13"/>
      <c r="K61" s="13"/>
      <c r="L61" s="13"/>
    </row>
    <row r="62" spans="4:12" x14ac:dyDescent="0.25">
      <c r="F62" s="13"/>
      <c r="G62" s="13"/>
      <c r="H62" s="13"/>
      <c r="I62" s="13"/>
      <c r="J62" s="13"/>
      <c r="K62" s="13"/>
      <c r="L62" s="13"/>
    </row>
    <row r="63" spans="4:12" x14ac:dyDescent="0.25">
      <c r="F63" s="13"/>
    </row>
    <row r="64" spans="4:12" x14ac:dyDescent="0.25">
      <c r="D64" s="38"/>
      <c r="E64" s="14" t="s">
        <v>69</v>
      </c>
      <c r="F64" s="33">
        <f>I52+SUM(I56:I59)</f>
        <v>163.55359402914686</v>
      </c>
      <c r="H64" s="34" t="s">
        <v>67</v>
      </c>
      <c r="I64" s="35">
        <f>I39+I52+I61</f>
        <v>170.42218336607181</v>
      </c>
    </row>
    <row r="65" spans="6:6" x14ac:dyDescent="0.25">
      <c r="F65" s="13"/>
    </row>
  </sheetData>
  <mergeCells count="5">
    <mergeCell ref="F11:F12"/>
    <mergeCell ref="A1:A4"/>
    <mergeCell ref="B11:C11"/>
    <mergeCell ref="D11:E11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2025-05-10T03:57:01Z</dcterms:created>
  <dcterms:modified xsi:type="dcterms:W3CDTF">2025-06-03T04:47:23Z</dcterms:modified>
</cp:coreProperties>
</file>