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C77CD479-1782-4F6B-95CB-D6895A7573B8}" xr6:coauthVersionLast="47" xr6:coauthVersionMax="47" xr10:uidLastSave="{00000000-0000-0000-0000-000000000000}"/>
  <bookViews>
    <workbookView xWindow="-120" yWindow="-120" windowWidth="51840" windowHeight="21120" activeTab="2" xr2:uid="{ACEF05F3-6A45-4531-B372-793F232E7C47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H38" i="3"/>
  <c r="H43" i="3"/>
  <c r="H44" i="3"/>
  <c r="H45" i="3"/>
  <c r="I45" i="3" s="1"/>
  <c r="H46" i="3"/>
  <c r="H47" i="3"/>
  <c r="H48" i="3"/>
  <c r="I48" i="3" s="1"/>
  <c r="H49" i="3"/>
  <c r="I49" i="3" s="1"/>
  <c r="H50" i="3"/>
  <c r="H51" i="3"/>
  <c r="I51" i="3" s="1"/>
  <c r="H56" i="3"/>
  <c r="I56" i="3" s="1"/>
  <c r="H57" i="3"/>
  <c r="I57" i="3" s="1"/>
  <c r="H58" i="3"/>
  <c r="I58" i="3" s="1"/>
  <c r="H59" i="3"/>
  <c r="H60" i="3"/>
  <c r="H37" i="3"/>
  <c r="H36" i="3"/>
  <c r="I60" i="3"/>
  <c r="I59" i="3"/>
  <c r="I50" i="3"/>
  <c r="I47" i="3"/>
  <c r="I46" i="3"/>
  <c r="I44" i="3"/>
  <c r="I43" i="3"/>
  <c r="I38" i="3"/>
  <c r="I37" i="3"/>
  <c r="I36" i="3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61" i="3" l="1"/>
  <c r="I39" i="3"/>
  <c r="I52" i="3"/>
  <c r="I64" i="3"/>
  <c r="F61" i="3"/>
  <c r="F39" i="3"/>
  <c r="F52" i="3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<sst xmlns="http://schemas.openxmlformats.org/spreadsheetml/2006/main" count="305" uniqueCount="84">
  <si>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</si>
  <si>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</si>
  <si>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</si>
  <si>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</si>
  <si>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</si>
  <si>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</si>
  <si>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</si>
  <si>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</si>
  <si>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</si>
  <si>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</si>
  <si>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</si>
  <si>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</si>
  <si>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</si>
  <si>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</si>
  <si>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</si>
  <si>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</si>
  <si>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</si>
  <si>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</si>
  <si>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</si>
  <si>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</si>
  <si>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</si>
  <si>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</si>
  <si>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</si>
  <si>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</si>
  <si>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</si>
  <si>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</si>
  <si>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</si>
  <si>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</si>
  <si>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</si>
  <si>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</si>
  <si>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</si>
  <si>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</si>
  <si>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</si>
  <si>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</si>
  <si>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</si>
  <si>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</si>
  <si>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</si>
  <si>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</si>
  <si>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</si>
  <si>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</si>
  <si>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</si>
  <si>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</si>
  <si>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</si>
  <si>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</si>
  <si>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</si>
  <si>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</si>
  <si>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</si>
  <si>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</si>
  <si>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</si>
  <si>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</si>
  <si>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</si>
  <si>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</si>
  <si>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</si>
  <si>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</si>
  <si>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</si>
  <si>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</si>
  <si>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</si>
  <si>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</si>
  <si>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</si>
  <si>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</si>
  <si>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</si>
  <si>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</si>
  <si>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</si>
  <si>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</si>
  <si>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</si>
  <si>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</si>
  <si>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</si>
  <si>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</si>
  <si>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</si>
  <si>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</si>
  <si>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18</t>
  </si>
  <si>
    <t>Satellite Contact Window Requirement</t>
  </si>
  <si>
    <t>Mean (Minutes)</t>
  </si>
  <si>
    <t>Image Processing and Analysis</t>
  </si>
  <si>
    <t>Group 3 - Task Name</t>
  </si>
  <si>
    <t>(minutes)</t>
  </si>
  <si>
    <t># of Simulations</t>
  </si>
  <si>
    <t># of Repetitions</t>
  </si>
  <si>
    <t>Sum of Mean (Minutes)</t>
  </si>
  <si>
    <t>Total Sim. Time</t>
  </si>
  <si>
    <t>Group 1 - Task Name</t>
  </si>
  <si>
    <t>Group 2 - Task Name</t>
  </si>
  <si>
    <t>Analytical Tasks Requiring Accuracy - Mean (Minutes)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</si>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</sst>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167" fontId="1" fillId="0" borderId="0" xfId="0" applyNumberFormat="1" applyFont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7" fontId="1" fillId="5" borderId="0" xfId="0" applyNumberFormat="1" applyFont="1" applyFill="1"/>
    <xf numFmtId="0" fontId="1" fillId="5" borderId="0" xfId="0" applyFont="1" applyFill="1"/>
    <xf numFmtId="2" fontId="1" fillId="0" borderId="0" xfId="0" applyNumberFormat="1" applyFont="1"/>
    <xf numFmtId="0" fontId="0" fillId="6" borderId="0" xfId="0" applyFill="1"/>
    <xf numFmtId="1" fontId="0" fillId="0" borderId="0" xfId="0" applyNumberFormat="1"/>
    <xf numFmtId="167" fontId="0" fillId="0" borderId="0" xfId="0" applyNumberFormat="1"/>
    <xf numFmtId="167" fontId="0" fillId="5" borderId="1" xfId="0" applyNumberFormat="1" applyFill="1" applyBorder="1"/>
    <xf numFmtId="167" fontId="0" fillId="0" borderId="1" xfId="0" applyNumberForma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6E38C5-B848-A913-A8EF-0A4B679DB5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638529-BD33-B24D-AD35-DC5F3202C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88EAA-4C04-45F2-9446-526E87F53B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B5AC-EB5A-4A51-84EB-2E0BA0DCA492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2.7109375" customWidth="1"/>
  </cols>
  <sheetData>
    <row r="1" spans="1:5" x14ac:dyDescent="0.25">
      <c r="A1" s="42"/>
    </row>
    <row r="2" spans="1:5" ht="18.75" x14ac:dyDescent="0.3">
      <c r="A2" s="42"/>
      <c r="B2" s="6" t="s">
        <v>16</v>
      </c>
    </row>
    <row r="3" spans="1:5" ht="17.25" x14ac:dyDescent="0.3">
      <c r="A3" s="42"/>
      <c r="B3" s="7" t="s">
        <v>17</v>
      </c>
    </row>
    <row r="4" spans="1:5" x14ac:dyDescent="0.25">
      <c r="A4" s="42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193658</v>
      </c>
    </row>
    <row r="10" spans="1:5" x14ac:dyDescent="0.25">
      <c r="A10" s="5" t="s">
        <v>21</v>
      </c>
      <c r="B10" s="8">
        <v>39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55944.2079153322 / 86400</f>
        <v>0.64750240642745593</v>
      </c>
    </row>
    <row r="15" spans="1:5" x14ac:dyDescent="0.25">
      <c r="B15" s="1" t="s">
        <v>2</v>
      </c>
      <c r="C15" s="2">
        <f xml:space="preserve"> 78126.2836150095 / 86400</f>
        <v>0.90423939369223949</v>
      </c>
    </row>
    <row r="16" spans="1:5" x14ac:dyDescent="0.25">
      <c r="B16" s="32" t="s">
        <v>3</v>
      </c>
      <c r="C16" s="33">
        <f xml:space="preserve"> 68764.134502815 / 86400</f>
        <v>0.79588118637517358</v>
      </c>
      <c r="D16" s="34">
        <f>(C16*86400)/60</f>
        <v>1146.0689083802499</v>
      </c>
      <c r="E16" s="35" t="s">
        <v>75</v>
      </c>
    </row>
    <row r="17" spans="2:3" x14ac:dyDescent="0.25">
      <c r="B17" s="1" t="s">
        <v>4</v>
      </c>
      <c r="C17" s="2">
        <f xml:space="preserve"> 4926.46960874215 / 86400</f>
        <v>5.7019324175256361E-2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B92C-F069-4230-A83C-7DE2B6B8DDDF}">
  <dimension ref="A1:X40"/>
  <sheetViews>
    <sheetView workbookViewId="0">
      <selection activeCell="E37" sqref="E37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2"/>
    </row>
    <row r="2" spans="1:24" ht="18.75" x14ac:dyDescent="0.3">
      <c r="A2" s="42"/>
      <c r="B2" s="6" t="s">
        <v>16</v>
      </c>
    </row>
    <row r="3" spans="1:24" ht="17.25" x14ac:dyDescent="0.3">
      <c r="A3" s="42"/>
      <c r="B3" s="7" t="s">
        <v>66</v>
      </c>
    </row>
    <row r="4" spans="1:24" x14ac:dyDescent="0.25">
      <c r="A4" s="42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193658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3" t="s">
        <v>22</v>
      </c>
      <c r="C11" s="44"/>
      <c r="D11" s="43" t="s">
        <v>23</v>
      </c>
      <c r="E11" s="44"/>
      <c r="F11" s="45" t="s">
        <v>24</v>
      </c>
      <c r="I11" s="43" t="s">
        <v>25</v>
      </c>
      <c r="J11" s="44"/>
      <c r="K11" s="44"/>
      <c r="L11" s="44"/>
      <c r="M11" s="44"/>
      <c r="N11" s="47" t="s">
        <v>26</v>
      </c>
      <c r="P11" s="43" t="s">
        <v>27</v>
      </c>
      <c r="Q11" s="44"/>
      <c r="R11" s="44"/>
      <c r="S11" s="44"/>
      <c r="T11" s="47" t="s">
        <v>28</v>
      </c>
      <c r="V11" s="43" t="s">
        <v>29</v>
      </c>
      <c r="W11" s="44"/>
      <c r="X11" s="44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6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8"/>
      <c r="P12" s="12" t="s">
        <v>38</v>
      </c>
      <c r="Q12" s="12" t="s">
        <v>39</v>
      </c>
      <c r="R12" s="12" t="s">
        <v>40</v>
      </c>
      <c r="S12" s="12" t="s">
        <v>37</v>
      </c>
      <c r="T12" s="48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39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39</v>
      </c>
      <c r="H14" s="9"/>
      <c r="I14" s="2">
        <f xml:space="preserve"> 96.779984763721 / 86400</f>
        <v>1.1201387125430672E-3</v>
      </c>
      <c r="J14" s="2">
        <f xml:space="preserve"> 270.827837404715 / 86400</f>
        <v>3.1345814514434607E-3</v>
      </c>
      <c r="K14" s="2">
        <f xml:space="preserve"> 193.003832462126 / 86400</f>
        <v>2.2338406534968287E-3</v>
      </c>
      <c r="L14" s="2">
        <f xml:space="preserve"> 40.7286473874185 / 86400</f>
        <v>4.7139638179882521E-4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39</v>
      </c>
      <c r="H15" s="9"/>
      <c r="I15" s="2">
        <f xml:space="preserve"> 3.76534316026002 / 86400</f>
        <v>4.358036065115764E-5</v>
      </c>
      <c r="J15" s="2">
        <f xml:space="preserve"> 24.856833761957 / 86400</f>
        <v>2.8769483520783563E-4</v>
      </c>
      <c r="K15" s="2">
        <f xml:space="preserve"> 15.0392661484691 / 86400</f>
        <v>1.7406558042209607E-4</v>
      </c>
      <c r="L15" s="2">
        <f xml:space="preserve"> 4.90587207148892 / 86400</f>
        <v>5.6780926753343983E-5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39</v>
      </c>
      <c r="H16" s="9"/>
      <c r="I16" s="2">
        <f xml:space="preserve"> 18.998006175863 / 86400</f>
        <v>2.1988433073915511E-4</v>
      </c>
      <c r="J16" s="2">
        <f xml:space="preserve"> 43.943568372168 / 86400</f>
        <v>5.0860611541861118E-4</v>
      </c>
      <c r="K16" s="2">
        <f xml:space="preserve"> 31.3661394231815 / 86400</f>
        <v>3.6303402110163772E-4</v>
      </c>
      <c r="L16" s="2">
        <f xml:space="preserve"> 7.47728775039445 / 86400</f>
        <v>8.6542682296232058E-5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39</v>
      </c>
      <c r="H17" s="9"/>
      <c r="I17" s="2">
        <f xml:space="preserve"> 78.393898817512 / 86400</f>
        <v>9.0733679186935179E-4</v>
      </c>
      <c r="J17" s="2">
        <f xml:space="preserve"> 299.055813432102 / 86400</f>
        <v>3.4612941369456252E-3</v>
      </c>
      <c r="K17" s="2">
        <f xml:space="preserve"> 174.195950550267 / 86400</f>
        <v>2.0161568350725348E-3</v>
      </c>
      <c r="L17" s="2">
        <f xml:space="preserve"> 58.7584587238736 / 86400</f>
        <v>6.8007475374853702E-4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390</v>
      </c>
      <c r="H18" s="9"/>
      <c r="I18" s="2">
        <f xml:space="preserve"> 9.71471270720212 / 86400</f>
        <v>1.1243880448150601E-4</v>
      </c>
      <c r="J18" s="2">
        <f xml:space="preserve"> 119.563595246404 / 86400</f>
        <v>1.3838379079444908E-3</v>
      </c>
      <c r="K18" s="2">
        <f xml:space="preserve"> 69.834166103821 / 86400</f>
        <v>8.0826581138681718E-4</v>
      </c>
      <c r="L18" s="2">
        <f xml:space="preserve"> 19.5106840307834 / 86400</f>
        <v>2.2581810220814117E-4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390</v>
      </c>
      <c r="H19" s="9"/>
      <c r="I19" s="2">
        <f xml:space="preserve"> 20.5971382127973 / 86400</f>
        <v>2.3839280338885764E-4</v>
      </c>
      <c r="J19" s="2">
        <f xml:space="preserve"> 79.276074400299 / 86400</f>
        <v>9.1754715741086798E-4</v>
      </c>
      <c r="K19" s="2">
        <f xml:space="preserve"> 49.5286997416914 / 86400</f>
        <v>5.7324883960290971E-4</v>
      </c>
      <c r="L19" s="2">
        <f xml:space="preserve"> 8.43224775076633 / 86400</f>
        <v>9.7595460078313991E-5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390</v>
      </c>
      <c r="H20" s="9"/>
      <c r="I20" s="2">
        <f xml:space="preserve"> 39.7625552567988 / 86400</f>
        <v>4.6021475991665274E-4</v>
      </c>
      <c r="J20" s="2">
        <f xml:space="preserve"> 102.4315528019 / 86400</f>
        <v>1.1855503796516203E-3</v>
      </c>
      <c r="K20" s="2">
        <f xml:space="preserve"> 69.6426175948282 / 86400</f>
        <v>8.0604881475495596E-4</v>
      </c>
      <c r="L20" s="2">
        <f xml:space="preserve"> 11.1784961055444 / 86400</f>
        <v>1.2938074196231945E-4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390</v>
      </c>
      <c r="H21" s="9"/>
      <c r="I21" s="2">
        <f xml:space="preserve"> 629.047214744 / 86400</f>
        <v>7.280639059537037E-3</v>
      </c>
      <c r="J21" s="2">
        <f xml:space="preserve"> 8800.84661065743 / 86400</f>
        <v>0.10186165058631286</v>
      </c>
      <c r="K21" s="2">
        <f xml:space="preserve"> 4186.07053424065 / 86400</f>
        <v>4.8449890442600119E-2</v>
      </c>
      <c r="L21" s="2">
        <f xml:space="preserve"> 1704.38562063818 / 86400</f>
        <v>1.9726685424053009E-2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55</v>
      </c>
      <c r="H22" s="9"/>
      <c r="I22" s="2">
        <f xml:space="preserve"> 783.857922669798 / 86400</f>
        <v>9.0724296605300698E-3</v>
      </c>
      <c r="J22" s="2">
        <f xml:space="preserve"> 2494.54354484725 / 86400</f>
        <v>2.8872031769065394E-2</v>
      </c>
      <c r="K22" s="2">
        <f xml:space="preserve"> 1529.34334452905 / 86400</f>
        <v>1.7700733154271411E-2</v>
      </c>
      <c r="L22" s="2">
        <f xml:space="preserve"> 470.30699276749 / 86400</f>
        <v>5.4433679718459485E-3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390</v>
      </c>
      <c r="H23" s="9"/>
      <c r="I23" s="2">
        <f xml:space="preserve"> 626.512900420596 / 86400</f>
        <v>7.2513067178309725E-3</v>
      </c>
      <c r="J23" s="2">
        <f xml:space="preserve"> 1598.4869437262 / 86400</f>
        <v>1.8501006293127314E-2</v>
      </c>
      <c r="K23" s="2">
        <f xml:space="preserve"> 1027.63225994818 / 86400</f>
        <v>1.189389189754838E-2</v>
      </c>
      <c r="L23" s="2">
        <f xml:space="preserve"> 216.320487065676 / 86400</f>
        <v>2.5037093410379165E-3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390</v>
      </c>
      <c r="H24" s="9"/>
      <c r="I24" s="2">
        <f xml:space="preserve"> 8.0819949182096 / 86400</f>
        <v>9.3541607849648156E-5</v>
      </c>
      <c r="J24" s="2">
        <f xml:space="preserve"> 165.745910192003 / 86400</f>
        <v>1.9183554420370719E-3</v>
      </c>
      <c r="K24" s="2">
        <f xml:space="preserve"> 82.9040127864833 / 86400</f>
        <v>9.59537185028742E-4</v>
      </c>
      <c r="L24" s="2">
        <f xml:space="preserve"> 42.2232992739602 / 86400</f>
        <v>4.8869559344861342E-4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390</v>
      </c>
      <c r="H25" s="9"/>
      <c r="I25" s="2">
        <f xml:space="preserve"> 125.954372474596 / 86400</f>
        <v>1.4578052369744908E-3</v>
      </c>
      <c r="J25" s="2">
        <f xml:space="preserve"> 1325.5500127149 / 86400</f>
        <v>1.5342014036052084E-2</v>
      </c>
      <c r="K25" s="2">
        <f xml:space="preserve"> 560.814795779424 / 86400</f>
        <v>6.4909119881877775E-3</v>
      </c>
      <c r="L25" s="2">
        <f xml:space="preserve"> 237.358387467751 / 86400</f>
        <v>2.7472035586545251E-3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39</v>
      </c>
      <c r="H26" s="9"/>
      <c r="I26" s="2">
        <f xml:space="preserve"> 346.520725467897 / 86400</f>
        <v>4.0106565447673263E-3</v>
      </c>
      <c r="J26" s="2">
        <f xml:space="preserve"> 739.994507659707 / 86400</f>
        <v>8.5647512460614236E-3</v>
      </c>
      <c r="K26" s="2">
        <f xml:space="preserve"> 551.242464586557 / 86400</f>
        <v>6.3801211178999657E-3</v>
      </c>
      <c r="L26" s="2">
        <f xml:space="preserve"> 96.6046289198391 / 86400</f>
        <v>1.1181091310166562E-3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39</v>
      </c>
      <c r="H27" s="9"/>
      <c r="I27" s="2">
        <f xml:space="preserve"> 231.732566168801 / 86400</f>
        <v>2.6820898862129744E-3</v>
      </c>
      <c r="J27" s="2">
        <f xml:space="preserve"> 533.852278757302 / 86400</f>
        <v>6.1788458189502545E-3</v>
      </c>
      <c r="K27" s="2">
        <f xml:space="preserve"> 409.874516077434 / 86400</f>
        <v>4.7439180101554864E-3</v>
      </c>
      <c r="L27" s="2">
        <f xml:space="preserve"> 64.7484299740472 / 86400</f>
        <v>7.4940312469962036E-4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39</v>
      </c>
      <c r="H28" s="9"/>
      <c r="I28" s="2">
        <f xml:space="preserve"> 3355.6822937679 / 86400</f>
        <v>3.8838915437128474E-2</v>
      </c>
      <c r="J28" s="2">
        <f xml:space="preserve"> 4826.1691619391 / 86400</f>
        <v>5.5858439374295146E-2</v>
      </c>
      <c r="K28" s="2">
        <f xml:space="preserve"> 4132.36526148855 / 86400</f>
        <v>4.7828301637598956E-2</v>
      </c>
      <c r="L28" s="2">
        <f xml:space="preserve"> 351.485417585571 / 86400</f>
        <v>4.0681182590922571E-3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39</v>
      </c>
      <c r="H29" s="9"/>
      <c r="I29" s="2">
        <f xml:space="preserve"> 368.522358869493 / 86400</f>
        <v>4.2653050795080213E-3</v>
      </c>
      <c r="J29" s="2">
        <f xml:space="preserve"> 610.699170256295 / 86400</f>
        <v>7.0682774335219332E-3</v>
      </c>
      <c r="K29" s="2">
        <f xml:space="preserve"> 462.028633501131 / 86400</f>
        <v>5.347553628485313E-3</v>
      </c>
      <c r="L29" s="2">
        <f xml:space="preserve"> 48.4084527702792 / 86400</f>
        <v>5.6028301817452771E-4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39</v>
      </c>
      <c r="H30" s="9"/>
      <c r="I30" s="2">
        <f xml:space="preserve"> 57.8567296815017 / 86400</f>
        <v>6.6963807501738072E-4</v>
      </c>
      <c r="J30" s="2">
        <f xml:space="preserve"> 259.305191468098 / 86400</f>
        <v>3.0012174938437264E-3</v>
      </c>
      <c r="K30" s="2">
        <f xml:space="preserve"> 173.981321521456 / 86400</f>
        <v>2.0136727027946296E-3</v>
      </c>
      <c r="L30" s="2">
        <f xml:space="preserve"> 45.5045247869133 / 86400</f>
        <v>5.2667274058927432E-4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39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2D85-A0AA-4CFD-BD0D-9A215C545FCD}">
  <dimension ref="A1:L68"/>
  <sheetViews>
    <sheetView tabSelected="1" topLeftCell="A22" workbookViewId="0">
      <selection activeCell="J38" sqref="J38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2"/>
    </row>
    <row r="2" spans="1:12" ht="18.75" x14ac:dyDescent="0.3">
      <c r="A2" s="42"/>
      <c r="B2" s="6" t="s">
        <v>16</v>
      </c>
    </row>
    <row r="3" spans="1:12" ht="17.25" x14ac:dyDescent="0.3">
      <c r="A3" s="42"/>
      <c r="B3" s="7" t="s">
        <v>66</v>
      </c>
    </row>
    <row r="4" spans="1:12" x14ac:dyDescent="0.25">
      <c r="A4" s="42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193658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3" t="s">
        <v>22</v>
      </c>
      <c r="C11" s="44"/>
      <c r="D11" s="43" t="s">
        <v>23</v>
      </c>
      <c r="E11" s="44"/>
      <c r="F11" s="45" t="s">
        <v>24</v>
      </c>
      <c r="I11" s="43" t="s">
        <v>25</v>
      </c>
      <c r="J11" s="44"/>
      <c r="K11" s="44"/>
      <c r="L11" s="44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6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39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2" t="s">
        <v>48</v>
      </c>
      <c r="F14" s="9" t="s">
        <v>46</v>
      </c>
      <c r="G14" s="4">
        <v>39</v>
      </c>
      <c r="H14" s="9"/>
      <c r="I14" s="2">
        <f xml:space="preserve"> 96.779984763721 / 86400</f>
        <v>1.1201387125430672E-3</v>
      </c>
      <c r="J14" s="2">
        <f xml:space="preserve"> 270.827837404715 / 86400</f>
        <v>3.1345814514434607E-3</v>
      </c>
      <c r="K14" s="23">
        <f xml:space="preserve"> 193.003832462126 / 86400</f>
        <v>2.2338406534968287E-3</v>
      </c>
      <c r="L14" s="2">
        <f xml:space="preserve"> 40.7286473874185 / 86400</f>
        <v>4.7139638179882521E-4</v>
      </c>
    </row>
    <row r="15" spans="1:12" x14ac:dyDescent="0.25">
      <c r="B15" s="4" t="s">
        <v>43</v>
      </c>
      <c r="C15" s="9" t="s">
        <v>44</v>
      </c>
      <c r="D15" s="4">
        <v>2</v>
      </c>
      <c r="E15" s="22" t="s">
        <v>49</v>
      </c>
      <c r="F15" s="9" t="s">
        <v>46</v>
      </c>
      <c r="G15" s="4">
        <v>39</v>
      </c>
      <c r="H15" s="9"/>
      <c r="I15" s="2">
        <f xml:space="preserve"> 3.76534316026002 / 86400</f>
        <v>4.358036065115764E-5</v>
      </c>
      <c r="J15" s="2">
        <f xml:space="preserve"> 24.856833761957 / 86400</f>
        <v>2.8769483520783563E-4</v>
      </c>
      <c r="K15" s="23">
        <f xml:space="preserve"> 15.0392661484691 / 86400</f>
        <v>1.7406558042209607E-4</v>
      </c>
      <c r="L15" s="2">
        <f xml:space="preserve"> 4.90587207148892 / 86400</f>
        <v>5.6780926753343983E-5</v>
      </c>
    </row>
    <row r="16" spans="1:12" x14ac:dyDescent="0.25">
      <c r="B16" s="4" t="s">
        <v>43</v>
      </c>
      <c r="C16" s="9" t="s">
        <v>44</v>
      </c>
      <c r="D16" s="4">
        <v>3</v>
      </c>
      <c r="E16" s="22" t="s">
        <v>50</v>
      </c>
      <c r="F16" s="9" t="s">
        <v>46</v>
      </c>
      <c r="G16" s="4">
        <v>39</v>
      </c>
      <c r="H16" s="9"/>
      <c r="I16" s="2">
        <f xml:space="preserve"> 18.998006175863 / 86400</f>
        <v>2.1988433073915511E-4</v>
      </c>
      <c r="J16" s="2">
        <f xml:space="preserve"> 43.943568372168 / 86400</f>
        <v>5.0860611541861118E-4</v>
      </c>
      <c r="K16" s="23">
        <f xml:space="preserve"> 31.3661394231815 / 86400</f>
        <v>3.6303402110163772E-4</v>
      </c>
      <c r="L16" s="2">
        <f xml:space="preserve"> 7.47728775039445 / 86400</f>
        <v>8.6542682296232058E-5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39</v>
      </c>
      <c r="H17" s="9"/>
      <c r="I17" s="2">
        <f xml:space="preserve"> 78.393898817512 / 86400</f>
        <v>9.0733679186935179E-4</v>
      </c>
      <c r="J17" s="2">
        <f xml:space="preserve"> 299.055813432102 / 86400</f>
        <v>3.4612941369456252E-3</v>
      </c>
      <c r="K17" s="25">
        <f xml:space="preserve"> 174.195950550267 / 86400</f>
        <v>2.0161568350725348E-3</v>
      </c>
      <c r="L17" s="2">
        <f xml:space="preserve"> 58.7584587238736 / 86400</f>
        <v>6.8007475374853702E-4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390</v>
      </c>
      <c r="H18" s="9"/>
      <c r="I18" s="2">
        <f xml:space="preserve"> 9.71471270720212 / 86400</f>
        <v>1.1243880448150601E-4</v>
      </c>
      <c r="J18" s="2">
        <f xml:space="preserve"> 119.563595246404 / 86400</f>
        <v>1.3838379079444908E-3</v>
      </c>
      <c r="K18" s="25">
        <f xml:space="preserve"> 69.834166103821 / 86400</f>
        <v>8.0826581138681718E-4</v>
      </c>
      <c r="L18" s="2">
        <f xml:space="preserve"> 19.5106840307834 / 86400</f>
        <v>2.2581810220814117E-4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390</v>
      </c>
      <c r="H19" s="9"/>
      <c r="I19" s="2">
        <f xml:space="preserve"> 20.5971382127973 / 86400</f>
        <v>2.3839280338885764E-4</v>
      </c>
      <c r="J19" s="2">
        <f xml:space="preserve"> 79.276074400299 / 86400</f>
        <v>9.1754715741086798E-4</v>
      </c>
      <c r="K19" s="25">
        <f xml:space="preserve"> 49.5286997416914 / 86400</f>
        <v>5.7324883960290971E-4</v>
      </c>
      <c r="L19" s="2">
        <f xml:space="preserve"> 8.43224775076633 / 86400</f>
        <v>9.7595460078313991E-5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390</v>
      </c>
      <c r="H20" s="9"/>
      <c r="I20" s="2">
        <f xml:space="preserve"> 39.7625552567988 / 86400</f>
        <v>4.6021475991665274E-4</v>
      </c>
      <c r="J20" s="2">
        <f xml:space="preserve"> 102.4315528019 / 86400</f>
        <v>1.1855503796516203E-3</v>
      </c>
      <c r="K20" s="25">
        <f xml:space="preserve"> 69.6426175948282 / 86400</f>
        <v>8.0604881475495596E-4</v>
      </c>
      <c r="L20" s="2">
        <f xml:space="preserve"> 11.1784961055444 / 86400</f>
        <v>1.2938074196231945E-4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390</v>
      </c>
      <c r="H21" s="9"/>
      <c r="I21" s="2">
        <f xml:space="preserve"> 629.047214744 / 86400</f>
        <v>7.280639059537037E-3</v>
      </c>
      <c r="J21" s="2">
        <f xml:space="preserve"> 8800.84661065743 / 86400</f>
        <v>0.10186165058631286</v>
      </c>
      <c r="K21" s="25">
        <f xml:space="preserve"> 4186.07053424065 / 86400</f>
        <v>4.8449890442600119E-2</v>
      </c>
      <c r="L21" s="2">
        <f xml:space="preserve"> 1704.38562063818 / 86400</f>
        <v>1.9726685424053009E-2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55</v>
      </c>
      <c r="H22" s="9"/>
      <c r="I22" s="2">
        <f xml:space="preserve"> 783.857922669798 / 86400</f>
        <v>9.0724296605300698E-3</v>
      </c>
      <c r="J22" s="2">
        <f xml:space="preserve"> 2494.54354484725 / 86400</f>
        <v>2.8872031769065394E-2</v>
      </c>
      <c r="K22" s="25">
        <f xml:space="preserve"> 1529.34334452905 / 86400</f>
        <v>1.7700733154271411E-2</v>
      </c>
      <c r="L22" s="2">
        <f xml:space="preserve"> 470.30699276749 / 86400</f>
        <v>5.4433679718459485E-3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390</v>
      </c>
      <c r="H23" s="9"/>
      <c r="I23" s="2">
        <f xml:space="preserve"> 626.512900420596 / 86400</f>
        <v>7.2513067178309725E-3</v>
      </c>
      <c r="J23" s="2">
        <f xml:space="preserve"> 1598.4869437262 / 86400</f>
        <v>1.8501006293127314E-2</v>
      </c>
      <c r="K23" s="25">
        <f xml:space="preserve"> 1027.63225994818 / 86400</f>
        <v>1.189389189754838E-2</v>
      </c>
      <c r="L23" s="2">
        <f xml:space="preserve"> 216.320487065676 / 86400</f>
        <v>2.5037093410379165E-3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390</v>
      </c>
      <c r="H24" s="9"/>
      <c r="I24" s="2">
        <f xml:space="preserve"> 8.0819949182096 / 86400</f>
        <v>9.3541607849648156E-5</v>
      </c>
      <c r="J24" s="2">
        <f xml:space="preserve"> 165.745910192003 / 86400</f>
        <v>1.9183554420370719E-3</v>
      </c>
      <c r="K24" s="25">
        <f xml:space="preserve"> 82.9040127864833 / 86400</f>
        <v>9.59537185028742E-4</v>
      </c>
      <c r="L24" s="2">
        <f xml:space="preserve"> 42.2232992739602 / 86400</f>
        <v>4.8869559344861342E-4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390</v>
      </c>
      <c r="H25" s="9"/>
      <c r="I25" s="2">
        <f xml:space="preserve"> 125.954372474596 / 86400</f>
        <v>1.4578052369744908E-3</v>
      </c>
      <c r="J25" s="2">
        <f xml:space="preserve"> 1325.5500127149 / 86400</f>
        <v>1.5342014036052084E-2</v>
      </c>
      <c r="K25" s="25">
        <f xml:space="preserve"> 560.814795779424 / 86400</f>
        <v>6.4909119881877775E-3</v>
      </c>
      <c r="L25" s="2">
        <f xml:space="preserve"> 237.358387467751 / 86400</f>
        <v>2.7472035586545251E-3</v>
      </c>
    </row>
    <row r="26" spans="2:12" x14ac:dyDescent="0.25">
      <c r="B26" s="4" t="s">
        <v>43</v>
      </c>
      <c r="C26" s="9" t="s">
        <v>44</v>
      </c>
      <c r="D26" s="4">
        <v>13</v>
      </c>
      <c r="E26" s="26" t="s">
        <v>60</v>
      </c>
      <c r="F26" s="9" t="s">
        <v>46</v>
      </c>
      <c r="G26" s="4">
        <v>39</v>
      </c>
      <c r="H26" s="9"/>
      <c r="I26" s="2">
        <f xml:space="preserve"> 346.520725467897 / 86400</f>
        <v>4.0106565447673263E-3</v>
      </c>
      <c r="J26" s="2">
        <f xml:space="preserve"> 739.994507659707 / 86400</f>
        <v>8.5647512460614236E-3</v>
      </c>
      <c r="K26" s="27">
        <f xml:space="preserve"> 551.242464586557 / 86400</f>
        <v>6.3801211178999657E-3</v>
      </c>
      <c r="L26" s="2">
        <f xml:space="preserve"> 96.6046289198391 / 86400</f>
        <v>1.1181091310166562E-3</v>
      </c>
    </row>
    <row r="27" spans="2:12" x14ac:dyDescent="0.25">
      <c r="B27" s="4" t="s">
        <v>43</v>
      </c>
      <c r="C27" s="9" t="s">
        <v>44</v>
      </c>
      <c r="D27" s="4">
        <v>14</v>
      </c>
      <c r="E27" s="26" t="s">
        <v>61</v>
      </c>
      <c r="F27" s="9" t="s">
        <v>46</v>
      </c>
      <c r="G27" s="4">
        <v>39</v>
      </c>
      <c r="H27" s="9"/>
      <c r="I27" s="2">
        <f xml:space="preserve"> 231.732566168801 / 86400</f>
        <v>2.6820898862129744E-3</v>
      </c>
      <c r="J27" s="2">
        <f xml:space="preserve"> 533.852278757302 / 86400</f>
        <v>6.1788458189502545E-3</v>
      </c>
      <c r="K27" s="27">
        <f xml:space="preserve"> 409.874516077434 / 86400</f>
        <v>4.7439180101554864E-3</v>
      </c>
      <c r="L27" s="2">
        <f xml:space="preserve"> 64.7484299740472 / 86400</f>
        <v>7.4940312469962036E-4</v>
      </c>
    </row>
    <row r="28" spans="2:12" x14ac:dyDescent="0.25">
      <c r="B28" s="4" t="s">
        <v>43</v>
      </c>
      <c r="C28" s="9" t="s">
        <v>44</v>
      </c>
      <c r="D28" s="4">
        <v>15</v>
      </c>
      <c r="E28" s="26" t="s">
        <v>62</v>
      </c>
      <c r="F28" s="9" t="s">
        <v>46</v>
      </c>
      <c r="G28" s="4">
        <v>39</v>
      </c>
      <c r="H28" s="9"/>
      <c r="I28" s="2">
        <f xml:space="preserve"> 3355.6822937679 / 86400</f>
        <v>3.8838915437128474E-2</v>
      </c>
      <c r="J28" s="2">
        <f xml:space="preserve"> 4826.1691619391 / 86400</f>
        <v>5.5858439374295146E-2</v>
      </c>
      <c r="K28" s="27">
        <f xml:space="preserve"> 4132.36526148855 / 86400</f>
        <v>4.7828301637598956E-2</v>
      </c>
      <c r="L28" s="2">
        <f xml:space="preserve"> 351.485417585571 / 86400</f>
        <v>4.0681182590922571E-3</v>
      </c>
    </row>
    <row r="29" spans="2:12" x14ac:dyDescent="0.25">
      <c r="B29" s="4" t="s">
        <v>43</v>
      </c>
      <c r="C29" s="9" t="s">
        <v>44</v>
      </c>
      <c r="D29" s="4">
        <v>16</v>
      </c>
      <c r="E29" s="26" t="s">
        <v>63</v>
      </c>
      <c r="F29" s="9" t="s">
        <v>46</v>
      </c>
      <c r="G29" s="4">
        <v>39</v>
      </c>
      <c r="H29" s="9"/>
      <c r="I29" s="2">
        <f xml:space="preserve"> 368.522358869493 / 86400</f>
        <v>4.2653050795080213E-3</v>
      </c>
      <c r="J29" s="2">
        <f xml:space="preserve"> 610.699170256295 / 86400</f>
        <v>7.0682774335219332E-3</v>
      </c>
      <c r="K29" s="27">
        <f xml:space="preserve"> 462.028633501131 / 86400</f>
        <v>5.347553628485313E-3</v>
      </c>
      <c r="L29" s="2">
        <f xml:space="preserve"> 48.4084527702792 / 86400</f>
        <v>5.6028301817452771E-4</v>
      </c>
    </row>
    <row r="30" spans="2:12" x14ac:dyDescent="0.25">
      <c r="B30" s="4" t="s">
        <v>43</v>
      </c>
      <c r="C30" s="9" t="s">
        <v>44</v>
      </c>
      <c r="D30" s="4">
        <v>17</v>
      </c>
      <c r="E30" s="26" t="s">
        <v>64</v>
      </c>
      <c r="F30" s="9" t="s">
        <v>46</v>
      </c>
      <c r="G30" s="4">
        <v>39</v>
      </c>
      <c r="H30" s="9"/>
      <c r="I30" s="2">
        <f xml:space="preserve"> 57.8567296815017 / 86400</f>
        <v>6.6963807501738072E-4</v>
      </c>
      <c r="J30" s="2">
        <f xml:space="preserve"> 259.305191468098 / 86400</f>
        <v>3.0012174938437264E-3</v>
      </c>
      <c r="K30" s="27">
        <f xml:space="preserve"> 173.981321521456 / 86400</f>
        <v>2.0136727027946296E-3</v>
      </c>
      <c r="L30" s="2">
        <f xml:space="preserve"> 45.5045247869133 / 86400</f>
        <v>5.2667274058927432E-4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39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80</v>
      </c>
      <c r="F35" s="17" t="s">
        <v>72</v>
      </c>
      <c r="G35" s="15" t="s">
        <v>76</v>
      </c>
      <c r="H35" s="15" t="s">
        <v>77</v>
      </c>
      <c r="I35" s="36" t="s">
        <v>78</v>
      </c>
      <c r="J35" s="15"/>
      <c r="K35" s="15"/>
      <c r="L35" s="15"/>
    </row>
    <row r="36" spans="4:12" x14ac:dyDescent="0.25">
      <c r="D36" s="28"/>
      <c r="E36" t="s">
        <v>48</v>
      </c>
      <c r="F36" s="18">
        <f>(K14*86400)/60</f>
        <v>3.216730541035433</v>
      </c>
      <c r="G36" s="4">
        <v>39</v>
      </c>
      <c r="H36" s="38">
        <f>G36/39</f>
        <v>1</v>
      </c>
      <c r="I36" s="39">
        <f>F36*H36</f>
        <v>3.216730541035433</v>
      </c>
      <c r="J36" s="15"/>
      <c r="K36" s="15"/>
      <c r="L36" s="15"/>
    </row>
    <row r="37" spans="4:12" x14ac:dyDescent="0.25">
      <c r="D37" s="28"/>
      <c r="E37" t="s">
        <v>49</v>
      </c>
      <c r="F37" s="18">
        <f>(K15*86400)/60</f>
        <v>0.25065443580781832</v>
      </c>
      <c r="G37" s="4">
        <v>39</v>
      </c>
      <c r="H37" s="38">
        <f>G37/39</f>
        <v>1</v>
      </c>
      <c r="I37" s="39">
        <f>F37*H37</f>
        <v>0.25065443580781832</v>
      </c>
      <c r="J37" s="15"/>
      <c r="K37" s="15"/>
      <c r="L37" s="15"/>
    </row>
    <row r="38" spans="4:12" x14ac:dyDescent="0.25">
      <c r="D38" s="28"/>
      <c r="E38" s="20" t="s">
        <v>50</v>
      </c>
      <c r="F38" s="21">
        <f>(K16*86400)/60</f>
        <v>0.52276899038635838</v>
      </c>
      <c r="G38" s="4">
        <v>39</v>
      </c>
      <c r="H38" s="38">
        <f t="shared" ref="H38:H60" si="0">G38/39</f>
        <v>1</v>
      </c>
      <c r="I38" s="40">
        <f>F38*H38</f>
        <v>0.52276899038635838</v>
      </c>
      <c r="J38" s="36" t="s">
        <v>83</v>
      </c>
      <c r="K38" s="15"/>
      <c r="L38" s="15"/>
    </row>
    <row r="39" spans="4:12" x14ac:dyDescent="0.25">
      <c r="E39" s="16" t="s">
        <v>71</v>
      </c>
      <c r="F39" s="19">
        <f>SUM(F36:F38)</f>
        <v>3.9901539672296096</v>
      </c>
      <c r="G39" s="15"/>
      <c r="H39" s="38"/>
      <c r="I39" s="31">
        <f>SUM(I36:I38)</f>
        <v>3.9901539672296096</v>
      </c>
      <c r="J39" s="15"/>
      <c r="K39" s="15"/>
      <c r="L39" s="15"/>
    </row>
    <row r="40" spans="4:12" x14ac:dyDescent="0.25">
      <c r="F40" s="15"/>
      <c r="G40" s="15"/>
      <c r="H40" s="38"/>
      <c r="I40" s="39"/>
      <c r="J40" s="15"/>
      <c r="K40" s="15"/>
      <c r="L40" s="15"/>
    </row>
    <row r="41" spans="4:12" x14ac:dyDescent="0.25">
      <c r="F41" s="15"/>
      <c r="G41" s="15"/>
      <c r="H41" s="38"/>
      <c r="I41" s="39"/>
      <c r="J41" s="15"/>
      <c r="K41" s="15"/>
      <c r="L41" s="15"/>
    </row>
    <row r="42" spans="4:12" x14ac:dyDescent="0.25">
      <c r="E42" s="12" t="s">
        <v>81</v>
      </c>
      <c r="F42" s="17" t="s">
        <v>72</v>
      </c>
      <c r="G42" s="15"/>
      <c r="H42" s="38"/>
      <c r="I42" s="39"/>
      <c r="J42" s="15"/>
      <c r="K42" s="15"/>
      <c r="L42" s="15"/>
    </row>
    <row r="43" spans="4:12" x14ac:dyDescent="0.25">
      <c r="D43" s="29"/>
      <c r="E43" t="s">
        <v>51</v>
      </c>
      <c r="F43" s="18">
        <f t="shared" ref="F43:F49" si="1">(K17*86400)/60</f>
        <v>2.9032658425044504</v>
      </c>
      <c r="G43" s="4">
        <v>39</v>
      </c>
      <c r="H43" s="38">
        <f t="shared" si="0"/>
        <v>1</v>
      </c>
      <c r="I43" s="39">
        <f t="shared" ref="I43:I51" si="2">F43*H43</f>
        <v>2.9032658425044504</v>
      </c>
      <c r="J43" s="15"/>
      <c r="K43" s="15"/>
      <c r="L43" s="15"/>
    </row>
    <row r="44" spans="4:12" x14ac:dyDescent="0.25">
      <c r="D44" s="29"/>
      <c r="E44" t="s">
        <v>52</v>
      </c>
      <c r="F44" s="18">
        <f t="shared" si="1"/>
        <v>1.1639027683970167</v>
      </c>
      <c r="G44" s="4">
        <v>390</v>
      </c>
      <c r="H44" s="38">
        <f t="shared" si="0"/>
        <v>10</v>
      </c>
      <c r="I44" s="39">
        <f t="shared" si="2"/>
        <v>11.639027683970166</v>
      </c>
      <c r="J44" s="15"/>
      <c r="K44" s="15"/>
      <c r="L44" s="15"/>
    </row>
    <row r="45" spans="4:12" x14ac:dyDescent="0.25">
      <c r="D45" s="29"/>
      <c r="E45" t="s">
        <v>53</v>
      </c>
      <c r="F45" s="18">
        <f t="shared" si="1"/>
        <v>0.82547832902818996</v>
      </c>
      <c r="G45" s="4">
        <v>390</v>
      </c>
      <c r="H45" s="38">
        <f t="shared" si="0"/>
        <v>10</v>
      </c>
      <c r="I45" s="39">
        <f t="shared" si="2"/>
        <v>8.2547832902818996</v>
      </c>
      <c r="J45" s="15"/>
      <c r="K45" s="15"/>
      <c r="L45" s="15"/>
    </row>
    <row r="46" spans="4:12" x14ac:dyDescent="0.25">
      <c r="D46" s="29"/>
      <c r="E46" t="s">
        <v>54</v>
      </c>
      <c r="F46" s="18">
        <f t="shared" si="1"/>
        <v>1.1607102932471365</v>
      </c>
      <c r="G46" s="4">
        <v>390</v>
      </c>
      <c r="H46" s="38">
        <f t="shared" si="0"/>
        <v>10</v>
      </c>
      <c r="I46" s="39">
        <f t="shared" si="2"/>
        <v>11.607102932471365</v>
      </c>
      <c r="J46" s="15"/>
      <c r="K46" s="15"/>
      <c r="L46" s="15"/>
    </row>
    <row r="47" spans="4:12" x14ac:dyDescent="0.25">
      <c r="D47" s="29"/>
      <c r="E47" t="s">
        <v>55</v>
      </c>
      <c r="F47" s="18">
        <f t="shared" si="1"/>
        <v>69.767842237344169</v>
      </c>
      <c r="G47" s="4">
        <v>390</v>
      </c>
      <c r="H47" s="38">
        <f t="shared" si="0"/>
        <v>10</v>
      </c>
      <c r="I47" s="39">
        <f t="shared" si="2"/>
        <v>697.67842237344166</v>
      </c>
      <c r="J47" s="15"/>
      <c r="K47" s="15"/>
      <c r="L47" s="15"/>
    </row>
    <row r="48" spans="4:12" x14ac:dyDescent="0.25">
      <c r="D48" s="29"/>
      <c r="E48" t="s">
        <v>56</v>
      </c>
      <c r="F48" s="18">
        <f t="shared" si="1"/>
        <v>25.489055742150832</v>
      </c>
      <c r="G48" s="4">
        <v>55</v>
      </c>
      <c r="H48" s="15">
        <f t="shared" si="0"/>
        <v>1.4102564102564104</v>
      </c>
      <c r="I48" s="39">
        <f t="shared" si="2"/>
        <v>35.946104251751173</v>
      </c>
      <c r="J48" s="15"/>
      <c r="K48" s="15"/>
      <c r="L48" s="15"/>
    </row>
    <row r="49" spans="4:12" x14ac:dyDescent="0.25">
      <c r="D49" s="29"/>
      <c r="E49" t="s">
        <v>57</v>
      </c>
      <c r="F49" s="18">
        <f t="shared" si="1"/>
        <v>17.127204332469667</v>
      </c>
      <c r="G49" s="4">
        <v>390</v>
      </c>
      <c r="H49" s="38">
        <f t="shared" si="0"/>
        <v>10</v>
      </c>
      <c r="I49" s="39">
        <f t="shared" si="2"/>
        <v>171.27204332469665</v>
      </c>
      <c r="J49" s="15"/>
      <c r="K49" s="15"/>
      <c r="L49" s="15"/>
    </row>
    <row r="50" spans="4:12" x14ac:dyDescent="0.25">
      <c r="D50" s="29"/>
      <c r="E50" t="s">
        <v>58</v>
      </c>
      <c r="F50" s="18">
        <f>(K24*86400)/60</f>
        <v>1.3817335464413885</v>
      </c>
      <c r="G50" s="4">
        <v>390</v>
      </c>
      <c r="H50" s="38">
        <f t="shared" si="0"/>
        <v>10</v>
      </c>
      <c r="I50" s="39">
        <f t="shared" si="2"/>
        <v>13.817335464413885</v>
      </c>
      <c r="J50" s="15"/>
      <c r="K50" s="15"/>
      <c r="L50" s="15"/>
    </row>
    <row r="51" spans="4:12" x14ac:dyDescent="0.25">
      <c r="D51" s="29"/>
      <c r="E51" s="20" t="s">
        <v>59</v>
      </c>
      <c r="F51" s="21">
        <f>(K25*86400)/60</f>
        <v>9.3469132629903999</v>
      </c>
      <c r="G51" s="4">
        <v>390</v>
      </c>
      <c r="H51" s="38">
        <f t="shared" si="0"/>
        <v>10</v>
      </c>
      <c r="I51" s="41">
        <f t="shared" si="2"/>
        <v>93.469132629903996</v>
      </c>
      <c r="J51" s="15"/>
      <c r="K51" s="15"/>
      <c r="L51" s="15"/>
    </row>
    <row r="52" spans="4:12" x14ac:dyDescent="0.25">
      <c r="E52" s="16" t="s">
        <v>73</v>
      </c>
      <c r="F52" s="19">
        <f>SUM(F43:F51)</f>
        <v>129.16610635457323</v>
      </c>
      <c r="G52" s="15"/>
      <c r="H52" s="38"/>
      <c r="I52" s="31">
        <f>SUM(I43:I51)</f>
        <v>1046.5872177934352</v>
      </c>
      <c r="J52" s="15"/>
      <c r="K52" s="15"/>
      <c r="L52" s="15"/>
    </row>
    <row r="53" spans="4:12" x14ac:dyDescent="0.25">
      <c r="F53" s="15"/>
      <c r="G53" s="15"/>
      <c r="H53" s="38"/>
      <c r="I53" s="39"/>
      <c r="J53" s="15"/>
      <c r="K53" s="15"/>
      <c r="L53" s="15"/>
    </row>
    <row r="54" spans="4:12" x14ac:dyDescent="0.25">
      <c r="F54" s="15"/>
      <c r="G54" s="15"/>
      <c r="H54" s="38"/>
      <c r="I54" s="39"/>
      <c r="J54" s="15"/>
      <c r="K54" s="15"/>
      <c r="L54" s="15"/>
    </row>
    <row r="55" spans="4:12" x14ac:dyDescent="0.25">
      <c r="E55" s="12" t="s">
        <v>74</v>
      </c>
      <c r="F55" s="17" t="s">
        <v>72</v>
      </c>
      <c r="G55" s="15"/>
      <c r="H55" s="38"/>
      <c r="I55" s="39"/>
      <c r="J55" s="15"/>
      <c r="K55" s="15"/>
      <c r="L55" s="15"/>
    </row>
    <row r="56" spans="4:12" x14ac:dyDescent="0.25">
      <c r="D56" s="30"/>
      <c r="E56" t="s">
        <v>60</v>
      </c>
      <c r="F56" s="18">
        <f>(K26*86400)/60</f>
        <v>9.1873744097759502</v>
      </c>
      <c r="G56" s="4">
        <v>39</v>
      </c>
      <c r="H56" s="38">
        <f t="shared" si="0"/>
        <v>1</v>
      </c>
      <c r="I56" s="39">
        <f>F56*H56</f>
        <v>9.1873744097759502</v>
      </c>
      <c r="J56" s="15"/>
      <c r="K56" s="15"/>
      <c r="L56" s="15"/>
    </row>
    <row r="57" spans="4:12" x14ac:dyDescent="0.25">
      <c r="D57" s="30"/>
      <c r="E57" t="s">
        <v>61</v>
      </c>
      <c r="F57" s="18">
        <f>(K27*86400)/60</f>
        <v>6.8312419346239004</v>
      </c>
      <c r="G57" s="4">
        <v>39</v>
      </c>
      <c r="H57" s="38">
        <f t="shared" si="0"/>
        <v>1</v>
      </c>
      <c r="I57" s="39">
        <f>F57*H57</f>
        <v>6.8312419346239004</v>
      </c>
      <c r="J57" s="15"/>
      <c r="K57" s="15"/>
      <c r="L57" s="15"/>
    </row>
    <row r="58" spans="4:12" x14ac:dyDescent="0.25">
      <c r="D58" s="30"/>
      <c r="E58" t="s">
        <v>62</v>
      </c>
      <c r="F58" s="18">
        <f>(K28*86400)/60</f>
        <v>68.872754358142487</v>
      </c>
      <c r="G58" s="4">
        <v>39</v>
      </c>
      <c r="H58" s="38">
        <f t="shared" si="0"/>
        <v>1</v>
      </c>
      <c r="I58" s="39">
        <f>F58*H58</f>
        <v>68.872754358142487</v>
      </c>
      <c r="J58" s="15"/>
      <c r="K58" s="15"/>
      <c r="L58" s="15"/>
    </row>
    <row r="59" spans="4:12" x14ac:dyDescent="0.25">
      <c r="D59" s="30"/>
      <c r="E59" t="s">
        <v>63</v>
      </c>
      <c r="F59" s="18">
        <f>(K29*86400)/60</f>
        <v>7.70047722501885</v>
      </c>
      <c r="G59" s="4">
        <v>39</v>
      </c>
      <c r="H59" s="38">
        <f t="shared" si="0"/>
        <v>1</v>
      </c>
      <c r="I59" s="39">
        <f>F59*H59</f>
        <v>7.70047722501885</v>
      </c>
      <c r="J59" s="15"/>
      <c r="K59" s="15"/>
      <c r="L59" s="15"/>
    </row>
    <row r="60" spans="4:12" x14ac:dyDescent="0.25">
      <c r="D60" s="30"/>
      <c r="E60" s="20" t="s">
        <v>64</v>
      </c>
      <c r="F60" s="21">
        <f>(K30*86400)/60</f>
        <v>2.8996886920242662</v>
      </c>
      <c r="G60" s="4">
        <v>39</v>
      </c>
      <c r="H60" s="38">
        <f t="shared" si="0"/>
        <v>1</v>
      </c>
      <c r="I60" s="41">
        <f>F60*H60</f>
        <v>2.8996886920242662</v>
      </c>
      <c r="J60" s="15"/>
      <c r="K60" s="15"/>
      <c r="L60" s="15"/>
    </row>
    <row r="61" spans="4:12" x14ac:dyDescent="0.25">
      <c r="E61" s="16" t="s">
        <v>73</v>
      </c>
      <c r="F61" s="19">
        <f>SUM(F56:F60)</f>
        <v>95.491536619585446</v>
      </c>
      <c r="G61" s="15"/>
      <c r="H61" s="15"/>
      <c r="I61" s="31">
        <f>SUM(I56:I60)</f>
        <v>95.491536619585446</v>
      </c>
      <c r="J61" s="15"/>
      <c r="K61" s="15"/>
      <c r="L61" s="15"/>
    </row>
    <row r="62" spans="4:12" x14ac:dyDescent="0.25">
      <c r="F62" s="15"/>
      <c r="G62" s="15"/>
      <c r="H62" s="15"/>
      <c r="I62" s="15"/>
      <c r="J62" s="15"/>
      <c r="K62" s="15"/>
      <c r="L62" s="15"/>
    </row>
    <row r="63" spans="4:12" x14ac:dyDescent="0.25">
      <c r="F63" s="15"/>
      <c r="G63" s="15"/>
      <c r="H63" s="15"/>
      <c r="I63" s="15"/>
      <c r="J63" s="15"/>
      <c r="K63" s="15"/>
      <c r="L63" s="15"/>
    </row>
    <row r="64" spans="4:12" x14ac:dyDescent="0.25">
      <c r="D64" s="37"/>
      <c r="E64" s="16" t="s">
        <v>82</v>
      </c>
      <c r="F64" s="31">
        <f>I52+SUM(I56:I59)</f>
        <v>1139.1790657209965</v>
      </c>
      <c r="H64" s="35" t="s">
        <v>79</v>
      </c>
      <c r="I64" s="35">
        <f>I39+I52+I61</f>
        <v>1146.0689083802504</v>
      </c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2025-05-10T04:07:34Z</dcterms:created>
  <dcterms:modified xsi:type="dcterms:W3CDTF">2025-06-03T04:48:03Z</dcterms:modified>
</cp:coreProperties>
</file>