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7B005020-A888-40D7-92C9-A7252E1D62CA}" xr6:coauthVersionLast="47" xr6:coauthVersionMax="47" xr10:uidLastSave="{00000000-0000-0000-0000-000000000000}"/>
  <bookViews>
    <workbookView xWindow="-120" yWindow="-120" windowWidth="51840" windowHeight="21120" activeTab="2" xr2:uid="{02238710-C1C3-47FB-85B2-50EFBD7287C2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3" l="1"/>
  <c r="F64" i="3"/>
  <c r="H43" i="3"/>
  <c r="H44" i="3"/>
  <c r="I44" i="3" s="1"/>
  <c r="H45" i="3"/>
  <c r="H46" i="3"/>
  <c r="I46" i="3" s="1"/>
  <c r="H47" i="3"/>
  <c r="I47" i="3" s="1"/>
  <c r="H48" i="3"/>
  <c r="H49" i="3"/>
  <c r="I49" i="3" s="1"/>
  <c r="H50" i="3"/>
  <c r="I50" i="3" s="1"/>
  <c r="H51" i="3"/>
  <c r="H56" i="3"/>
  <c r="H57" i="3"/>
  <c r="H58" i="3"/>
  <c r="I58" i="3" s="1"/>
  <c r="H59" i="3"/>
  <c r="I59" i="3" s="1"/>
  <c r="H60" i="3"/>
  <c r="I60" i="3" s="1"/>
  <c r="H38" i="3"/>
  <c r="H37" i="3"/>
  <c r="H36" i="3"/>
  <c r="I45" i="3"/>
  <c r="I57" i="3"/>
  <c r="I56" i="3"/>
  <c r="I51" i="3"/>
  <c r="I48" i="3"/>
  <c r="I43" i="3"/>
  <c r="I38" i="3"/>
  <c r="I37" i="3"/>
  <c r="I36" i="3"/>
  <c r="I39" i="3" s="1"/>
  <c r="D16" i="1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F57" i="3" s="1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F38" i="3" s="1"/>
  <c r="J16" i="3"/>
  <c r="I16" i="3"/>
  <c r="L15" i="3"/>
  <c r="K15" i="3"/>
  <c r="F37" i="3" s="1"/>
  <c r="J15" i="3"/>
  <c r="I15" i="3"/>
  <c r="L14" i="3"/>
  <c r="K14" i="3"/>
  <c r="F36" i="3" s="1"/>
  <c r="J14" i="3"/>
  <c r="I14" i="3"/>
  <c r="L13" i="3"/>
  <c r="K13" i="3"/>
  <c r="J13" i="3"/>
  <c r="I13" i="3"/>
  <c r="F61" i="2"/>
  <c r="F60" i="2"/>
  <c r="F59" i="2"/>
  <c r="F58" i="2"/>
  <c r="F57" i="2"/>
  <c r="F56" i="2"/>
  <c r="F50" i="2"/>
  <c r="F49" i="2"/>
  <c r="F48" i="2"/>
  <c r="F43" i="2"/>
  <c r="F38" i="2"/>
  <c r="F37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F36" i="2" s="1"/>
  <c r="F39" i="2" s="1"/>
  <c r="K15" i="2"/>
  <c r="K16" i="2"/>
  <c r="K17" i="2"/>
  <c r="K18" i="2"/>
  <c r="F44" i="2" s="1"/>
  <c r="K19" i="2"/>
  <c r="F45" i="2" s="1"/>
  <c r="K20" i="2"/>
  <c r="F46" i="2" s="1"/>
  <c r="K21" i="2"/>
  <c r="F47" i="2" s="1"/>
  <c r="K22" i="2"/>
  <c r="K23" i="2"/>
  <c r="K24" i="2"/>
  <c r="K25" i="2"/>
  <c r="F51" i="2" s="1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61" i="3" l="1"/>
  <c r="I52" i="3"/>
  <c r="F39" i="3"/>
  <c r="F61" i="3"/>
  <c r="F52" i="3"/>
  <c r="F52" i="2"/>
  <c r="I64" i="3" l="1"/>
</calcChain>
</file>

<file path=xl/sharedStrings.xml><?xml version="1.0" encoding="utf-8"?>
<sst xmlns="http://schemas.openxmlformats.org/spreadsheetml/2006/main" count="333" uniqueCount="87">
  <si>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</si>
  <si>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</si>
  <si>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</si>
  <si>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</si>
  <si>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</si>
  <si>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</si>
  <si>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</si>
  <si>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</si>
  <si>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</si>
  <si>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</si>
  <si>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</si>
  <si>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</si>
  <si>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</si>
  <si>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</si>
  <si>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</si>
  <si>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</si>
  <si>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</si>
  <si>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</si>
  <si>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</si>
  <si>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</si>
  <si>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</si>
  <si>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</si>
  <si>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</si>
  <si>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</si>
  <si>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</si>
  <si>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</si>
  <si>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</si>
  <si>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</si>
  <si>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</si>
  <si>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</si>
  <si>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</si>
  <si>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</si>
  <si>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</si>
  <si>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</si>
  <si>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</si>
  <si>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</si>
  <si>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</si>
  <si>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</si>
  <si>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</si>
  <si>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</si>
  <si>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</si>
  <si>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</si>
  <si>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</si>
  <si>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</si>
  <si>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</si>
  <si>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</si>
  <si>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</si>
  <si>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</si>
  <si>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</si>
  <si>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</si>
  <si>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</si>
  <si>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</si>
  <si>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</si>
  <si>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</si>
  <si>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</si>
  <si>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</si>
  <si>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</si>
  <si>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</si>
  <si>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</si>
  <si>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</si>
  <si>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</si>
  <si>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</si>
  <si>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</si>
  <si>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</si>
  <si>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</si>
  <si>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</si>
  <si>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</si>
  <si>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</si>
  <si>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</si>
  <si>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</si>
  <si>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19</t>
  </si>
  <si>
    <t>Task Name</t>
  </si>
  <si>
    <t>Satellite Contact Window Requirement</t>
  </si>
  <si>
    <t>Mean (Minutes)</t>
  </si>
  <si>
    <t>Image Processing and Analysis</t>
  </si>
  <si>
    <t>Group 3 - Task Name</t>
  </si>
  <si>
    <t>(minutes)</t>
  </si>
  <si>
    <t># of Simulations</t>
  </si>
  <si>
    <t># of Repetitions</t>
  </si>
  <si>
    <t>Sum of Mean (Minutes)</t>
  </si>
  <si>
    <t>Total Sim. Time</t>
  </si>
  <si>
    <t>*1 failed login</t>
  </si>
  <si>
    <t>Analytical Tasks Requiring Accuracy - Mean (Minutes)</t>
  </si>
  <si>
    <t>Group 1 - Task Name</t>
  </si>
  <si>
    <t>Group 2 - Task Name</t>
  </si>
  <si>
    <t>Group 2 and Group 3 Tasks Combined (Hyp. 2)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</si>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</sst>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C3F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0" borderId="1" xfId="0" applyBorder="1"/>
    <xf numFmtId="166" fontId="0" fillId="0" borderId="0" xfId="0" applyNumberFormat="1"/>
    <xf numFmtId="166" fontId="0" fillId="0" borderId="1" xfId="0" applyNumberFormat="1" applyBorder="1"/>
    <xf numFmtId="166" fontId="1" fillId="0" borderId="0" xfId="0" applyNumberFormat="1" applyFont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2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7" fontId="1" fillId="0" borderId="0" xfId="0" applyNumberFormat="1" applyFont="1"/>
    <xf numFmtId="49" fontId="1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7" fontId="1" fillId="5" borderId="0" xfId="0" applyNumberFormat="1" applyFont="1" applyFill="1"/>
    <xf numFmtId="0" fontId="1" fillId="5" borderId="0" xfId="0" applyFont="1" applyFill="1"/>
    <xf numFmtId="0" fontId="0" fillId="6" borderId="0" xfId="0" applyFill="1"/>
    <xf numFmtId="1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167" fontId="0" fillId="5" borderId="1" xfId="0" applyNumberFormat="1" applyFill="1" applyBorder="1"/>
    <xf numFmtId="0" fontId="0" fillId="7" borderId="0" xfId="0" applyFill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A901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A901.tmp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A901.tmp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6D8FA4-55CC-D9AB-8D30-732D906E3D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EAD08-36F2-1769-2D7E-559657FC29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F75D3-6324-45A8-AA45-0FDA99FE5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4725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AE60C-2F5F-4931-939F-E066E5DB20FD}">
  <dimension ref="A1:E30"/>
  <sheetViews>
    <sheetView workbookViewId="0">
      <selection activeCell="D16" sqref="D16:E16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6.5703125" customWidth="1"/>
  </cols>
  <sheetData>
    <row r="1" spans="1:5" x14ac:dyDescent="0.25">
      <c r="A1" s="43"/>
    </row>
    <row r="2" spans="1:5" ht="18.75" x14ac:dyDescent="0.3">
      <c r="A2" s="43"/>
      <c r="B2" s="6" t="s">
        <v>16</v>
      </c>
    </row>
    <row r="3" spans="1:5" ht="17.25" x14ac:dyDescent="0.3">
      <c r="A3" s="43"/>
      <c r="B3" s="7" t="s">
        <v>17</v>
      </c>
    </row>
    <row r="4" spans="1:5" x14ac:dyDescent="0.25">
      <c r="A4" s="43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54220</v>
      </c>
    </row>
    <row r="10" spans="1:5" x14ac:dyDescent="0.25">
      <c r="A10" s="5" t="s">
        <v>21</v>
      </c>
      <c r="B10" s="8">
        <v>33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22533.2954588316 / 86400</f>
        <v>0.26080203077351388</v>
      </c>
    </row>
    <row r="15" spans="1:5" x14ac:dyDescent="0.25">
      <c r="B15" s="1" t="s">
        <v>2</v>
      </c>
      <c r="C15" s="2">
        <f xml:space="preserve"> 32865.9054471915 / 86400</f>
        <v>0.38039242415730906</v>
      </c>
    </row>
    <row r="16" spans="1:5" x14ac:dyDescent="0.25">
      <c r="B16" s="33" t="s">
        <v>3</v>
      </c>
      <c r="C16" s="34">
        <f xml:space="preserve"> 26538.0045553189 / 86400</f>
        <v>0.30715283050137615</v>
      </c>
      <c r="D16" s="35">
        <f>(C16*86400)/60</f>
        <v>442.30007592198166</v>
      </c>
      <c r="E16" s="36" t="s">
        <v>76</v>
      </c>
    </row>
    <row r="17" spans="2:3" x14ac:dyDescent="0.25">
      <c r="B17" s="1" t="s">
        <v>4</v>
      </c>
      <c r="C17" s="2">
        <f xml:space="preserve"> 2199.04748109286 / 86400</f>
        <v>2.5451938438574767E-2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BCF7-B17D-4FD4-B5E4-72618A742A50}">
  <dimension ref="A1:X67"/>
  <sheetViews>
    <sheetView topLeftCell="A25" workbookViewId="0">
      <selection activeCell="K71" sqref="K71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3" bestFit="1" customWidth="1"/>
    <col min="6" max="6" width="16.14062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3"/>
    </row>
    <row r="2" spans="1:24" ht="18.75" x14ac:dyDescent="0.3">
      <c r="A2" s="43"/>
      <c r="B2" s="6" t="s">
        <v>16</v>
      </c>
    </row>
    <row r="3" spans="1:24" ht="17.25" x14ac:dyDescent="0.3">
      <c r="A3" s="43"/>
      <c r="B3" s="7" t="s">
        <v>66</v>
      </c>
    </row>
    <row r="4" spans="1:24" x14ac:dyDescent="0.25">
      <c r="A4" s="43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54220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4" t="s">
        <v>22</v>
      </c>
      <c r="C11" s="45"/>
      <c r="D11" s="44" t="s">
        <v>23</v>
      </c>
      <c r="E11" s="45"/>
      <c r="F11" s="46" t="s">
        <v>24</v>
      </c>
      <c r="I11" s="44" t="s">
        <v>25</v>
      </c>
      <c r="J11" s="45"/>
      <c r="K11" s="45"/>
      <c r="L11" s="45"/>
      <c r="M11" s="45"/>
      <c r="N11" s="48" t="s">
        <v>26</v>
      </c>
      <c r="P11" s="44" t="s">
        <v>27</v>
      </c>
      <c r="Q11" s="45"/>
      <c r="R11" s="45"/>
      <c r="S11" s="45"/>
      <c r="T11" s="48" t="s">
        <v>28</v>
      </c>
      <c r="V11" s="44" t="s">
        <v>29</v>
      </c>
      <c r="W11" s="45"/>
      <c r="X11" s="45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7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49"/>
      <c r="P12" s="12" t="s">
        <v>38</v>
      </c>
      <c r="Q12" s="12" t="s">
        <v>39</v>
      </c>
      <c r="R12" s="12" t="s">
        <v>40</v>
      </c>
      <c r="S12" s="12" t="s">
        <v>37</v>
      </c>
      <c r="T12" s="49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33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26" t="s">
        <v>48</v>
      </c>
      <c r="F14" s="9" t="s">
        <v>46</v>
      </c>
      <c r="G14" s="4">
        <v>34</v>
      </c>
      <c r="H14" s="9"/>
      <c r="I14" s="2">
        <f xml:space="preserve"> 101.27203223867 / 86400</f>
        <v>1.1721300027623842E-3</v>
      </c>
      <c r="J14" s="2">
        <f xml:space="preserve"> 301.771009686762 / 86400</f>
        <v>3.4927200195227085E-3</v>
      </c>
      <c r="K14" s="27">
        <f xml:space="preserve"> 191.051682060773 / 86400</f>
        <v>2.2112463201478358E-3</v>
      </c>
      <c r="L14" s="2">
        <f xml:space="preserve"> 44.5591640509219 / 86400</f>
        <v>5.1573106540418864E-4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1</v>
      </c>
      <c r="R14" s="14">
        <v>0</v>
      </c>
      <c r="S14" s="3">
        <v>0</v>
      </c>
      <c r="T14" s="3">
        <v>97.058823529411796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26" t="s">
        <v>49</v>
      </c>
      <c r="F15" s="9" t="s">
        <v>46</v>
      </c>
      <c r="G15" s="4">
        <v>33</v>
      </c>
      <c r="H15" s="9"/>
      <c r="I15" s="2">
        <f xml:space="preserve"> 4.73189088363699 / 86400</f>
        <v>5.4767255597650351E-5</v>
      </c>
      <c r="J15" s="2">
        <f xml:space="preserve"> 23.985081524581 / 86400</f>
        <v>2.7760511023820598E-4</v>
      </c>
      <c r="K15" s="27">
        <f xml:space="preserve"> 14.5981168543149 / 86400</f>
        <v>1.6895968581382987E-4</v>
      </c>
      <c r="L15" s="2">
        <f xml:space="preserve"> 5.25728694832666 / 86400</f>
        <v>6.0848228568595607E-5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26" t="s">
        <v>50</v>
      </c>
      <c r="F16" s="9" t="s">
        <v>46</v>
      </c>
      <c r="G16" s="4">
        <v>33</v>
      </c>
      <c r="H16" s="9"/>
      <c r="I16" s="2">
        <f xml:space="preserve"> 20.189781019901 / 86400</f>
        <v>2.3367802106366901E-4</v>
      </c>
      <c r="J16" s="2">
        <f xml:space="preserve"> 46.109610320526 / 86400</f>
        <v>5.3367604537645831E-4</v>
      </c>
      <c r="K16" s="27">
        <f xml:space="preserve"> 33.7316871484864 / 86400</f>
        <v>3.9041304570007409E-4</v>
      </c>
      <c r="L16" s="2">
        <f xml:space="preserve"> 7.29676116128449 / 86400</f>
        <v>8.4453254181533446E-5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24" t="s">
        <v>51</v>
      </c>
      <c r="F17" s="9" t="s">
        <v>46</v>
      </c>
      <c r="G17" s="4">
        <v>33</v>
      </c>
      <c r="H17" s="9"/>
      <c r="I17" s="2">
        <f xml:space="preserve"> 66.538937965142 / 86400</f>
        <v>7.701265968187731E-4</v>
      </c>
      <c r="J17" s="2">
        <f xml:space="preserve"> 390.385597836768 / 86400</f>
        <v>4.5183518268144445E-3</v>
      </c>
      <c r="K17" s="25">
        <f xml:space="preserve"> 189.385617242943 / 86400</f>
        <v>2.1919631625340625E-3</v>
      </c>
      <c r="L17" s="2">
        <f xml:space="preserve"> 74.1315611237459 / 86400</f>
        <v>8.5800417967298493E-4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24" t="s">
        <v>52</v>
      </c>
      <c r="F18" s="9" t="s">
        <v>46</v>
      </c>
      <c r="G18" s="4">
        <v>198</v>
      </c>
      <c r="H18" s="9"/>
      <c r="I18" s="2">
        <f xml:space="preserve"> 13.9833641294008 / 86400</f>
        <v>1.6184449223843517E-4</v>
      </c>
      <c r="J18" s="2">
        <f xml:space="preserve"> 119.743004511457 / 86400</f>
        <v>1.3859144040677895E-3</v>
      </c>
      <c r="K18" s="25">
        <f xml:space="preserve"> 72.948655322522 / 86400</f>
        <v>8.4431314030696761E-4</v>
      </c>
      <c r="L18" s="2">
        <f xml:space="preserve"> 20.3772786613308 / 86400</f>
        <v>2.3584813265429164E-4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24" t="s">
        <v>53</v>
      </c>
      <c r="F19" s="9" t="s">
        <v>46</v>
      </c>
      <c r="G19" s="4">
        <v>198</v>
      </c>
      <c r="H19" s="9"/>
      <c r="I19" s="2">
        <f xml:space="preserve"> 28.208075506244 / 86400</f>
        <v>3.2648235539634257E-4</v>
      </c>
      <c r="J19" s="2">
        <f xml:space="preserve"> 81.745588488302 / 86400</f>
        <v>9.4612949639238432E-4</v>
      </c>
      <c r="K19" s="25">
        <f xml:space="preserve"> 49.5058890981407 / 86400</f>
        <v>5.7298482752477658E-4</v>
      </c>
      <c r="L19" s="2">
        <f xml:space="preserve"> 8.58407631489669 / 86400</f>
        <v>9.9352735126119097E-5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24" t="s">
        <v>54</v>
      </c>
      <c r="F20" s="9" t="s">
        <v>46</v>
      </c>
      <c r="G20" s="4">
        <v>198</v>
      </c>
      <c r="H20" s="9"/>
      <c r="I20" s="2">
        <f xml:space="preserve"> 38.4356675676208 / 86400</f>
        <v>4.4485726351412957E-4</v>
      </c>
      <c r="J20" s="2">
        <f xml:space="preserve"> 100.481503089701 / 86400</f>
        <v>1.1629803598345023E-3</v>
      </c>
      <c r="K20" s="25">
        <f xml:space="preserve"> 70.0550377000106 / 86400</f>
        <v>8.108221956019745E-4</v>
      </c>
      <c r="L20" s="2">
        <f xml:space="preserve"> 11.7013980346601 / 86400</f>
        <v>1.3543284762338077E-4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24" t="s">
        <v>55</v>
      </c>
      <c r="F21" s="9" t="s">
        <v>46</v>
      </c>
      <c r="G21" s="4">
        <v>198</v>
      </c>
      <c r="H21" s="9"/>
      <c r="I21" s="2">
        <f xml:space="preserve"> 320.4942514879 / 86400</f>
        <v>3.7094242070358796E-3</v>
      </c>
      <c r="J21" s="2">
        <f xml:space="preserve"> 3150.1938323992 / 86400</f>
        <v>3.6460576763879628E-2</v>
      </c>
      <c r="K21" s="25">
        <f xml:space="preserve"> 1388.26712420707 / 86400</f>
        <v>1.6067906530174422E-2</v>
      </c>
      <c r="L21" s="2">
        <f xml:space="preserve"> 582.537507813384 / 86400</f>
        <v>6.7423322663586107E-3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24" t="s">
        <v>56</v>
      </c>
      <c r="F22" s="9" t="s">
        <v>46</v>
      </c>
      <c r="G22" s="4">
        <v>30</v>
      </c>
      <c r="H22" s="9"/>
      <c r="I22" s="2">
        <f xml:space="preserve"> 695.18761493405 / 86400</f>
        <v>8.0461529506255791E-3</v>
      </c>
      <c r="J22" s="2">
        <f xml:space="preserve"> 2514.76519915853 / 86400</f>
        <v>2.9106078693964466E-2</v>
      </c>
      <c r="K22" s="25">
        <f xml:space="preserve"> 1462.13662104417 / 86400</f>
        <v>1.6922877558381597E-2</v>
      </c>
      <c r="L22" s="2">
        <f xml:space="preserve"> 434.028994758276 / 86400</f>
        <v>5.0234837356281942E-3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24" t="s">
        <v>57</v>
      </c>
      <c r="F23" s="9" t="s">
        <v>46</v>
      </c>
      <c r="G23" s="4">
        <v>198</v>
      </c>
      <c r="H23" s="9"/>
      <c r="I23" s="2">
        <f xml:space="preserve"> 644.7121265561 / 86400</f>
        <v>7.46194590921412E-3</v>
      </c>
      <c r="J23" s="2">
        <f xml:space="preserve"> 1614.84797225351 / 86400</f>
        <v>1.869037004923044E-2</v>
      </c>
      <c r="K23" s="25">
        <f xml:space="preserve"> 1038.81233144759 / 86400</f>
        <v>1.2023290873235995E-2</v>
      </c>
      <c r="L23" s="2">
        <f xml:space="preserve"> 215.920709003789 / 86400</f>
        <v>2.4990822801364467E-3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24" t="s">
        <v>58</v>
      </c>
      <c r="F24" s="9" t="s">
        <v>46</v>
      </c>
      <c r="G24" s="4">
        <v>198</v>
      </c>
      <c r="H24" s="9"/>
      <c r="I24" s="2">
        <f xml:space="preserve"> 9.77624037943997 / 86400</f>
        <v>1.1315093031759225E-4</v>
      </c>
      <c r="J24" s="2">
        <f xml:space="preserve"> 89.1347842452997 / 86400</f>
        <v>1.0316525954317095E-3</v>
      </c>
      <c r="K24" s="25">
        <f xml:space="preserve"> 53.6120320438777 / 86400</f>
        <v>6.2050963013747333E-4</v>
      </c>
      <c r="L24" s="2">
        <f xml:space="preserve"> 21.0847499905117 / 86400</f>
        <v>2.4403645822351503E-4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24" t="s">
        <v>59</v>
      </c>
      <c r="F25" s="9" t="s">
        <v>46</v>
      </c>
      <c r="G25" s="4">
        <v>198</v>
      </c>
      <c r="H25" s="9"/>
      <c r="I25" s="2">
        <f xml:space="preserve"> 101.365771070799 / 86400</f>
        <v>1.1732149429490625E-3</v>
      </c>
      <c r="J25" s="2">
        <f xml:space="preserve"> 1312.38109252535 / 86400</f>
        <v>1.5189595978302661E-2</v>
      </c>
      <c r="K25" s="25">
        <f xml:space="preserve"> 521.259574015536 / 86400</f>
        <v>6.0330969214761115E-3</v>
      </c>
      <c r="L25" s="2">
        <f xml:space="preserve"> 229.049948274238 / 86400</f>
        <v>2.6510410679888657E-3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22" t="s">
        <v>60</v>
      </c>
      <c r="F26" s="9" t="s">
        <v>46</v>
      </c>
      <c r="G26" s="4">
        <v>33</v>
      </c>
      <c r="H26" s="9"/>
      <c r="I26" s="2">
        <f xml:space="preserve"> 412.995780620698 / 86400</f>
        <v>4.7800437571840042E-3</v>
      </c>
      <c r="J26" s="2">
        <f xml:space="preserve"> 881.1342109703 / 86400</f>
        <v>1.0198312626971065E-2</v>
      </c>
      <c r="K26" s="23">
        <f xml:space="preserve"> 575.727688282197 / 86400</f>
        <v>6.6635149106735771E-3</v>
      </c>
      <c r="L26" s="2">
        <f xml:space="preserve"> 120.495312583211 / 86400</f>
        <v>1.3946216734167941E-3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22" t="s">
        <v>61</v>
      </c>
      <c r="F27" s="9" t="s">
        <v>46</v>
      </c>
      <c r="G27" s="4">
        <v>33</v>
      </c>
      <c r="H27" s="9"/>
      <c r="I27" s="2">
        <f xml:space="preserve"> 235.787330963998 / 86400</f>
        <v>2.7290200343055323E-3</v>
      </c>
      <c r="J27" s="2">
        <f xml:space="preserve"> 518.597303020601 / 86400</f>
        <v>6.0022835997754738E-3</v>
      </c>
      <c r="K27" s="23">
        <f xml:space="preserve"> 397.181714457118 / 86400</f>
        <v>4.5970105839944217E-3</v>
      </c>
      <c r="L27" s="2">
        <f xml:space="preserve"> 65.3493134829136 / 86400</f>
        <v>7.5635779494112967E-4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22" t="s">
        <v>62</v>
      </c>
      <c r="F28" s="9" t="s">
        <v>46</v>
      </c>
      <c r="G28" s="4">
        <v>33</v>
      </c>
      <c r="H28" s="9"/>
      <c r="I28" s="2">
        <f xml:space="preserve"> 2834.6362470392 / 86400</f>
        <v>3.2808289896287035E-2</v>
      </c>
      <c r="J28" s="2">
        <f xml:space="preserve"> 4907.0381125105 / 86400</f>
        <v>5.6794422598501156E-2</v>
      </c>
      <c r="K28" s="23">
        <f xml:space="preserve"> 3997.87591890595 / 86400</f>
        <v>4.6271712024374426E-2</v>
      </c>
      <c r="L28" s="2">
        <f xml:space="preserve"> 422.195544238736 / 86400</f>
        <v>4.8865225027631479E-3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22" t="s">
        <v>63</v>
      </c>
      <c r="F29" s="9" t="s">
        <v>46</v>
      </c>
      <c r="G29" s="4">
        <v>33</v>
      </c>
      <c r="H29" s="9"/>
      <c r="I29" s="2">
        <f xml:space="preserve"> 338.553926787601 / 86400</f>
        <v>3.9184482267083445E-3</v>
      </c>
      <c r="J29" s="2">
        <f xml:space="preserve"> 599.7320541021 / 86400</f>
        <v>6.941343218774306E-3</v>
      </c>
      <c r="K29" s="23">
        <f xml:space="preserve"> 465.138709250494 / 86400</f>
        <v>5.3835498755844214E-3</v>
      </c>
      <c r="L29" s="2">
        <f xml:space="preserve"> 57.4261828929672 / 86400</f>
        <v>6.6465489459452778E-4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22" t="s">
        <v>64</v>
      </c>
      <c r="F30" s="9" t="s">
        <v>46</v>
      </c>
      <c r="G30" s="4">
        <v>33</v>
      </c>
      <c r="H30" s="9"/>
      <c r="I30" s="2">
        <f xml:space="preserve"> 91.4171854925007 / 86400</f>
        <v>1.058069276533573E-3</v>
      </c>
      <c r="J30" s="2">
        <f xml:space="preserve"> 267.056566647698 / 86400</f>
        <v>3.0909324843483564E-3</v>
      </c>
      <c r="K30" s="23">
        <f xml:space="preserve"> 171.545003157015 / 86400</f>
        <v>1.9854745735765626E-3</v>
      </c>
      <c r="L30" s="2">
        <f xml:space="preserve"> 44.3627454241674 / 86400</f>
        <v>5.1345770166860412E-4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33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5" spans="4:6" x14ac:dyDescent="0.25">
      <c r="E35" s="12" t="s">
        <v>71</v>
      </c>
      <c r="F35" s="17" t="s">
        <v>73</v>
      </c>
    </row>
    <row r="36" spans="4:6" x14ac:dyDescent="0.25">
      <c r="D36" s="31"/>
      <c r="E36" t="s">
        <v>48</v>
      </c>
      <c r="F36" s="19">
        <f>(K14*86400)/60</f>
        <v>3.1841947010128835</v>
      </c>
    </row>
    <row r="37" spans="4:6" x14ac:dyDescent="0.25">
      <c r="D37" s="31"/>
      <c r="E37" t="s">
        <v>49</v>
      </c>
      <c r="F37" s="19">
        <f>(K15*86400)/60</f>
        <v>0.24330194757191501</v>
      </c>
    </row>
    <row r="38" spans="4:6" x14ac:dyDescent="0.25">
      <c r="D38" s="31"/>
      <c r="E38" s="18" t="s">
        <v>50</v>
      </c>
      <c r="F38" s="20">
        <f>(K16*86400)/60</f>
        <v>0.56219478580810667</v>
      </c>
    </row>
    <row r="39" spans="4:6" x14ac:dyDescent="0.25">
      <c r="E39" s="16" t="s">
        <v>72</v>
      </c>
      <c r="F39" s="21">
        <f>SUM(F36:F38)</f>
        <v>3.9896914343929053</v>
      </c>
    </row>
    <row r="40" spans="4:6" x14ac:dyDescent="0.25">
      <c r="F40" s="15"/>
    </row>
    <row r="41" spans="4:6" x14ac:dyDescent="0.25">
      <c r="F41" s="15"/>
    </row>
    <row r="42" spans="4:6" x14ac:dyDescent="0.25">
      <c r="E42" s="12" t="s">
        <v>71</v>
      </c>
      <c r="F42" s="17" t="s">
        <v>73</v>
      </c>
    </row>
    <row r="43" spans="4:6" x14ac:dyDescent="0.25">
      <c r="D43" s="30"/>
      <c r="E43" t="s">
        <v>51</v>
      </c>
      <c r="F43" s="19">
        <f t="shared" ref="F43:F48" si="1">(K17*86400)/60</f>
        <v>3.1564269540490502</v>
      </c>
    </row>
    <row r="44" spans="4:6" x14ac:dyDescent="0.25">
      <c r="D44" s="30"/>
      <c r="E44" t="s">
        <v>52</v>
      </c>
      <c r="F44" s="19">
        <f t="shared" si="1"/>
        <v>1.2158109220420334</v>
      </c>
    </row>
    <row r="45" spans="4:6" x14ac:dyDescent="0.25">
      <c r="D45" s="30"/>
      <c r="E45" t="s">
        <v>53</v>
      </c>
      <c r="F45" s="19">
        <f t="shared" si="1"/>
        <v>0.82509815163567835</v>
      </c>
    </row>
    <row r="46" spans="4:6" x14ac:dyDescent="0.25">
      <c r="D46" s="30"/>
      <c r="E46" t="s">
        <v>54</v>
      </c>
      <c r="F46" s="19">
        <f t="shared" si="1"/>
        <v>1.1675839616668433</v>
      </c>
    </row>
    <row r="47" spans="4:6" x14ac:dyDescent="0.25">
      <c r="D47" s="30"/>
      <c r="E47" t="s">
        <v>55</v>
      </c>
      <c r="F47" s="19">
        <f t="shared" si="1"/>
        <v>23.137785403451169</v>
      </c>
    </row>
    <row r="48" spans="4:6" x14ac:dyDescent="0.25">
      <c r="D48" s="30"/>
      <c r="E48" t="s">
        <v>56</v>
      </c>
      <c r="F48" s="19">
        <f t="shared" si="1"/>
        <v>24.3689436840695</v>
      </c>
    </row>
    <row r="49" spans="4:6" x14ac:dyDescent="0.25">
      <c r="D49" s="30"/>
      <c r="E49" t="s">
        <v>57</v>
      </c>
      <c r="F49" s="19">
        <f t="shared" ref="F49" si="2">(K23*86400)/60</f>
        <v>17.313538857459832</v>
      </c>
    </row>
    <row r="50" spans="4:6" x14ac:dyDescent="0.25">
      <c r="D50" s="30"/>
      <c r="E50" t="s">
        <v>58</v>
      </c>
      <c r="F50" s="19">
        <f>(K24*86400)/60</f>
        <v>0.89353386739796159</v>
      </c>
    </row>
    <row r="51" spans="4:6" x14ac:dyDescent="0.25">
      <c r="D51" s="30"/>
      <c r="E51" s="18" t="s">
        <v>59</v>
      </c>
      <c r="F51" s="20">
        <f>(K25*86400)/60</f>
        <v>8.6876595669255998</v>
      </c>
    </row>
    <row r="52" spans="4:6" x14ac:dyDescent="0.25">
      <c r="E52" s="16" t="s">
        <v>74</v>
      </c>
      <c r="F52" s="21">
        <f>SUM(F43:F51)</f>
        <v>80.766381368697679</v>
      </c>
    </row>
    <row r="53" spans="4:6" x14ac:dyDescent="0.25">
      <c r="F53" s="15"/>
    </row>
    <row r="54" spans="4:6" x14ac:dyDescent="0.25">
      <c r="F54" s="15"/>
    </row>
    <row r="55" spans="4:6" x14ac:dyDescent="0.25">
      <c r="E55" s="16" t="s">
        <v>75</v>
      </c>
      <c r="F55" s="28" t="s">
        <v>73</v>
      </c>
    </row>
    <row r="56" spans="4:6" x14ac:dyDescent="0.25">
      <c r="D56" s="29"/>
      <c r="E56" t="s">
        <v>55</v>
      </c>
      <c r="F56" s="19">
        <f>(K26*86400)/60</f>
        <v>9.5954614713699513</v>
      </c>
    </row>
    <row r="57" spans="4:6" x14ac:dyDescent="0.25">
      <c r="D57" s="29"/>
      <c r="E57" t="s">
        <v>56</v>
      </c>
      <c r="F57" s="19">
        <f>(K27*86400)/60</f>
        <v>6.6196952409519678</v>
      </c>
    </row>
    <row r="58" spans="4:6" x14ac:dyDescent="0.25">
      <c r="D58" s="29"/>
      <c r="E58" t="s">
        <v>57</v>
      </c>
      <c r="F58" s="19">
        <f>(K28*86400)/60</f>
        <v>66.631265315099171</v>
      </c>
    </row>
    <row r="59" spans="4:6" x14ac:dyDescent="0.25">
      <c r="D59" s="29"/>
      <c r="E59" t="s">
        <v>58</v>
      </c>
      <c r="F59" s="19">
        <f>(K29*86400)/60</f>
        <v>7.7523118208415669</v>
      </c>
    </row>
    <row r="60" spans="4:6" x14ac:dyDescent="0.25">
      <c r="D60" s="29"/>
      <c r="E60" s="18" t="s">
        <v>59</v>
      </c>
      <c r="F60" s="20">
        <f>(K30*86400)/60</f>
        <v>2.85908338595025</v>
      </c>
    </row>
    <row r="61" spans="4:6" x14ac:dyDescent="0.25">
      <c r="E61" s="16" t="s">
        <v>74</v>
      </c>
      <c r="F61" s="21">
        <f>SUM(F56:F60)</f>
        <v>93.457817234212911</v>
      </c>
    </row>
    <row r="62" spans="4:6" x14ac:dyDescent="0.25">
      <c r="F62" s="15"/>
    </row>
    <row r="63" spans="4:6" x14ac:dyDescent="0.25">
      <c r="F63" s="15"/>
    </row>
    <row r="64" spans="4:6" x14ac:dyDescent="0.25">
      <c r="F64" s="15"/>
    </row>
    <row r="65" spans="6:6" x14ac:dyDescent="0.25">
      <c r="F65" s="15"/>
    </row>
    <row r="66" spans="6:6" x14ac:dyDescent="0.25">
      <c r="F66" s="15"/>
    </row>
    <row r="67" spans="6:6" x14ac:dyDescent="0.25">
      <c r="F67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C69F-E9C7-4504-BC4F-288AC0451FC9}">
  <dimension ref="A1:L67"/>
  <sheetViews>
    <sheetView tabSelected="1" topLeftCell="A22" workbookViewId="0">
      <selection activeCell="R64" sqref="R64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6.42578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3"/>
    </row>
    <row r="2" spans="1:12" ht="18.75" x14ac:dyDescent="0.3">
      <c r="A2" s="43"/>
      <c r="B2" s="6" t="s">
        <v>16</v>
      </c>
    </row>
    <row r="3" spans="1:12" ht="17.25" x14ac:dyDescent="0.3">
      <c r="A3" s="43"/>
      <c r="B3" s="7" t="s">
        <v>66</v>
      </c>
    </row>
    <row r="4" spans="1:12" x14ac:dyDescent="0.25">
      <c r="A4" s="43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54220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4" t="s">
        <v>22</v>
      </c>
      <c r="C11" s="45"/>
      <c r="D11" s="44" t="s">
        <v>23</v>
      </c>
      <c r="E11" s="45"/>
      <c r="F11" s="46" t="s">
        <v>24</v>
      </c>
      <c r="I11" s="44" t="s">
        <v>25</v>
      </c>
      <c r="J11" s="45"/>
      <c r="K11" s="45"/>
      <c r="L11" s="45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7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33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6" t="s">
        <v>48</v>
      </c>
      <c r="F14" s="9" t="s">
        <v>46</v>
      </c>
      <c r="G14" s="4">
        <v>34</v>
      </c>
      <c r="H14" s="9" t="s">
        <v>81</v>
      </c>
      <c r="I14" s="2">
        <f xml:space="preserve"> 101.27203223867 / 86400</f>
        <v>1.1721300027623842E-3</v>
      </c>
      <c r="J14" s="2">
        <f xml:space="preserve"> 301.771009686762 / 86400</f>
        <v>3.4927200195227085E-3</v>
      </c>
      <c r="K14" s="27">
        <f xml:space="preserve"> 191.051682060773 / 86400</f>
        <v>2.2112463201478358E-3</v>
      </c>
      <c r="L14" s="2">
        <f xml:space="preserve"> 44.5591640509219 / 86400</f>
        <v>5.1573106540418864E-4</v>
      </c>
    </row>
    <row r="15" spans="1:12" x14ac:dyDescent="0.25">
      <c r="B15" s="4" t="s">
        <v>43</v>
      </c>
      <c r="C15" s="9" t="s">
        <v>44</v>
      </c>
      <c r="D15" s="4">
        <v>2</v>
      </c>
      <c r="E15" s="26" t="s">
        <v>49</v>
      </c>
      <c r="F15" s="9" t="s">
        <v>46</v>
      </c>
      <c r="G15" s="4">
        <v>33</v>
      </c>
      <c r="H15" s="9"/>
      <c r="I15" s="2">
        <f xml:space="preserve"> 4.73189088363699 / 86400</f>
        <v>5.4767255597650351E-5</v>
      </c>
      <c r="J15" s="2">
        <f xml:space="preserve"> 23.985081524581 / 86400</f>
        <v>2.7760511023820598E-4</v>
      </c>
      <c r="K15" s="27">
        <f xml:space="preserve"> 14.5981168543149 / 86400</f>
        <v>1.6895968581382987E-4</v>
      </c>
      <c r="L15" s="2">
        <f xml:space="preserve"> 5.25728694832666 / 86400</f>
        <v>6.0848228568595607E-5</v>
      </c>
    </row>
    <row r="16" spans="1:12" x14ac:dyDescent="0.25">
      <c r="B16" s="4" t="s">
        <v>43</v>
      </c>
      <c r="C16" s="9" t="s">
        <v>44</v>
      </c>
      <c r="D16" s="4">
        <v>3</v>
      </c>
      <c r="E16" s="26" t="s">
        <v>50</v>
      </c>
      <c r="F16" s="9" t="s">
        <v>46</v>
      </c>
      <c r="G16" s="4">
        <v>33</v>
      </c>
      <c r="H16" s="9"/>
      <c r="I16" s="2">
        <f xml:space="preserve"> 20.189781019901 / 86400</f>
        <v>2.3367802106366901E-4</v>
      </c>
      <c r="J16" s="2">
        <f xml:space="preserve"> 46.109610320526 / 86400</f>
        <v>5.3367604537645831E-4</v>
      </c>
      <c r="K16" s="27">
        <f xml:space="preserve"> 33.7316871484864 / 86400</f>
        <v>3.9041304570007409E-4</v>
      </c>
      <c r="L16" s="2">
        <f xml:space="preserve"> 7.29676116128449 / 86400</f>
        <v>8.4453254181533446E-5</v>
      </c>
    </row>
    <row r="17" spans="2:12" x14ac:dyDescent="0.25">
      <c r="B17" s="4" t="s">
        <v>43</v>
      </c>
      <c r="C17" s="9" t="s">
        <v>44</v>
      </c>
      <c r="D17" s="4">
        <v>4</v>
      </c>
      <c r="E17" s="24" t="s">
        <v>51</v>
      </c>
      <c r="F17" s="9" t="s">
        <v>46</v>
      </c>
      <c r="G17" s="4">
        <v>33</v>
      </c>
      <c r="H17" s="9"/>
      <c r="I17" s="2">
        <f xml:space="preserve"> 66.538937965142 / 86400</f>
        <v>7.701265968187731E-4</v>
      </c>
      <c r="J17" s="2">
        <f xml:space="preserve"> 390.385597836768 / 86400</f>
        <v>4.5183518268144445E-3</v>
      </c>
      <c r="K17" s="25">
        <f xml:space="preserve"> 189.385617242943 / 86400</f>
        <v>2.1919631625340625E-3</v>
      </c>
      <c r="L17" s="2">
        <f xml:space="preserve"> 74.1315611237459 / 86400</f>
        <v>8.5800417967298493E-4</v>
      </c>
    </row>
    <row r="18" spans="2:12" x14ac:dyDescent="0.25">
      <c r="B18" s="4" t="s">
        <v>43</v>
      </c>
      <c r="C18" s="9" t="s">
        <v>44</v>
      </c>
      <c r="D18" s="4">
        <v>5</v>
      </c>
      <c r="E18" s="24" t="s">
        <v>52</v>
      </c>
      <c r="F18" s="9" t="s">
        <v>46</v>
      </c>
      <c r="G18" s="4">
        <v>198</v>
      </c>
      <c r="H18" s="9"/>
      <c r="I18" s="2">
        <f xml:space="preserve"> 13.9833641294008 / 86400</f>
        <v>1.6184449223843517E-4</v>
      </c>
      <c r="J18" s="2">
        <f xml:space="preserve"> 119.743004511457 / 86400</f>
        <v>1.3859144040677895E-3</v>
      </c>
      <c r="K18" s="25">
        <f xml:space="preserve"> 72.948655322522 / 86400</f>
        <v>8.4431314030696761E-4</v>
      </c>
      <c r="L18" s="2">
        <f xml:space="preserve"> 20.3772786613308 / 86400</f>
        <v>2.3584813265429164E-4</v>
      </c>
    </row>
    <row r="19" spans="2:12" x14ac:dyDescent="0.25">
      <c r="B19" s="4" t="s">
        <v>43</v>
      </c>
      <c r="C19" s="9" t="s">
        <v>44</v>
      </c>
      <c r="D19" s="4">
        <v>6</v>
      </c>
      <c r="E19" s="24" t="s">
        <v>53</v>
      </c>
      <c r="F19" s="9" t="s">
        <v>46</v>
      </c>
      <c r="G19" s="4">
        <v>198</v>
      </c>
      <c r="H19" s="9"/>
      <c r="I19" s="2">
        <f xml:space="preserve"> 28.208075506244 / 86400</f>
        <v>3.2648235539634257E-4</v>
      </c>
      <c r="J19" s="2">
        <f xml:space="preserve"> 81.745588488302 / 86400</f>
        <v>9.4612949639238432E-4</v>
      </c>
      <c r="K19" s="25">
        <f xml:space="preserve"> 49.5058890981407 / 86400</f>
        <v>5.7298482752477658E-4</v>
      </c>
      <c r="L19" s="2">
        <f xml:space="preserve"> 8.58407631489669 / 86400</f>
        <v>9.9352735126119097E-5</v>
      </c>
    </row>
    <row r="20" spans="2:12" x14ac:dyDescent="0.25">
      <c r="B20" s="4" t="s">
        <v>43</v>
      </c>
      <c r="C20" s="9" t="s">
        <v>44</v>
      </c>
      <c r="D20" s="4">
        <v>7</v>
      </c>
      <c r="E20" s="24" t="s">
        <v>54</v>
      </c>
      <c r="F20" s="9" t="s">
        <v>46</v>
      </c>
      <c r="G20" s="4">
        <v>198</v>
      </c>
      <c r="H20" s="9"/>
      <c r="I20" s="2">
        <f xml:space="preserve"> 38.4356675676208 / 86400</f>
        <v>4.4485726351412957E-4</v>
      </c>
      <c r="J20" s="2">
        <f xml:space="preserve"> 100.481503089701 / 86400</f>
        <v>1.1629803598345023E-3</v>
      </c>
      <c r="K20" s="25">
        <f xml:space="preserve"> 70.0550377000106 / 86400</f>
        <v>8.108221956019745E-4</v>
      </c>
      <c r="L20" s="2">
        <f xml:space="preserve"> 11.7013980346601 / 86400</f>
        <v>1.3543284762338077E-4</v>
      </c>
    </row>
    <row r="21" spans="2:12" x14ac:dyDescent="0.25">
      <c r="B21" s="4" t="s">
        <v>43</v>
      </c>
      <c r="C21" s="9" t="s">
        <v>44</v>
      </c>
      <c r="D21" s="4">
        <v>8</v>
      </c>
      <c r="E21" s="24" t="s">
        <v>55</v>
      </c>
      <c r="F21" s="9" t="s">
        <v>46</v>
      </c>
      <c r="G21" s="4">
        <v>198</v>
      </c>
      <c r="H21" s="9"/>
      <c r="I21" s="2">
        <f xml:space="preserve"> 320.4942514879 / 86400</f>
        <v>3.7094242070358796E-3</v>
      </c>
      <c r="J21" s="2">
        <f xml:space="preserve"> 3150.1938323992 / 86400</f>
        <v>3.6460576763879628E-2</v>
      </c>
      <c r="K21" s="25">
        <f xml:space="preserve"> 1388.26712420707 / 86400</f>
        <v>1.6067906530174422E-2</v>
      </c>
      <c r="L21" s="2">
        <f xml:space="preserve"> 582.537507813384 / 86400</f>
        <v>6.7423322663586107E-3</v>
      </c>
    </row>
    <row r="22" spans="2:12" x14ac:dyDescent="0.25">
      <c r="B22" s="4" t="s">
        <v>43</v>
      </c>
      <c r="C22" s="9" t="s">
        <v>44</v>
      </c>
      <c r="D22" s="4">
        <v>9</v>
      </c>
      <c r="E22" s="24" t="s">
        <v>56</v>
      </c>
      <c r="F22" s="9" t="s">
        <v>46</v>
      </c>
      <c r="G22" s="4">
        <v>30</v>
      </c>
      <c r="H22" s="9"/>
      <c r="I22" s="2">
        <f xml:space="preserve"> 695.18761493405 / 86400</f>
        <v>8.0461529506255791E-3</v>
      </c>
      <c r="J22" s="2">
        <f xml:space="preserve"> 2514.76519915853 / 86400</f>
        <v>2.9106078693964466E-2</v>
      </c>
      <c r="K22" s="25">
        <f xml:space="preserve"> 1462.13662104417 / 86400</f>
        <v>1.6922877558381597E-2</v>
      </c>
      <c r="L22" s="2">
        <f xml:space="preserve"> 434.028994758276 / 86400</f>
        <v>5.0234837356281942E-3</v>
      </c>
    </row>
    <row r="23" spans="2:12" x14ac:dyDescent="0.25">
      <c r="B23" s="4" t="s">
        <v>43</v>
      </c>
      <c r="C23" s="9" t="s">
        <v>44</v>
      </c>
      <c r="D23" s="4">
        <v>10</v>
      </c>
      <c r="E23" s="24" t="s">
        <v>57</v>
      </c>
      <c r="F23" s="9" t="s">
        <v>46</v>
      </c>
      <c r="G23" s="4">
        <v>198</v>
      </c>
      <c r="H23" s="9"/>
      <c r="I23" s="2">
        <f xml:space="preserve"> 644.7121265561 / 86400</f>
        <v>7.46194590921412E-3</v>
      </c>
      <c r="J23" s="2">
        <f xml:space="preserve"> 1614.84797225351 / 86400</f>
        <v>1.869037004923044E-2</v>
      </c>
      <c r="K23" s="25">
        <f xml:space="preserve"> 1038.81233144759 / 86400</f>
        <v>1.2023290873235995E-2</v>
      </c>
      <c r="L23" s="2">
        <f xml:space="preserve"> 215.920709003789 / 86400</f>
        <v>2.4990822801364467E-3</v>
      </c>
    </row>
    <row r="24" spans="2:12" x14ac:dyDescent="0.25">
      <c r="B24" s="4" t="s">
        <v>43</v>
      </c>
      <c r="C24" s="9" t="s">
        <v>44</v>
      </c>
      <c r="D24" s="4">
        <v>11</v>
      </c>
      <c r="E24" s="24" t="s">
        <v>58</v>
      </c>
      <c r="F24" s="9" t="s">
        <v>46</v>
      </c>
      <c r="G24" s="4">
        <v>198</v>
      </c>
      <c r="H24" s="9"/>
      <c r="I24" s="2">
        <f xml:space="preserve"> 9.77624037943997 / 86400</f>
        <v>1.1315093031759225E-4</v>
      </c>
      <c r="J24" s="2">
        <f xml:space="preserve"> 89.1347842452997 / 86400</f>
        <v>1.0316525954317095E-3</v>
      </c>
      <c r="K24" s="25">
        <f xml:space="preserve"> 53.6120320438777 / 86400</f>
        <v>6.2050963013747333E-4</v>
      </c>
      <c r="L24" s="2">
        <f xml:space="preserve"> 21.0847499905117 / 86400</f>
        <v>2.4403645822351503E-4</v>
      </c>
    </row>
    <row r="25" spans="2:12" x14ac:dyDescent="0.25">
      <c r="B25" s="4" t="s">
        <v>43</v>
      </c>
      <c r="C25" s="9" t="s">
        <v>44</v>
      </c>
      <c r="D25" s="4">
        <v>12</v>
      </c>
      <c r="E25" s="24" t="s">
        <v>59</v>
      </c>
      <c r="F25" s="9" t="s">
        <v>46</v>
      </c>
      <c r="G25" s="4">
        <v>198</v>
      </c>
      <c r="H25" s="9"/>
      <c r="I25" s="2">
        <f xml:space="preserve"> 101.365771070799 / 86400</f>
        <v>1.1732149429490625E-3</v>
      </c>
      <c r="J25" s="2">
        <f xml:space="preserve"> 1312.38109252535 / 86400</f>
        <v>1.5189595978302661E-2</v>
      </c>
      <c r="K25" s="25">
        <f xml:space="preserve"> 521.259574015536 / 86400</f>
        <v>6.0330969214761115E-3</v>
      </c>
      <c r="L25" s="2">
        <f xml:space="preserve"> 229.049948274238 / 86400</f>
        <v>2.6510410679888657E-3</v>
      </c>
    </row>
    <row r="26" spans="2:12" x14ac:dyDescent="0.25">
      <c r="B26" s="4" t="s">
        <v>43</v>
      </c>
      <c r="C26" s="9" t="s">
        <v>44</v>
      </c>
      <c r="D26" s="4">
        <v>13</v>
      </c>
      <c r="E26" s="22" t="s">
        <v>60</v>
      </c>
      <c r="F26" s="9" t="s">
        <v>46</v>
      </c>
      <c r="G26" s="4">
        <v>33</v>
      </c>
      <c r="H26" s="9"/>
      <c r="I26" s="2">
        <f xml:space="preserve"> 412.995780620698 / 86400</f>
        <v>4.7800437571840042E-3</v>
      </c>
      <c r="J26" s="2">
        <f xml:space="preserve"> 881.1342109703 / 86400</f>
        <v>1.0198312626971065E-2</v>
      </c>
      <c r="K26" s="23">
        <f xml:space="preserve"> 575.727688282197 / 86400</f>
        <v>6.6635149106735771E-3</v>
      </c>
      <c r="L26" s="2">
        <f xml:space="preserve"> 120.495312583211 / 86400</f>
        <v>1.3946216734167941E-3</v>
      </c>
    </row>
    <row r="27" spans="2:12" x14ac:dyDescent="0.25">
      <c r="B27" s="4" t="s">
        <v>43</v>
      </c>
      <c r="C27" s="9" t="s">
        <v>44</v>
      </c>
      <c r="D27" s="4">
        <v>14</v>
      </c>
      <c r="E27" s="22" t="s">
        <v>61</v>
      </c>
      <c r="F27" s="9" t="s">
        <v>46</v>
      </c>
      <c r="G27" s="4">
        <v>33</v>
      </c>
      <c r="H27" s="9"/>
      <c r="I27" s="2">
        <f xml:space="preserve"> 235.787330963998 / 86400</f>
        <v>2.7290200343055323E-3</v>
      </c>
      <c r="J27" s="2">
        <f xml:space="preserve"> 518.597303020601 / 86400</f>
        <v>6.0022835997754738E-3</v>
      </c>
      <c r="K27" s="23">
        <f xml:space="preserve"> 397.181714457118 / 86400</f>
        <v>4.5970105839944217E-3</v>
      </c>
      <c r="L27" s="2">
        <f xml:space="preserve"> 65.3493134829136 / 86400</f>
        <v>7.5635779494112967E-4</v>
      </c>
    </row>
    <row r="28" spans="2:12" x14ac:dyDescent="0.25">
      <c r="B28" s="4" t="s">
        <v>43</v>
      </c>
      <c r="C28" s="9" t="s">
        <v>44</v>
      </c>
      <c r="D28" s="4">
        <v>15</v>
      </c>
      <c r="E28" s="22" t="s">
        <v>62</v>
      </c>
      <c r="F28" s="9" t="s">
        <v>46</v>
      </c>
      <c r="G28" s="4">
        <v>33</v>
      </c>
      <c r="H28" s="9"/>
      <c r="I28" s="2">
        <f xml:space="preserve"> 2834.6362470392 / 86400</f>
        <v>3.2808289896287035E-2</v>
      </c>
      <c r="J28" s="2">
        <f xml:space="preserve"> 4907.0381125105 / 86400</f>
        <v>5.6794422598501156E-2</v>
      </c>
      <c r="K28" s="23">
        <f xml:space="preserve"> 3997.87591890595 / 86400</f>
        <v>4.6271712024374426E-2</v>
      </c>
      <c r="L28" s="2">
        <f xml:space="preserve"> 422.195544238736 / 86400</f>
        <v>4.8865225027631479E-3</v>
      </c>
    </row>
    <row r="29" spans="2:12" x14ac:dyDescent="0.25">
      <c r="B29" s="4" t="s">
        <v>43</v>
      </c>
      <c r="C29" s="9" t="s">
        <v>44</v>
      </c>
      <c r="D29" s="4">
        <v>16</v>
      </c>
      <c r="E29" s="22" t="s">
        <v>63</v>
      </c>
      <c r="F29" s="9" t="s">
        <v>46</v>
      </c>
      <c r="G29" s="4">
        <v>33</v>
      </c>
      <c r="H29" s="9"/>
      <c r="I29" s="2">
        <f xml:space="preserve"> 338.553926787601 / 86400</f>
        <v>3.9184482267083445E-3</v>
      </c>
      <c r="J29" s="2">
        <f xml:space="preserve"> 599.7320541021 / 86400</f>
        <v>6.941343218774306E-3</v>
      </c>
      <c r="K29" s="23">
        <f xml:space="preserve"> 465.138709250494 / 86400</f>
        <v>5.3835498755844214E-3</v>
      </c>
      <c r="L29" s="2">
        <f xml:space="preserve"> 57.4261828929672 / 86400</f>
        <v>6.6465489459452778E-4</v>
      </c>
    </row>
    <row r="30" spans="2:12" x14ac:dyDescent="0.25">
      <c r="B30" s="4" t="s">
        <v>43</v>
      </c>
      <c r="C30" s="9" t="s">
        <v>44</v>
      </c>
      <c r="D30" s="4">
        <v>17</v>
      </c>
      <c r="E30" s="22" t="s">
        <v>64</v>
      </c>
      <c r="F30" s="9" t="s">
        <v>46</v>
      </c>
      <c r="G30" s="4">
        <v>33</v>
      </c>
      <c r="H30" s="9"/>
      <c r="I30" s="2">
        <f xml:space="preserve"> 91.4171854925007 / 86400</f>
        <v>1.058069276533573E-3</v>
      </c>
      <c r="J30" s="2">
        <f xml:space="preserve"> 267.056566647698 / 86400</f>
        <v>3.0909324843483564E-3</v>
      </c>
      <c r="K30" s="23">
        <f xml:space="preserve"> 171.545003157015 / 86400</f>
        <v>1.9854745735765626E-3</v>
      </c>
      <c r="L30" s="2">
        <f xml:space="preserve"> 44.3627454241674 / 86400</f>
        <v>5.1345770166860412E-4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33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83</v>
      </c>
      <c r="F35" s="17" t="s">
        <v>73</v>
      </c>
      <c r="G35" s="15" t="s">
        <v>77</v>
      </c>
      <c r="H35" s="15" t="s">
        <v>78</v>
      </c>
      <c r="I35" s="28" t="s">
        <v>79</v>
      </c>
      <c r="J35" s="15"/>
      <c r="K35" s="15"/>
      <c r="L35" s="15"/>
    </row>
    <row r="36" spans="4:12" x14ac:dyDescent="0.25">
      <c r="D36" s="31"/>
      <c r="E36" t="s">
        <v>48</v>
      </c>
      <c r="F36" s="19">
        <f>(K14*86400)/60</f>
        <v>3.1841947010128835</v>
      </c>
      <c r="G36" s="4">
        <v>34</v>
      </c>
      <c r="H36" s="38">
        <f>G36/33</f>
        <v>1.0303030303030303</v>
      </c>
      <c r="I36" s="39">
        <f>F36*H36</f>
        <v>3.2806854495284252</v>
      </c>
      <c r="J36" s="15"/>
      <c r="K36" s="15"/>
      <c r="L36" s="15"/>
    </row>
    <row r="37" spans="4:12" x14ac:dyDescent="0.25">
      <c r="D37" s="31"/>
      <c r="E37" t="s">
        <v>49</v>
      </c>
      <c r="F37" s="19">
        <f>(K15*86400)/60</f>
        <v>0.24330194757191501</v>
      </c>
      <c r="G37" s="4">
        <v>33</v>
      </c>
      <c r="H37" s="38">
        <f>G37/33</f>
        <v>1</v>
      </c>
      <c r="I37" s="39">
        <f>F37*H37</f>
        <v>0.24330194757191501</v>
      </c>
      <c r="J37" s="15"/>
      <c r="K37" s="15"/>
      <c r="L37" s="15"/>
    </row>
    <row r="38" spans="4:12" x14ac:dyDescent="0.25">
      <c r="D38" s="31"/>
      <c r="E38" s="18" t="s">
        <v>50</v>
      </c>
      <c r="F38" s="20">
        <f>(K16*86400)/60</f>
        <v>0.56219478580810667</v>
      </c>
      <c r="G38" s="4">
        <v>33</v>
      </c>
      <c r="H38" s="38">
        <f>G38/33</f>
        <v>1</v>
      </c>
      <c r="I38" s="41">
        <f>F38*H38</f>
        <v>0.56219478580810667</v>
      </c>
      <c r="J38" s="28" t="s">
        <v>86</v>
      </c>
      <c r="K38" s="15"/>
      <c r="L38" s="15"/>
    </row>
    <row r="39" spans="4:12" x14ac:dyDescent="0.25">
      <c r="E39" s="16" t="s">
        <v>72</v>
      </c>
      <c r="F39" s="21">
        <f>SUM(F36:F38)</f>
        <v>3.9896914343929053</v>
      </c>
      <c r="G39" s="15"/>
      <c r="H39" s="38"/>
      <c r="I39" s="32">
        <f>SUM(I36:I38)</f>
        <v>4.0861821829084466</v>
      </c>
      <c r="J39" s="15"/>
      <c r="K39" s="15"/>
      <c r="L39" s="15"/>
    </row>
    <row r="40" spans="4:12" x14ac:dyDescent="0.25">
      <c r="F40" s="15"/>
      <c r="G40" s="15"/>
      <c r="H40" s="38"/>
      <c r="I40" s="39"/>
      <c r="J40" s="15"/>
      <c r="K40" s="15"/>
      <c r="L40" s="15"/>
    </row>
    <row r="41" spans="4:12" x14ac:dyDescent="0.25">
      <c r="F41" s="15"/>
      <c r="G41" s="15"/>
      <c r="H41" s="38"/>
      <c r="I41" s="39"/>
      <c r="J41" s="15"/>
      <c r="K41" s="15"/>
      <c r="L41" s="15"/>
    </row>
    <row r="42" spans="4:12" x14ac:dyDescent="0.25">
      <c r="E42" s="12" t="s">
        <v>84</v>
      </c>
      <c r="F42" s="17" t="s">
        <v>73</v>
      </c>
      <c r="G42" s="15"/>
      <c r="H42" s="38"/>
      <c r="I42" s="39"/>
      <c r="J42" s="15"/>
      <c r="K42" s="15"/>
      <c r="L42" s="15"/>
    </row>
    <row r="43" spans="4:12" x14ac:dyDescent="0.25">
      <c r="D43" s="30"/>
      <c r="E43" t="s">
        <v>51</v>
      </c>
      <c r="F43" s="19">
        <f t="shared" ref="F43:F49" si="0">(K17*86400)/60</f>
        <v>3.1564269540490502</v>
      </c>
      <c r="G43" s="4">
        <v>33</v>
      </c>
      <c r="H43" s="38">
        <f t="shared" ref="H43:H60" si="1">G43/33</f>
        <v>1</v>
      </c>
      <c r="I43" s="39">
        <f t="shared" ref="I43:I51" si="2">F43*H43</f>
        <v>3.1564269540490502</v>
      </c>
      <c r="J43" s="15"/>
      <c r="K43" s="15"/>
      <c r="L43" s="15"/>
    </row>
    <row r="44" spans="4:12" x14ac:dyDescent="0.25">
      <c r="D44" s="30"/>
      <c r="E44" t="s">
        <v>52</v>
      </c>
      <c r="F44" s="19">
        <f t="shared" si="0"/>
        <v>1.2158109220420334</v>
      </c>
      <c r="G44" s="4">
        <v>198</v>
      </c>
      <c r="H44" s="38">
        <f t="shared" si="1"/>
        <v>6</v>
      </c>
      <c r="I44" s="39">
        <f t="shared" si="2"/>
        <v>7.2948655322522011</v>
      </c>
      <c r="J44" s="15"/>
      <c r="K44" s="15"/>
      <c r="L44" s="15"/>
    </row>
    <row r="45" spans="4:12" x14ac:dyDescent="0.25">
      <c r="D45" s="30"/>
      <c r="E45" t="s">
        <v>53</v>
      </c>
      <c r="F45" s="19">
        <f t="shared" si="0"/>
        <v>0.82509815163567835</v>
      </c>
      <c r="G45" s="4">
        <v>198</v>
      </c>
      <c r="H45" s="38">
        <f t="shared" si="1"/>
        <v>6</v>
      </c>
      <c r="I45" s="39">
        <f t="shared" si="2"/>
        <v>4.9505889098140701</v>
      </c>
      <c r="J45" s="15"/>
      <c r="K45" s="15"/>
      <c r="L45" s="15"/>
    </row>
    <row r="46" spans="4:12" x14ac:dyDescent="0.25">
      <c r="D46" s="30"/>
      <c r="E46" t="s">
        <v>54</v>
      </c>
      <c r="F46" s="19">
        <f t="shared" si="0"/>
        <v>1.1675839616668433</v>
      </c>
      <c r="G46" s="4">
        <v>198</v>
      </c>
      <c r="H46" s="38">
        <f t="shared" si="1"/>
        <v>6</v>
      </c>
      <c r="I46" s="39">
        <f t="shared" si="2"/>
        <v>7.0055037700010594</v>
      </c>
      <c r="J46" s="15"/>
      <c r="K46" s="15"/>
      <c r="L46" s="15"/>
    </row>
    <row r="47" spans="4:12" x14ac:dyDescent="0.25">
      <c r="D47" s="30"/>
      <c r="E47" t="s">
        <v>55</v>
      </c>
      <c r="F47" s="19">
        <f t="shared" si="0"/>
        <v>23.137785403451169</v>
      </c>
      <c r="G47" s="4">
        <v>198</v>
      </c>
      <c r="H47" s="38">
        <f t="shared" si="1"/>
        <v>6</v>
      </c>
      <c r="I47" s="39">
        <f t="shared" si="2"/>
        <v>138.826712420707</v>
      </c>
      <c r="J47" s="15"/>
      <c r="K47" s="15"/>
      <c r="L47" s="15"/>
    </row>
    <row r="48" spans="4:12" x14ac:dyDescent="0.25">
      <c r="D48" s="30"/>
      <c r="E48" t="s">
        <v>56</v>
      </c>
      <c r="F48" s="19">
        <f t="shared" si="0"/>
        <v>24.3689436840695</v>
      </c>
      <c r="G48" s="4">
        <v>30</v>
      </c>
      <c r="H48" s="15">
        <f t="shared" si="1"/>
        <v>0.90909090909090906</v>
      </c>
      <c r="I48" s="39">
        <f t="shared" si="2"/>
        <v>22.153585167335908</v>
      </c>
      <c r="J48" s="15"/>
      <c r="K48" s="15"/>
      <c r="L48" s="15"/>
    </row>
    <row r="49" spans="4:12" x14ac:dyDescent="0.25">
      <c r="D49" s="30"/>
      <c r="E49" t="s">
        <v>57</v>
      </c>
      <c r="F49" s="19">
        <f t="shared" si="0"/>
        <v>17.313538857459832</v>
      </c>
      <c r="G49" s="4">
        <v>198</v>
      </c>
      <c r="H49" s="38">
        <f t="shared" si="1"/>
        <v>6</v>
      </c>
      <c r="I49" s="39">
        <f t="shared" si="2"/>
        <v>103.88123314475899</v>
      </c>
      <c r="J49" s="15"/>
      <c r="K49" s="15"/>
      <c r="L49" s="15"/>
    </row>
    <row r="50" spans="4:12" x14ac:dyDescent="0.25">
      <c r="D50" s="30"/>
      <c r="E50" t="s">
        <v>58</v>
      </c>
      <c r="F50" s="19">
        <f>(K24*86400)/60</f>
        <v>0.89353386739796159</v>
      </c>
      <c r="G50" s="4">
        <v>198</v>
      </c>
      <c r="H50" s="38">
        <f t="shared" si="1"/>
        <v>6</v>
      </c>
      <c r="I50" s="39">
        <f t="shared" si="2"/>
        <v>5.3612032043877695</v>
      </c>
      <c r="J50" s="15"/>
      <c r="K50" s="15"/>
      <c r="L50" s="15"/>
    </row>
    <row r="51" spans="4:12" x14ac:dyDescent="0.25">
      <c r="D51" s="30"/>
      <c r="E51" s="18" t="s">
        <v>59</v>
      </c>
      <c r="F51" s="20">
        <f>(K25*86400)/60</f>
        <v>8.6876595669255998</v>
      </c>
      <c r="G51" s="4">
        <v>198</v>
      </c>
      <c r="H51" s="38">
        <f t="shared" si="1"/>
        <v>6</v>
      </c>
      <c r="I51" s="40">
        <f t="shared" si="2"/>
        <v>52.125957401553599</v>
      </c>
      <c r="J51" s="15"/>
      <c r="K51" s="15"/>
      <c r="L51" s="15"/>
    </row>
    <row r="52" spans="4:12" x14ac:dyDescent="0.25">
      <c r="E52" s="16" t="s">
        <v>74</v>
      </c>
      <c r="F52" s="21">
        <f>SUM(F43:F51)</f>
        <v>80.766381368697679</v>
      </c>
      <c r="G52" s="15"/>
      <c r="H52" s="38"/>
      <c r="I52" s="32">
        <f>SUM(I43:I51)</f>
        <v>344.75607650485966</v>
      </c>
      <c r="J52" s="15"/>
      <c r="K52" s="15"/>
      <c r="L52" s="15"/>
    </row>
    <row r="53" spans="4:12" x14ac:dyDescent="0.25">
      <c r="F53" s="15"/>
      <c r="G53" s="15"/>
      <c r="H53" s="38"/>
      <c r="I53" s="39"/>
      <c r="J53" s="15"/>
      <c r="K53" s="15"/>
      <c r="L53" s="15"/>
    </row>
    <row r="54" spans="4:12" x14ac:dyDescent="0.25">
      <c r="F54" s="15"/>
      <c r="G54" s="15"/>
      <c r="H54" s="38"/>
      <c r="I54" s="39"/>
      <c r="J54" s="15"/>
      <c r="K54" s="15"/>
      <c r="L54" s="15"/>
    </row>
    <row r="55" spans="4:12" x14ac:dyDescent="0.25">
      <c r="E55" s="12" t="s">
        <v>75</v>
      </c>
      <c r="F55" s="17" t="s">
        <v>73</v>
      </c>
      <c r="G55" s="15"/>
      <c r="H55" s="38"/>
      <c r="I55" s="39"/>
      <c r="J55" s="15"/>
      <c r="K55" s="15"/>
      <c r="L55" s="15"/>
    </row>
    <row r="56" spans="4:12" x14ac:dyDescent="0.25">
      <c r="D56" s="29"/>
      <c r="E56" t="s">
        <v>60</v>
      </c>
      <c r="F56" s="19">
        <f>(K26*86400)/60</f>
        <v>9.5954614713699513</v>
      </c>
      <c r="G56" s="4">
        <v>33</v>
      </c>
      <c r="H56" s="38">
        <f t="shared" si="1"/>
        <v>1</v>
      </c>
      <c r="I56" s="39">
        <f>F56*H56</f>
        <v>9.5954614713699513</v>
      </c>
      <c r="J56" s="15"/>
      <c r="K56" s="15"/>
      <c r="L56" s="15"/>
    </row>
    <row r="57" spans="4:12" x14ac:dyDescent="0.25">
      <c r="D57" s="29"/>
      <c r="E57" t="s">
        <v>61</v>
      </c>
      <c r="F57" s="19">
        <f>(K27*86400)/60</f>
        <v>6.6196952409519678</v>
      </c>
      <c r="G57" s="4">
        <v>33</v>
      </c>
      <c r="H57" s="38">
        <f t="shared" si="1"/>
        <v>1</v>
      </c>
      <c r="I57" s="39">
        <f>F57*H57</f>
        <v>6.6196952409519678</v>
      </c>
      <c r="J57" s="15"/>
      <c r="K57" s="15"/>
      <c r="L57" s="15"/>
    </row>
    <row r="58" spans="4:12" x14ac:dyDescent="0.25">
      <c r="D58" s="29"/>
      <c r="E58" t="s">
        <v>62</v>
      </c>
      <c r="F58" s="19">
        <f>(K28*86400)/60</f>
        <v>66.631265315099171</v>
      </c>
      <c r="G58" s="4">
        <v>33</v>
      </c>
      <c r="H58" s="38">
        <f t="shared" si="1"/>
        <v>1</v>
      </c>
      <c r="I58" s="39">
        <f>F58*H58</f>
        <v>66.631265315099171</v>
      </c>
      <c r="J58" s="15"/>
      <c r="K58" s="15"/>
      <c r="L58" s="15"/>
    </row>
    <row r="59" spans="4:12" x14ac:dyDescent="0.25">
      <c r="D59" s="29"/>
      <c r="E59" t="s">
        <v>63</v>
      </c>
      <c r="F59" s="19">
        <f>(K29*86400)/60</f>
        <v>7.7523118208415669</v>
      </c>
      <c r="G59" s="4">
        <v>33</v>
      </c>
      <c r="H59" s="38">
        <f t="shared" si="1"/>
        <v>1</v>
      </c>
      <c r="I59" s="39">
        <f>F59*H59</f>
        <v>7.7523118208415669</v>
      </c>
      <c r="J59" s="15"/>
      <c r="K59" s="15"/>
      <c r="L59" s="15"/>
    </row>
    <row r="60" spans="4:12" x14ac:dyDescent="0.25">
      <c r="D60" s="29"/>
      <c r="E60" s="18" t="s">
        <v>64</v>
      </c>
      <c r="F60" s="20">
        <f>(K30*86400)/60</f>
        <v>2.85908338595025</v>
      </c>
      <c r="G60" s="4">
        <v>33</v>
      </c>
      <c r="H60" s="38">
        <f t="shared" si="1"/>
        <v>1</v>
      </c>
      <c r="I60" s="40">
        <f>F60*H60</f>
        <v>2.85908338595025</v>
      </c>
      <c r="J60" s="15"/>
      <c r="K60" s="15"/>
      <c r="L60" s="15"/>
    </row>
    <row r="61" spans="4:12" x14ac:dyDescent="0.25">
      <c r="E61" s="16" t="s">
        <v>74</v>
      </c>
      <c r="F61" s="21">
        <f>SUM(F56:F60)</f>
        <v>93.457817234212911</v>
      </c>
      <c r="G61" s="4"/>
      <c r="H61" s="15"/>
      <c r="I61" s="32">
        <f>SUM(I56:I60)</f>
        <v>93.457817234212911</v>
      </c>
      <c r="J61" s="15"/>
      <c r="K61" s="15"/>
      <c r="L61" s="15"/>
    </row>
    <row r="62" spans="4:12" x14ac:dyDescent="0.25">
      <c r="F62" s="15"/>
      <c r="G62" s="15"/>
      <c r="H62" s="15"/>
      <c r="I62" s="15"/>
      <c r="J62" s="15"/>
      <c r="K62" s="15"/>
      <c r="L62" s="15"/>
    </row>
    <row r="63" spans="4:12" x14ac:dyDescent="0.25">
      <c r="F63" s="15"/>
      <c r="G63" s="15"/>
      <c r="H63" s="15"/>
      <c r="I63" s="15"/>
      <c r="J63" s="15"/>
      <c r="K63" s="15"/>
      <c r="L63" s="15"/>
    </row>
    <row r="64" spans="4:12" x14ac:dyDescent="0.25">
      <c r="D64" s="37"/>
      <c r="E64" s="16" t="s">
        <v>82</v>
      </c>
      <c r="F64" s="32">
        <f>I52+SUM(I56:I59)</f>
        <v>435.35481035312233</v>
      </c>
      <c r="H64" s="36" t="s">
        <v>80</v>
      </c>
      <c r="I64" s="36">
        <f>I39+I52+I61</f>
        <v>442.30007592198103</v>
      </c>
    </row>
    <row r="65" spans="4:6" x14ac:dyDescent="0.25">
      <c r="F65" s="15"/>
    </row>
    <row r="66" spans="4:6" x14ac:dyDescent="0.25">
      <c r="D66" s="42"/>
      <c r="E66" s="16" t="s">
        <v>85</v>
      </c>
      <c r="F66" s="32">
        <f>I52+I61</f>
        <v>438.21389373907255</v>
      </c>
    </row>
    <row r="67" spans="4:6" x14ac:dyDescent="0.25">
      <c r="F67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2025-05-10T04:12:08Z</dcterms:created>
  <dcterms:modified xsi:type="dcterms:W3CDTF">2025-06-03T04:49:10Z</dcterms:modified>
</cp:coreProperties>
</file>