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C7F9D683-2B90-46EB-9ABE-3C674F286982}" xr6:coauthVersionLast="47" xr6:coauthVersionMax="47" xr10:uidLastSave="{00000000-0000-0000-0000-000000000000}"/>
  <bookViews>
    <workbookView xWindow="-120" yWindow="-120" windowWidth="51840" windowHeight="21120" activeTab="2" xr2:uid="{A5F98759-8353-4013-B109-D234E71F54B1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I64" i="3"/>
  <c r="H38" i="3"/>
  <c r="H43" i="3"/>
  <c r="H44" i="3"/>
  <c r="H45" i="3"/>
  <c r="H46" i="3"/>
  <c r="H47" i="3"/>
  <c r="H48" i="3"/>
  <c r="I48" i="3" s="1"/>
  <c r="H49" i="3"/>
  <c r="I49" i="3" s="1"/>
  <c r="H50" i="3"/>
  <c r="I50" i="3" s="1"/>
  <c r="H51" i="3"/>
  <c r="I51" i="3" s="1"/>
  <c r="H56" i="3"/>
  <c r="H57" i="3"/>
  <c r="H58" i="3"/>
  <c r="H59" i="3"/>
  <c r="H60" i="3"/>
  <c r="I60" i="3" s="1"/>
  <c r="H37" i="3"/>
  <c r="I37" i="3" s="1"/>
  <c r="H36" i="3"/>
  <c r="I59" i="3"/>
  <c r="I58" i="3"/>
  <c r="I57" i="3"/>
  <c r="I56" i="3"/>
  <c r="I47" i="3"/>
  <c r="I46" i="3"/>
  <c r="I45" i="3"/>
  <c r="I44" i="3"/>
  <c r="I43" i="3"/>
  <c r="I38" i="3"/>
  <c r="I36" i="3"/>
  <c r="D16" i="1"/>
  <c r="F48" i="3"/>
  <c r="F47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J22" i="3"/>
  <c r="I22" i="3"/>
  <c r="L21" i="3"/>
  <c r="K21" i="3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39" i="3" l="1"/>
  <c r="I52" i="3"/>
  <c r="I61" i="3"/>
  <c r="F39" i="3"/>
  <c r="F61" i="3"/>
  <c r="F52" i="3"/>
</calcChain>
</file>

<file path=xl/sharedStrings.xml><?xml version="1.0" encoding="utf-8"?>
<sst xmlns="http://schemas.openxmlformats.org/spreadsheetml/2006/main" count="306" uniqueCount="85">
  <si>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</si>
  <si>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</si>
  <si>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</si>
  <si>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</si>
  <si>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</si>
  <si>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</si>
  <si>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</si>
  <si>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</si>
  <si>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</si>
  <si>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</si>
  <si>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</si>
  <si>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</si>
  <si>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</si>
  <si>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</si>
  <si>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</si>
  <si>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</si>
  <si>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</si>
  <si>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</si>
  <si>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</si>
  <si>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</si>
  <si>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</si>
  <si>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</si>
  <si>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</si>
  <si>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</si>
  <si>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</si>
  <si>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</si>
  <si>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</si>
  <si>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</si>
  <si>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</si>
  <si>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</si>
  <si>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</si>
  <si>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</si>
  <si>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</si>
  <si>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</si>
  <si>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</si>
  <si>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</si>
  <si>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</si>
  <si>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</si>
  <si>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</si>
  <si>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</si>
  <si>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</si>
  <si>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</si>
  <si>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</si>
  <si>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</si>
  <si>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</si>
  <si>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</si>
  <si>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</si>
  <si>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</si>
  <si>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</si>
  <si>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</si>
  <si>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</si>
  <si>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</si>
  <si>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</si>
  <si>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</si>
  <si>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</si>
  <si>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</si>
  <si>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</si>
  <si>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</si>
  <si>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</si>
  <si>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</si>
  <si>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</si>
  <si>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</si>
  <si>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</si>
  <si>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</si>
  <si>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</si>
  <si>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</si>
  <si>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</si>
  <si>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</si>
  <si>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</si>
  <si>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</si>
  <si>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20</t>
  </si>
  <si>
    <t>Satellite Contact Window Requirement</t>
  </si>
  <si>
    <t>Mean (Minutes)</t>
  </si>
  <si>
    <t>Image Processing and Analysis</t>
  </si>
  <si>
    <t>Group 3 - Task Name</t>
  </si>
  <si>
    <t>(minutes)</t>
  </si>
  <si>
    <t>*1 failed login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</si>
  <si>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</si>
  <si>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</si>
  <si>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</si>
  <si>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</si>
  <si>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</si>
  <si>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</si>
  <si>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>Analytical Tasks Requiring Accuracy - Mean (Minutes)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</si>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</sst>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7" fontId="0" fillId="0" borderId="0" xfId="0" applyNumberFormat="1"/>
    <xf numFmtId="167" fontId="1" fillId="0" borderId="0" xfId="0" applyNumberFormat="1" applyFont="1"/>
    <xf numFmtId="49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7" fontId="1" fillId="5" borderId="0" xfId="0" applyNumberFormat="1" applyFont="1" applyFill="1"/>
    <xf numFmtId="0" fontId="1" fillId="5" borderId="0" xfId="0" applyFont="1" applyFill="1"/>
    <xf numFmtId="2" fontId="1" fillId="0" borderId="0" xfId="0" applyNumberFormat="1" applyFont="1"/>
    <xf numFmtId="1" fontId="0" fillId="0" borderId="0" xfId="0" applyNumberFormat="1"/>
    <xf numFmtId="167" fontId="0" fillId="0" borderId="1" xfId="0" applyNumberFormat="1" applyBorder="1"/>
    <xf numFmtId="2" fontId="1" fillId="5" borderId="0" xfId="0" applyNumberFormat="1" applyFont="1" applyFill="1"/>
    <xf numFmtId="0" fontId="0" fillId="6" borderId="0" xfId="0" applyFill="1"/>
    <xf numFmtId="167" fontId="0" fillId="5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A901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2A28F-B878-D05E-21FC-60D01C5F5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9CEC1B-02F0-C30A-5711-E2ADB1FCAF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ECBDA9-1FF4-4651-9369-254F5CB2AF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62DE-76C3-4E69-A229-ED925899AE28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6.8554687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67231</v>
      </c>
    </row>
    <row r="10" spans="1:5" x14ac:dyDescent="0.25">
      <c r="A10" s="5" t="s">
        <v>21</v>
      </c>
      <c r="B10" s="8">
        <v>49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20048.6763659672 / 86400</f>
        <v>0.2320448653468426</v>
      </c>
    </row>
    <row r="15" spans="1:5" x14ac:dyDescent="0.25">
      <c r="B15" s="1" t="s">
        <v>2</v>
      </c>
      <c r="C15" s="2">
        <f xml:space="preserve"> 38525.3177275649 / 86400</f>
        <v>0.44589488110607522</v>
      </c>
    </row>
    <row r="16" spans="1:5" x14ac:dyDescent="0.25">
      <c r="B16" s="33" t="s">
        <v>3</v>
      </c>
      <c r="C16" s="34">
        <f xml:space="preserve"> 30760.553570541 / 86400</f>
        <v>0.35602492558496529</v>
      </c>
      <c r="D16" s="35">
        <f>(C16*86400)/60</f>
        <v>512.67589284234998</v>
      </c>
      <c r="E16" s="36" t="s">
        <v>75</v>
      </c>
    </row>
    <row r="17" spans="2:3" x14ac:dyDescent="0.25">
      <c r="B17" s="1" t="s">
        <v>4</v>
      </c>
      <c r="C17" s="2">
        <f xml:space="preserve"> 3955.83166745614 / 86400</f>
        <v>4.5785088743705328E-2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3722-12CC-4C5C-AA87-42EDAE0A4023}">
  <dimension ref="A1:X42"/>
  <sheetViews>
    <sheetView workbookViewId="0">
      <selection activeCell="E39" sqref="E39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3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67231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49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50</v>
      </c>
      <c r="H14" s="9"/>
      <c r="I14" s="2">
        <f xml:space="preserve"> 68.1003271667754 / 86400</f>
        <v>7.8819823109693753E-4</v>
      </c>
      <c r="J14" s="2">
        <f xml:space="preserve"> 316.401758739446 / 86400</f>
        <v>3.6620573928176619E-3</v>
      </c>
      <c r="K14" s="2">
        <f xml:space="preserve"> 192.586540851484 / 86400</f>
        <v>2.2290108894847684E-3</v>
      </c>
      <c r="L14" s="2">
        <f xml:space="preserve"> 49.8647545026658 / 86400</f>
        <v>5.7713836229937262E-4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98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49</v>
      </c>
      <c r="H15" s="9"/>
      <c r="I15" s="2">
        <f xml:space="preserve"> 7.348063089581 / 86400</f>
        <v>8.50470264997801E-5</v>
      </c>
      <c r="J15" s="2">
        <f xml:space="preserve"> 24.141678740336 / 86400</f>
        <v>2.7941757801314815E-4</v>
      </c>
      <c r="K15" s="2">
        <f xml:space="preserve"> 15.0462900174864 / 86400</f>
        <v>1.7414687520238891E-4</v>
      </c>
      <c r="L15" s="2">
        <f xml:space="preserve"> 4.54148525817011 / 86400</f>
        <v>5.2563486784376274E-5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49</v>
      </c>
      <c r="H16" s="9"/>
      <c r="I16" s="2">
        <f xml:space="preserve"> 16.405959768487 / 86400</f>
        <v>1.8988379361674769E-4</v>
      </c>
      <c r="J16" s="2">
        <f xml:space="preserve"> 42.079436804425 / 86400</f>
        <v>4.8703051856973382E-4</v>
      </c>
      <c r="K16" s="2">
        <f xml:space="preserve"> 28.9950853020665 / 86400</f>
        <v>3.3559126507021409E-4</v>
      </c>
      <c r="L16" s="2">
        <f xml:space="preserve"> 7.47112454434667 / 86400</f>
        <v>8.647134889290127E-5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49</v>
      </c>
      <c r="H17" s="9"/>
      <c r="I17" s="2">
        <f xml:space="preserve"> 75.280693233829 / 86400</f>
        <v>8.7130431983598381E-4</v>
      </c>
      <c r="J17" s="2">
        <f xml:space="preserve"> 388.983204281638 / 86400</f>
        <v>4.5021204199263655E-3</v>
      </c>
      <c r="K17" s="2">
        <f xml:space="preserve"> 184.039275178052 / 86400</f>
        <v>2.1300842034496759E-3</v>
      </c>
      <c r="L17" s="2">
        <f xml:space="preserve"> 71.4907318160598 / 86400</f>
        <v>8.2743902564884038E-4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196</v>
      </c>
      <c r="H18" s="9"/>
      <c r="I18" s="2">
        <f xml:space="preserve"> 7.6536696350995 / 86400</f>
        <v>8.8584139295133104E-5</v>
      </c>
      <c r="J18" s="2">
        <f xml:space="preserve"> 118.680827083899 / 86400</f>
        <v>1.3736206838414237E-3</v>
      </c>
      <c r="K18" s="2">
        <f xml:space="preserve"> 72.5182167237854 / 86400</f>
        <v>8.3933121208084954E-4</v>
      </c>
      <c r="L18" s="2">
        <f xml:space="preserve"> 19.3681931032132 / 86400</f>
        <v>2.2416890165756021E-4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196</v>
      </c>
      <c r="H19" s="9"/>
      <c r="I19" s="2">
        <f xml:space="preserve"> 22.746633939327 / 86400</f>
        <v>2.6327122614961806E-4</v>
      </c>
      <c r="J19" s="2">
        <f xml:space="preserve"> 76.16493689975 / 86400</f>
        <v>8.8153862152488425E-4</v>
      </c>
      <c r="K19" s="2">
        <f xml:space="preserve"> 48.7244312577058 / 86400</f>
        <v>5.6394017659381712E-4</v>
      </c>
      <c r="L19" s="2">
        <f xml:space="preserve"> 8.53222390217361 / 86400</f>
        <v>9.8752591460342718E-5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196</v>
      </c>
      <c r="H20" s="9"/>
      <c r="I20" s="2">
        <f xml:space="preserve"> 45.3025035095881 / 86400</f>
        <v>5.2433453136097334E-4</v>
      </c>
      <c r="J20" s="2">
        <f xml:space="preserve"> 97.8389215631996 / 86400</f>
        <v>1.1323949254999953E-3</v>
      </c>
      <c r="K20" s="2">
        <f xml:space="preserve"> 69.7773205009415 / 86400</f>
        <v>8.0760787616830437E-4</v>
      </c>
      <c r="L20" s="2">
        <f xml:space="preserve"> 10.0559122362168 / 86400</f>
        <v>1.1638787310436112E-4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196</v>
      </c>
      <c r="H21" s="9"/>
      <c r="I21" s="2">
        <f xml:space="preserve"> 517.0039114583 / 86400</f>
        <v>5.9838415678043974E-3</v>
      </c>
      <c r="J21" s="2">
        <f xml:space="preserve"> 8471.0260695406 / 86400</f>
        <v>9.8044283212275457E-2</v>
      </c>
      <c r="K21" s="2">
        <f xml:space="preserve"> 4117.86735335299 / 86400</f>
        <v>4.7660501774918866E-2</v>
      </c>
      <c r="L21" s="2">
        <f xml:space="preserve"> 1769.1446189222 / 86400</f>
        <v>2.0476210867155092E-2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36</v>
      </c>
      <c r="H22" s="9"/>
      <c r="I22" s="2">
        <f xml:space="preserve"> 829.932659878799 / 86400</f>
        <v>9.6057020819305429E-3</v>
      </c>
      <c r="J22" s="2">
        <f xml:space="preserve"> 2381.9529916678 / 86400</f>
        <v>2.756890036652546E-2</v>
      </c>
      <c r="K22" s="2">
        <f xml:space="preserve"> 1522.59894955728 / 86400</f>
        <v>1.7622673027283334E-2</v>
      </c>
      <c r="L22" s="2">
        <f xml:space="preserve"> 436.248960222533 / 86400</f>
        <v>5.0491777803533915E-3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196</v>
      </c>
      <c r="H23" s="9"/>
      <c r="I23" s="2">
        <f xml:space="preserve"> 624.142766132601 / 86400</f>
        <v>7.2238746080162146E-3</v>
      </c>
      <c r="J23" s="2">
        <f xml:space="preserve"> 1596.7892478507 / 86400</f>
        <v>1.8481357035309027E-2</v>
      </c>
      <c r="K23" s="2">
        <f xml:space="preserve"> 1007.23373256618 / 86400</f>
        <v>1.1657797830627084E-2</v>
      </c>
      <c r="L23" s="2">
        <f xml:space="preserve"> 216.489842123894 / 86400</f>
        <v>2.505669469026551E-3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196</v>
      </c>
      <c r="H24" s="9"/>
      <c r="I24" s="2">
        <f xml:space="preserve"> 8.04194813317008 / 86400</f>
        <v>9.307810339317223E-5</v>
      </c>
      <c r="J24" s="2">
        <f xml:space="preserve"> 66.2359230736001 / 86400</f>
        <v>7.6661948001851968E-4</v>
      </c>
      <c r="K24" s="2">
        <f xml:space="preserve"> 41.8146618204352 / 86400</f>
        <v>4.8396599329207407E-4</v>
      </c>
      <c r="L24" s="2">
        <f xml:space="preserve"> 17.4306679592363 / 86400</f>
        <v>2.017438421207905E-4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196</v>
      </c>
      <c r="H25" s="9"/>
      <c r="I25" s="2">
        <f xml:space="preserve"> 102.509517298 / 86400</f>
        <v>1.1864527465046298E-3</v>
      </c>
      <c r="J25" s="2">
        <f xml:space="preserve"> 1269.13368850948 / 86400</f>
        <v>1.4689047320711574E-2</v>
      </c>
      <c r="K25" s="2">
        <f xml:space="preserve"> 527.907796781853 / 86400</f>
        <v>6.1100439442344093E-3</v>
      </c>
      <c r="L25" s="2">
        <f xml:space="preserve"> 230.512845667576 / 86400</f>
        <v>2.6679727507821294E-3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49</v>
      </c>
      <c r="H26" s="9"/>
      <c r="I26" s="2">
        <f xml:space="preserve"> 358.385807258703 / 86400</f>
        <v>4.1479838803090627E-3</v>
      </c>
      <c r="J26" s="2">
        <f xml:space="preserve"> 794.6673976936 / 86400</f>
        <v>9.1975393251574073E-3</v>
      </c>
      <c r="K26" s="2">
        <f xml:space="preserve"> 556.476992487018 / 86400</f>
        <v>6.4407059315627086E-3</v>
      </c>
      <c r="L26" s="2">
        <f xml:space="preserve"> 101.047809350582 / 86400</f>
        <v>1.169534830446551E-3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49</v>
      </c>
      <c r="H27" s="9"/>
      <c r="I27" s="2">
        <f xml:space="preserve"> 276.302121356701 / 86400</f>
        <v>3.1979412194062615E-3</v>
      </c>
      <c r="J27" s="2">
        <f xml:space="preserve"> 550.613110333499 / 86400</f>
        <v>6.3728369251562379E-3</v>
      </c>
      <c r="K27" s="2">
        <f xml:space="preserve"> 407.8637840767 / 86400</f>
        <v>4.7206456490358796E-3</v>
      </c>
      <c r="L27" s="2">
        <f xml:space="preserve"> 73.0962075156958 / 86400</f>
        <v>8.4602092032055323E-4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49</v>
      </c>
      <c r="H28" s="9"/>
      <c r="I28" s="2">
        <f xml:space="preserve"> 3076.5499452588 / 86400</f>
        <v>3.5608216959013887E-2</v>
      </c>
      <c r="J28" s="2">
        <f xml:space="preserve"> 4922.4685230583 / 86400</f>
        <v>5.6973015313174766E-2</v>
      </c>
      <c r="K28" s="2">
        <f xml:space="preserve"> 4057.39887580236 / 86400</f>
        <v>4.696063513660139E-2</v>
      </c>
      <c r="L28" s="2">
        <f xml:space="preserve"> 425.85531333453 / 86400</f>
        <v>4.9288809413718755E-3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49</v>
      </c>
      <c r="H29" s="9"/>
      <c r="I29" s="2">
        <f xml:space="preserve"> 331.912138649201 / 86400</f>
        <v>3.8415756788101967E-3</v>
      </c>
      <c r="J29" s="2">
        <f xml:space="preserve"> 559.965760329698 / 86400</f>
        <v>6.4810851890011343E-3</v>
      </c>
      <c r="K29" s="2">
        <f xml:space="preserve"> 462.440649908984 / 86400</f>
        <v>5.3523223369095372E-3</v>
      </c>
      <c r="L29" s="2">
        <f xml:space="preserve"> 46.4579656259413 / 86400</f>
        <v>5.3770793548543175E-4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49</v>
      </c>
      <c r="H30" s="9"/>
      <c r="I30" s="2">
        <f xml:space="preserve"> 86.0389850969004 / 86400</f>
        <v>9.9582158676968062E-4</v>
      </c>
      <c r="J30" s="2">
        <f xml:space="preserve"> 256.048077920503 / 86400</f>
        <v>2.9635194203761917E-3</v>
      </c>
      <c r="K30" s="2">
        <f xml:space="preserve"> 189.757561127504 / 86400</f>
        <v>2.1962680686053704E-3</v>
      </c>
      <c r="L30" s="2">
        <f xml:space="preserve"> 37.5466577026914 / 86400</f>
        <v>4.3456779748485416E-4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49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3085-D829-40F0-97AC-E89AFE7F941B}">
  <dimension ref="A1:L70"/>
  <sheetViews>
    <sheetView tabSelected="1" topLeftCell="A21" workbookViewId="0">
      <selection activeCell="N45" sqref="N45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.28515625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67231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49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1" t="s">
        <v>48</v>
      </c>
      <c r="F14" s="9" t="s">
        <v>46</v>
      </c>
      <c r="G14" s="4">
        <v>50</v>
      </c>
      <c r="H14" s="9" t="s">
        <v>76</v>
      </c>
      <c r="I14" s="2">
        <f xml:space="preserve"> 68.1003271667754 / 86400</f>
        <v>7.8819823109693753E-4</v>
      </c>
      <c r="J14" s="2">
        <f xml:space="preserve"> 316.401758739446 / 86400</f>
        <v>3.6620573928176619E-3</v>
      </c>
      <c r="K14" s="22">
        <f xml:space="preserve"> 192.586540851484 / 86400</f>
        <v>2.2290108894847684E-3</v>
      </c>
      <c r="L14" s="2">
        <f xml:space="preserve"> 49.8647545026658 / 86400</f>
        <v>5.7713836229937262E-4</v>
      </c>
    </row>
    <row r="15" spans="1:12" x14ac:dyDescent="0.25">
      <c r="B15" s="4" t="s">
        <v>43</v>
      </c>
      <c r="C15" s="9" t="s">
        <v>44</v>
      </c>
      <c r="D15" s="4">
        <v>2</v>
      </c>
      <c r="E15" s="21" t="s">
        <v>49</v>
      </c>
      <c r="F15" s="9" t="s">
        <v>46</v>
      </c>
      <c r="G15" s="4">
        <v>49</v>
      </c>
      <c r="H15" s="9"/>
      <c r="I15" s="2">
        <f xml:space="preserve"> 7.348063089581 / 86400</f>
        <v>8.50470264997801E-5</v>
      </c>
      <c r="J15" s="2">
        <f xml:space="preserve"> 24.141678740336 / 86400</f>
        <v>2.7941757801314815E-4</v>
      </c>
      <c r="K15" s="22">
        <f xml:space="preserve"> 15.0462900174864 / 86400</f>
        <v>1.7414687520238891E-4</v>
      </c>
      <c r="L15" s="2">
        <f xml:space="preserve"> 4.54148525817011 / 86400</f>
        <v>5.2563486784376274E-5</v>
      </c>
    </row>
    <row r="16" spans="1:12" x14ac:dyDescent="0.25">
      <c r="B16" s="4" t="s">
        <v>43</v>
      </c>
      <c r="C16" s="9" t="s">
        <v>44</v>
      </c>
      <c r="D16" s="4">
        <v>3</v>
      </c>
      <c r="E16" s="21" t="s">
        <v>50</v>
      </c>
      <c r="F16" s="9" t="s">
        <v>46</v>
      </c>
      <c r="G16" s="4">
        <v>49</v>
      </c>
      <c r="H16" s="9"/>
      <c r="I16" s="2">
        <f xml:space="preserve"> 16.405959768487 / 86400</f>
        <v>1.8988379361674769E-4</v>
      </c>
      <c r="J16" s="2">
        <f xml:space="preserve"> 42.079436804425 / 86400</f>
        <v>4.8703051856973382E-4</v>
      </c>
      <c r="K16" s="22">
        <f xml:space="preserve"> 28.9950853020665 / 86400</f>
        <v>3.3559126507021409E-4</v>
      </c>
      <c r="L16" s="2">
        <f xml:space="preserve"> 7.47112454434667 / 86400</f>
        <v>8.647134889290127E-5</v>
      </c>
    </row>
    <row r="17" spans="2:12" x14ac:dyDescent="0.25">
      <c r="B17" s="4" t="s">
        <v>43</v>
      </c>
      <c r="C17" s="9" t="s">
        <v>44</v>
      </c>
      <c r="D17" s="4">
        <v>4</v>
      </c>
      <c r="E17" s="23" t="s">
        <v>51</v>
      </c>
      <c r="F17" s="9" t="s">
        <v>46</v>
      </c>
      <c r="G17" s="4">
        <v>49</v>
      </c>
      <c r="H17" s="9"/>
      <c r="I17" s="2">
        <f xml:space="preserve"> 75.280693233829 / 86400</f>
        <v>8.7130431983598381E-4</v>
      </c>
      <c r="J17" s="2">
        <f xml:space="preserve"> 388.983204281638 / 86400</f>
        <v>4.5021204199263655E-3</v>
      </c>
      <c r="K17" s="24">
        <f xml:space="preserve"> 184.039275178052 / 86400</f>
        <v>2.1300842034496759E-3</v>
      </c>
      <c r="L17" s="2">
        <f xml:space="preserve"> 71.4907318160598 / 86400</f>
        <v>8.2743902564884038E-4</v>
      </c>
    </row>
    <row r="18" spans="2:12" x14ac:dyDescent="0.25">
      <c r="B18" s="4" t="s">
        <v>43</v>
      </c>
      <c r="C18" s="9" t="s">
        <v>44</v>
      </c>
      <c r="D18" s="4">
        <v>5</v>
      </c>
      <c r="E18" s="23" t="s">
        <v>52</v>
      </c>
      <c r="F18" s="9" t="s">
        <v>46</v>
      </c>
      <c r="G18" s="4">
        <v>196</v>
      </c>
      <c r="H18" s="9"/>
      <c r="I18" s="2">
        <f xml:space="preserve"> 7.6536696350995 / 86400</f>
        <v>8.8584139295133104E-5</v>
      </c>
      <c r="J18" s="2">
        <f xml:space="preserve"> 118.680827083899 / 86400</f>
        <v>1.3736206838414237E-3</v>
      </c>
      <c r="K18" s="24">
        <f xml:space="preserve"> 72.5182167237854 / 86400</f>
        <v>8.3933121208084954E-4</v>
      </c>
      <c r="L18" s="2">
        <f xml:space="preserve"> 19.3681931032132 / 86400</f>
        <v>2.2416890165756021E-4</v>
      </c>
    </row>
    <row r="19" spans="2:12" x14ac:dyDescent="0.25">
      <c r="B19" s="4" t="s">
        <v>43</v>
      </c>
      <c r="C19" s="9" t="s">
        <v>44</v>
      </c>
      <c r="D19" s="4">
        <v>6</v>
      </c>
      <c r="E19" s="23" t="s">
        <v>53</v>
      </c>
      <c r="F19" s="9" t="s">
        <v>46</v>
      </c>
      <c r="G19" s="4">
        <v>196</v>
      </c>
      <c r="H19" s="9"/>
      <c r="I19" s="2">
        <f xml:space="preserve"> 22.746633939327 / 86400</f>
        <v>2.6327122614961806E-4</v>
      </c>
      <c r="J19" s="2">
        <f xml:space="preserve"> 76.16493689975 / 86400</f>
        <v>8.8153862152488425E-4</v>
      </c>
      <c r="K19" s="24">
        <f xml:space="preserve"> 48.7244312577058 / 86400</f>
        <v>5.6394017659381712E-4</v>
      </c>
      <c r="L19" s="2">
        <f xml:space="preserve"> 8.53222390217361 / 86400</f>
        <v>9.8752591460342718E-5</v>
      </c>
    </row>
    <row r="20" spans="2:12" x14ac:dyDescent="0.25">
      <c r="B20" s="4" t="s">
        <v>43</v>
      </c>
      <c r="C20" s="9" t="s">
        <v>44</v>
      </c>
      <c r="D20" s="4">
        <v>7</v>
      </c>
      <c r="E20" s="23" t="s">
        <v>54</v>
      </c>
      <c r="F20" s="9" t="s">
        <v>46</v>
      </c>
      <c r="G20" s="4">
        <v>196</v>
      </c>
      <c r="H20" s="9"/>
      <c r="I20" s="2">
        <f xml:space="preserve"> 45.3025035095881 / 86400</f>
        <v>5.2433453136097334E-4</v>
      </c>
      <c r="J20" s="2">
        <f xml:space="preserve"> 97.8389215631996 / 86400</f>
        <v>1.1323949254999953E-3</v>
      </c>
      <c r="K20" s="24">
        <f xml:space="preserve"> 69.7773205009415 / 86400</f>
        <v>8.0760787616830437E-4</v>
      </c>
      <c r="L20" s="2">
        <f xml:space="preserve"> 10.0559122362168 / 86400</f>
        <v>1.1638787310436112E-4</v>
      </c>
    </row>
    <row r="21" spans="2:12" x14ac:dyDescent="0.25">
      <c r="B21" s="4" t="s">
        <v>43</v>
      </c>
      <c r="C21" s="9" t="s">
        <v>44</v>
      </c>
      <c r="D21" s="4">
        <v>8</v>
      </c>
      <c r="E21" s="23" t="s">
        <v>55</v>
      </c>
      <c r="F21" s="9" t="s">
        <v>46</v>
      </c>
      <c r="G21" s="4">
        <v>196</v>
      </c>
      <c r="H21" s="9"/>
      <c r="I21" s="2">
        <f xml:space="preserve"> 517.0039114583 / 86400</f>
        <v>5.9838415678043974E-3</v>
      </c>
      <c r="J21" s="2">
        <f xml:space="preserve"> 8471.0260695406 / 86400</f>
        <v>9.8044283212275457E-2</v>
      </c>
      <c r="K21" s="24">
        <f xml:space="preserve"> 4117.86735335299 / 86400</f>
        <v>4.7660501774918866E-2</v>
      </c>
      <c r="L21" s="2">
        <f xml:space="preserve"> 1769.1446189222 / 86400</f>
        <v>2.0476210867155092E-2</v>
      </c>
    </row>
    <row r="22" spans="2:12" x14ac:dyDescent="0.25">
      <c r="B22" s="4" t="s">
        <v>43</v>
      </c>
      <c r="C22" s="9" t="s">
        <v>44</v>
      </c>
      <c r="D22" s="4">
        <v>9</v>
      </c>
      <c r="E22" s="23" t="s">
        <v>56</v>
      </c>
      <c r="F22" s="9" t="s">
        <v>46</v>
      </c>
      <c r="G22" s="4">
        <v>36</v>
      </c>
      <c r="H22" s="9"/>
      <c r="I22" s="2">
        <f xml:space="preserve"> 829.932659878799 / 86400</f>
        <v>9.6057020819305429E-3</v>
      </c>
      <c r="J22" s="2">
        <f xml:space="preserve"> 2381.9529916678 / 86400</f>
        <v>2.756890036652546E-2</v>
      </c>
      <c r="K22" s="24">
        <f xml:space="preserve"> 1522.59894955728 / 86400</f>
        <v>1.7622673027283334E-2</v>
      </c>
      <c r="L22" s="2">
        <f xml:space="preserve"> 436.248960222533 / 86400</f>
        <v>5.0491777803533915E-3</v>
      </c>
    </row>
    <row r="23" spans="2:12" x14ac:dyDescent="0.25">
      <c r="B23" s="4" t="s">
        <v>43</v>
      </c>
      <c r="C23" s="9" t="s">
        <v>44</v>
      </c>
      <c r="D23" s="4">
        <v>10</v>
      </c>
      <c r="E23" s="23" t="s">
        <v>57</v>
      </c>
      <c r="F23" s="9" t="s">
        <v>46</v>
      </c>
      <c r="G23" s="4">
        <v>196</v>
      </c>
      <c r="H23" s="9"/>
      <c r="I23" s="2">
        <f xml:space="preserve"> 624.142766132601 / 86400</f>
        <v>7.2238746080162146E-3</v>
      </c>
      <c r="J23" s="2">
        <f xml:space="preserve"> 1596.7892478507 / 86400</f>
        <v>1.8481357035309027E-2</v>
      </c>
      <c r="K23" s="24">
        <f xml:space="preserve"> 1007.23373256618 / 86400</f>
        <v>1.1657797830627084E-2</v>
      </c>
      <c r="L23" s="2">
        <f xml:space="preserve"> 216.489842123894 / 86400</f>
        <v>2.505669469026551E-3</v>
      </c>
    </row>
    <row r="24" spans="2:12" x14ac:dyDescent="0.25">
      <c r="B24" s="4" t="s">
        <v>43</v>
      </c>
      <c r="C24" s="9" t="s">
        <v>44</v>
      </c>
      <c r="D24" s="4">
        <v>11</v>
      </c>
      <c r="E24" s="23" t="s">
        <v>58</v>
      </c>
      <c r="F24" s="9" t="s">
        <v>46</v>
      </c>
      <c r="G24" s="4">
        <v>196</v>
      </c>
      <c r="H24" s="9"/>
      <c r="I24" s="2">
        <f xml:space="preserve"> 8.04194813317008 / 86400</f>
        <v>9.307810339317223E-5</v>
      </c>
      <c r="J24" s="2">
        <f xml:space="preserve"> 66.2359230736001 / 86400</f>
        <v>7.6661948001851968E-4</v>
      </c>
      <c r="K24" s="24">
        <f xml:space="preserve"> 41.8146618204352 / 86400</f>
        <v>4.8396599329207407E-4</v>
      </c>
      <c r="L24" s="2">
        <f xml:space="preserve"> 17.4306679592363 / 86400</f>
        <v>2.017438421207905E-4</v>
      </c>
    </row>
    <row r="25" spans="2:12" x14ac:dyDescent="0.25">
      <c r="B25" s="4" t="s">
        <v>43</v>
      </c>
      <c r="C25" s="9" t="s">
        <v>44</v>
      </c>
      <c r="D25" s="4">
        <v>12</v>
      </c>
      <c r="E25" s="23" t="s">
        <v>59</v>
      </c>
      <c r="F25" s="9" t="s">
        <v>46</v>
      </c>
      <c r="G25" s="4">
        <v>196</v>
      </c>
      <c r="H25" s="9"/>
      <c r="I25" s="2">
        <f xml:space="preserve"> 102.509517298 / 86400</f>
        <v>1.1864527465046298E-3</v>
      </c>
      <c r="J25" s="2">
        <f xml:space="preserve"> 1269.13368850948 / 86400</f>
        <v>1.4689047320711574E-2</v>
      </c>
      <c r="K25" s="24">
        <f xml:space="preserve"> 527.907796781853 / 86400</f>
        <v>6.1100439442344093E-3</v>
      </c>
      <c r="L25" s="2">
        <f xml:space="preserve"> 230.512845667576 / 86400</f>
        <v>2.6679727507821294E-3</v>
      </c>
    </row>
    <row r="26" spans="2:12" x14ac:dyDescent="0.25">
      <c r="B26" s="4" t="s">
        <v>43</v>
      </c>
      <c r="C26" s="9" t="s">
        <v>44</v>
      </c>
      <c r="D26" s="4">
        <v>13</v>
      </c>
      <c r="E26" s="25" t="s">
        <v>60</v>
      </c>
      <c r="F26" s="9" t="s">
        <v>46</v>
      </c>
      <c r="G26" s="4">
        <v>49</v>
      </c>
      <c r="H26" s="9"/>
      <c r="I26" s="2">
        <f xml:space="preserve"> 358.385807258703 / 86400</f>
        <v>4.1479838803090627E-3</v>
      </c>
      <c r="J26" s="2">
        <f xml:space="preserve"> 794.6673976936 / 86400</f>
        <v>9.1975393251574073E-3</v>
      </c>
      <c r="K26" s="26">
        <f xml:space="preserve"> 556.476992487018 / 86400</f>
        <v>6.4407059315627086E-3</v>
      </c>
      <c r="L26" s="2">
        <f xml:space="preserve"> 101.047809350582 / 86400</f>
        <v>1.169534830446551E-3</v>
      </c>
    </row>
    <row r="27" spans="2:12" x14ac:dyDescent="0.25">
      <c r="B27" s="4" t="s">
        <v>43</v>
      </c>
      <c r="C27" s="9" t="s">
        <v>44</v>
      </c>
      <c r="D27" s="4">
        <v>14</v>
      </c>
      <c r="E27" s="25" t="s">
        <v>61</v>
      </c>
      <c r="F27" s="9" t="s">
        <v>46</v>
      </c>
      <c r="G27" s="4">
        <v>49</v>
      </c>
      <c r="H27" s="9"/>
      <c r="I27" s="2">
        <f xml:space="preserve"> 276.302121356701 / 86400</f>
        <v>3.1979412194062615E-3</v>
      </c>
      <c r="J27" s="2">
        <f xml:space="preserve"> 550.613110333499 / 86400</f>
        <v>6.3728369251562379E-3</v>
      </c>
      <c r="K27" s="26">
        <f xml:space="preserve"> 407.8637840767 / 86400</f>
        <v>4.7206456490358796E-3</v>
      </c>
      <c r="L27" s="2">
        <f xml:space="preserve"> 73.0962075156958 / 86400</f>
        <v>8.4602092032055323E-4</v>
      </c>
    </row>
    <row r="28" spans="2:12" x14ac:dyDescent="0.25">
      <c r="B28" s="4" t="s">
        <v>43</v>
      </c>
      <c r="C28" s="9" t="s">
        <v>44</v>
      </c>
      <c r="D28" s="4">
        <v>15</v>
      </c>
      <c r="E28" s="25" t="s">
        <v>62</v>
      </c>
      <c r="F28" s="9" t="s">
        <v>46</v>
      </c>
      <c r="G28" s="4">
        <v>49</v>
      </c>
      <c r="H28" s="9"/>
      <c r="I28" s="2">
        <f xml:space="preserve"> 3076.5499452588 / 86400</f>
        <v>3.5608216959013887E-2</v>
      </c>
      <c r="J28" s="2">
        <f xml:space="preserve"> 4922.4685230583 / 86400</f>
        <v>5.6973015313174766E-2</v>
      </c>
      <c r="K28" s="26">
        <f xml:space="preserve"> 4057.39887580236 / 86400</f>
        <v>4.696063513660139E-2</v>
      </c>
      <c r="L28" s="2">
        <f xml:space="preserve"> 425.85531333453 / 86400</f>
        <v>4.9288809413718755E-3</v>
      </c>
    </row>
    <row r="29" spans="2:12" x14ac:dyDescent="0.25">
      <c r="B29" s="4" t="s">
        <v>43</v>
      </c>
      <c r="C29" s="9" t="s">
        <v>44</v>
      </c>
      <c r="D29" s="4">
        <v>16</v>
      </c>
      <c r="E29" s="25" t="s">
        <v>63</v>
      </c>
      <c r="F29" s="9" t="s">
        <v>46</v>
      </c>
      <c r="G29" s="4">
        <v>49</v>
      </c>
      <c r="H29" s="9"/>
      <c r="I29" s="2">
        <f xml:space="preserve"> 331.912138649201 / 86400</f>
        <v>3.8415756788101967E-3</v>
      </c>
      <c r="J29" s="2">
        <f xml:space="preserve"> 559.965760329698 / 86400</f>
        <v>6.4810851890011343E-3</v>
      </c>
      <c r="K29" s="26">
        <f xml:space="preserve"> 462.440649908984 / 86400</f>
        <v>5.3523223369095372E-3</v>
      </c>
      <c r="L29" s="2">
        <f xml:space="preserve"> 46.4579656259413 / 86400</f>
        <v>5.3770793548543175E-4</v>
      </c>
    </row>
    <row r="30" spans="2:12" x14ac:dyDescent="0.25">
      <c r="B30" s="4" t="s">
        <v>43</v>
      </c>
      <c r="C30" s="9" t="s">
        <v>44</v>
      </c>
      <c r="D30" s="4">
        <v>17</v>
      </c>
      <c r="E30" s="25" t="s">
        <v>64</v>
      </c>
      <c r="F30" s="9" t="s">
        <v>46</v>
      </c>
      <c r="G30" s="4">
        <v>49</v>
      </c>
      <c r="H30" s="9"/>
      <c r="I30" s="2">
        <f xml:space="preserve"> 86.0389850969004 / 86400</f>
        <v>9.9582158676968062E-4</v>
      </c>
      <c r="J30" s="2">
        <f xml:space="preserve"> 256.048077920503 / 86400</f>
        <v>2.9635194203761917E-3</v>
      </c>
      <c r="K30" s="26">
        <f xml:space="preserve"> 189.757561127504 / 86400</f>
        <v>2.1962680686053704E-3</v>
      </c>
      <c r="L30" s="2">
        <f xml:space="preserve"> 37.5466577026914 / 86400</f>
        <v>4.3456779748485416E-4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49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27" t="s">
        <v>72</v>
      </c>
      <c r="G35" s="15" t="s">
        <v>77</v>
      </c>
      <c r="H35" s="15" t="s">
        <v>78</v>
      </c>
      <c r="I35" s="37" t="s">
        <v>79</v>
      </c>
      <c r="J35" s="15"/>
      <c r="K35" s="15"/>
      <c r="L35" s="15"/>
    </row>
    <row r="36" spans="4:12" x14ac:dyDescent="0.25">
      <c r="D36" s="28"/>
      <c r="E36" t="s">
        <v>48</v>
      </c>
      <c r="F36" s="18">
        <f>(K14*86400)/60</f>
        <v>3.2097756808580664</v>
      </c>
      <c r="G36" s="4">
        <v>50</v>
      </c>
      <c r="H36" s="38">
        <f>G36/49</f>
        <v>1.0204081632653061</v>
      </c>
      <c r="I36" s="31">
        <f>F36*H36</f>
        <v>3.2752813069980271</v>
      </c>
      <c r="J36" s="15"/>
      <c r="K36" s="15"/>
      <c r="L36" s="15"/>
    </row>
    <row r="37" spans="4:12" x14ac:dyDescent="0.25">
      <c r="D37" s="28"/>
      <c r="E37" t="s">
        <v>49</v>
      </c>
      <c r="F37" s="18">
        <f>(K15*86400)/60</f>
        <v>0.25077150029144002</v>
      </c>
      <c r="G37" s="4">
        <v>49</v>
      </c>
      <c r="H37" s="38">
        <f>G37/49</f>
        <v>1</v>
      </c>
      <c r="I37" s="31">
        <f>F37*H37</f>
        <v>0.25077150029144002</v>
      </c>
      <c r="J37" s="15"/>
      <c r="K37" s="15"/>
      <c r="L37" s="15"/>
    </row>
    <row r="38" spans="4:12" x14ac:dyDescent="0.25">
      <c r="D38" s="28"/>
      <c r="E38" s="17" t="s">
        <v>50</v>
      </c>
      <c r="F38" s="19">
        <f>(K16*86400)/60</f>
        <v>0.48325142170110824</v>
      </c>
      <c r="G38" s="4">
        <v>49</v>
      </c>
      <c r="H38" s="38">
        <f t="shared" ref="H38:H60" si="0">G38/49</f>
        <v>1</v>
      </c>
      <c r="I38" s="42">
        <f>F38*H38</f>
        <v>0.48325142170110824</v>
      </c>
      <c r="J38" s="37" t="s">
        <v>84</v>
      </c>
      <c r="K38" s="15"/>
      <c r="L38" s="15"/>
    </row>
    <row r="39" spans="4:12" x14ac:dyDescent="0.25">
      <c r="E39" s="16" t="s">
        <v>71</v>
      </c>
      <c r="F39" s="20">
        <f>SUM(F36:F38)</f>
        <v>3.9437986028506149</v>
      </c>
      <c r="G39" s="15"/>
      <c r="H39" s="38"/>
      <c r="I39" s="32">
        <f>SUM(I36:I38)</f>
        <v>4.0093042289905751</v>
      </c>
      <c r="J39" s="15"/>
      <c r="K39" s="15"/>
      <c r="L39" s="15"/>
    </row>
    <row r="40" spans="4:12" x14ac:dyDescent="0.25">
      <c r="F40" s="15"/>
      <c r="G40" s="15"/>
      <c r="H40" s="38"/>
      <c r="I40" s="31"/>
      <c r="J40" s="15"/>
      <c r="K40" s="15"/>
      <c r="L40" s="15"/>
    </row>
    <row r="41" spans="4:12" x14ac:dyDescent="0.25">
      <c r="F41" s="15"/>
      <c r="G41" s="15"/>
      <c r="H41" s="38"/>
      <c r="I41" s="31"/>
      <c r="J41" s="15"/>
      <c r="K41" s="15"/>
      <c r="L41" s="15"/>
    </row>
    <row r="42" spans="4:12" x14ac:dyDescent="0.25">
      <c r="E42" s="12" t="s">
        <v>82</v>
      </c>
      <c r="F42" s="27" t="s">
        <v>72</v>
      </c>
      <c r="G42" s="15"/>
      <c r="H42" s="38"/>
      <c r="I42" s="31"/>
      <c r="J42" s="15"/>
      <c r="K42" s="15"/>
      <c r="L42" s="15"/>
    </row>
    <row r="43" spans="4:12" x14ac:dyDescent="0.25">
      <c r="D43" s="29"/>
      <c r="E43" t="s">
        <v>51</v>
      </c>
      <c r="F43" s="18">
        <f t="shared" ref="F43:F49" si="1">(K17*86400)/60</f>
        <v>3.0673212529675333</v>
      </c>
      <c r="G43" s="4">
        <v>49</v>
      </c>
      <c r="H43" s="38">
        <f t="shared" si="0"/>
        <v>1</v>
      </c>
      <c r="I43" s="31">
        <f t="shared" ref="I43:I51" si="2">F43*H43</f>
        <v>3.0673212529675333</v>
      </c>
      <c r="J43" s="15"/>
      <c r="K43" s="15"/>
      <c r="L43" s="15"/>
    </row>
    <row r="44" spans="4:12" x14ac:dyDescent="0.25">
      <c r="D44" s="29"/>
      <c r="E44" t="s">
        <v>52</v>
      </c>
      <c r="F44" s="18">
        <f t="shared" si="1"/>
        <v>1.2086369453964234</v>
      </c>
      <c r="G44" s="4">
        <v>196</v>
      </c>
      <c r="H44" s="38">
        <f t="shared" si="0"/>
        <v>4</v>
      </c>
      <c r="I44" s="31">
        <f t="shared" si="2"/>
        <v>4.8345477815856936</v>
      </c>
      <c r="J44" s="15"/>
      <c r="K44" s="15"/>
      <c r="L44" s="15"/>
    </row>
    <row r="45" spans="4:12" x14ac:dyDescent="0.25">
      <c r="D45" s="29"/>
      <c r="E45" t="s">
        <v>53</v>
      </c>
      <c r="F45" s="18">
        <f t="shared" si="1"/>
        <v>0.81207385429509671</v>
      </c>
      <c r="G45" s="4">
        <v>196</v>
      </c>
      <c r="H45" s="38">
        <f t="shared" si="0"/>
        <v>4</v>
      </c>
      <c r="I45" s="31">
        <f t="shared" si="2"/>
        <v>3.2482954171803868</v>
      </c>
      <c r="J45" s="15"/>
      <c r="K45" s="15"/>
      <c r="L45" s="15"/>
    </row>
    <row r="46" spans="4:12" x14ac:dyDescent="0.25">
      <c r="D46" s="29"/>
      <c r="E46" t="s">
        <v>54</v>
      </c>
      <c r="F46" s="18">
        <f t="shared" si="1"/>
        <v>1.1629553416823584</v>
      </c>
      <c r="G46" s="4">
        <v>196</v>
      </c>
      <c r="H46" s="38">
        <f t="shared" si="0"/>
        <v>4</v>
      </c>
      <c r="I46" s="31">
        <f t="shared" si="2"/>
        <v>4.6518213667294335</v>
      </c>
      <c r="J46" s="15"/>
      <c r="K46" s="15"/>
      <c r="L46" s="15"/>
    </row>
    <row r="47" spans="4:12" x14ac:dyDescent="0.25">
      <c r="D47" s="29"/>
      <c r="E47" t="s">
        <v>55</v>
      </c>
      <c r="F47" s="18">
        <f t="shared" si="1"/>
        <v>68.631122555883167</v>
      </c>
      <c r="G47" s="4">
        <v>196</v>
      </c>
      <c r="H47" s="38">
        <f t="shared" si="0"/>
        <v>4</v>
      </c>
      <c r="I47" s="31">
        <f t="shared" si="2"/>
        <v>274.52449022353267</v>
      </c>
      <c r="J47" s="15"/>
      <c r="K47" s="15"/>
      <c r="L47" s="15"/>
    </row>
    <row r="48" spans="4:12" x14ac:dyDescent="0.25">
      <c r="D48" s="29"/>
      <c r="E48" t="s">
        <v>56</v>
      </c>
      <c r="F48" s="18">
        <f t="shared" si="1"/>
        <v>25.376649159288</v>
      </c>
      <c r="G48" s="4">
        <v>36</v>
      </c>
      <c r="H48" s="15">
        <f t="shared" si="0"/>
        <v>0.73469387755102045</v>
      </c>
      <c r="I48" s="31">
        <f t="shared" si="2"/>
        <v>18.644068770089145</v>
      </c>
      <c r="J48" s="15"/>
      <c r="K48" s="15"/>
      <c r="L48" s="15"/>
    </row>
    <row r="49" spans="4:12" x14ac:dyDescent="0.25">
      <c r="D49" s="29"/>
      <c r="E49" t="s">
        <v>57</v>
      </c>
      <c r="F49" s="18">
        <f t="shared" si="1"/>
        <v>16.787228876103001</v>
      </c>
      <c r="G49" s="4">
        <v>196</v>
      </c>
      <c r="H49" s="38">
        <f t="shared" si="0"/>
        <v>4</v>
      </c>
      <c r="I49" s="31">
        <f t="shared" si="2"/>
        <v>67.148915504412003</v>
      </c>
      <c r="J49" s="15"/>
      <c r="K49" s="15"/>
      <c r="L49" s="15"/>
    </row>
    <row r="50" spans="4:12" x14ac:dyDescent="0.25">
      <c r="D50" s="29"/>
      <c r="E50" t="s">
        <v>58</v>
      </c>
      <c r="F50" s="18">
        <f>(K24*86400)/60</f>
        <v>0.69691103034058666</v>
      </c>
      <c r="G50" s="4">
        <v>196</v>
      </c>
      <c r="H50" s="38">
        <f t="shared" si="0"/>
        <v>4</v>
      </c>
      <c r="I50" s="31">
        <f t="shared" si="2"/>
        <v>2.7876441213623466</v>
      </c>
      <c r="J50" s="15"/>
      <c r="K50" s="15"/>
      <c r="L50" s="15"/>
    </row>
    <row r="51" spans="4:12" x14ac:dyDescent="0.25">
      <c r="D51" s="29"/>
      <c r="E51" s="17" t="s">
        <v>59</v>
      </c>
      <c r="F51" s="19">
        <f>(K25*86400)/60</f>
        <v>8.7984632796975504</v>
      </c>
      <c r="G51" s="4">
        <v>196</v>
      </c>
      <c r="H51" s="38">
        <f t="shared" si="0"/>
        <v>4</v>
      </c>
      <c r="I51" s="39">
        <f t="shared" si="2"/>
        <v>35.193853118790202</v>
      </c>
      <c r="J51" s="15"/>
      <c r="K51" s="15"/>
      <c r="L51" s="15"/>
    </row>
    <row r="52" spans="4:12" x14ac:dyDescent="0.25">
      <c r="E52" s="16" t="s">
        <v>73</v>
      </c>
      <c r="F52" s="20">
        <f>SUM(F43:F51)</f>
        <v>126.5413622956537</v>
      </c>
      <c r="G52" s="15"/>
      <c r="H52" s="38"/>
      <c r="I52" s="32">
        <f>SUM(I43:I51)</f>
        <v>414.1009575566494</v>
      </c>
      <c r="J52" s="15"/>
      <c r="K52" s="15"/>
      <c r="L52" s="15"/>
    </row>
    <row r="53" spans="4:12" x14ac:dyDescent="0.25">
      <c r="F53" s="15"/>
      <c r="G53" s="15"/>
      <c r="H53" s="38"/>
      <c r="I53" s="31"/>
      <c r="J53" s="15"/>
      <c r="K53" s="15"/>
      <c r="L53" s="15"/>
    </row>
    <row r="54" spans="4:12" x14ac:dyDescent="0.25">
      <c r="F54" s="15"/>
      <c r="G54" s="15"/>
      <c r="H54" s="38"/>
      <c r="I54" s="31"/>
      <c r="J54" s="15"/>
      <c r="K54" s="15"/>
      <c r="L54" s="15"/>
    </row>
    <row r="55" spans="4:12" x14ac:dyDescent="0.25">
      <c r="E55" s="12" t="s">
        <v>74</v>
      </c>
      <c r="F55" s="27" t="s">
        <v>72</v>
      </c>
      <c r="G55" s="15"/>
      <c r="H55" s="38"/>
      <c r="I55" s="31"/>
      <c r="J55" s="15"/>
      <c r="K55" s="15"/>
      <c r="L55" s="15"/>
    </row>
    <row r="56" spans="4:12" x14ac:dyDescent="0.25">
      <c r="D56" s="30"/>
      <c r="E56" t="s">
        <v>60</v>
      </c>
      <c r="F56" s="18">
        <f>(K26*86400)/60</f>
        <v>9.2746165414503015</v>
      </c>
      <c r="G56" s="4">
        <v>49</v>
      </c>
      <c r="H56" s="38">
        <f t="shared" si="0"/>
        <v>1</v>
      </c>
      <c r="I56" s="31">
        <f>F56*H56</f>
        <v>9.2746165414503015</v>
      </c>
      <c r="J56" s="15"/>
      <c r="K56" s="15"/>
      <c r="L56" s="15"/>
    </row>
    <row r="57" spans="4:12" x14ac:dyDescent="0.25">
      <c r="D57" s="30"/>
      <c r="E57" t="s">
        <v>61</v>
      </c>
      <c r="F57" s="18">
        <f>(K27*86400)/60</f>
        <v>6.7977297346116661</v>
      </c>
      <c r="G57" s="4">
        <v>49</v>
      </c>
      <c r="H57" s="38">
        <f t="shared" si="0"/>
        <v>1</v>
      </c>
      <c r="I57" s="31">
        <f>F57*H57</f>
        <v>6.7977297346116661</v>
      </c>
      <c r="J57" s="15"/>
      <c r="K57" s="15"/>
      <c r="L57" s="15"/>
    </row>
    <row r="58" spans="4:12" x14ac:dyDescent="0.25">
      <c r="D58" s="30"/>
      <c r="E58" t="s">
        <v>62</v>
      </c>
      <c r="F58" s="18">
        <f>(K28*86400)/60</f>
        <v>67.62331459670601</v>
      </c>
      <c r="G58" s="4">
        <v>49</v>
      </c>
      <c r="H58" s="38">
        <f t="shared" si="0"/>
        <v>1</v>
      </c>
      <c r="I58" s="31">
        <f>F58*H58</f>
        <v>67.62331459670601</v>
      </c>
      <c r="J58" s="15"/>
      <c r="K58" s="15"/>
      <c r="L58" s="15"/>
    </row>
    <row r="59" spans="4:12" x14ac:dyDescent="0.25">
      <c r="D59" s="30"/>
      <c r="E59" t="s">
        <v>63</v>
      </c>
      <c r="F59" s="18">
        <f>(K29*86400)/60</f>
        <v>7.7073441651497339</v>
      </c>
      <c r="G59" s="4">
        <v>49</v>
      </c>
      <c r="H59" s="38">
        <f t="shared" si="0"/>
        <v>1</v>
      </c>
      <c r="I59" s="31">
        <f>F59*H59</f>
        <v>7.7073441651497339</v>
      </c>
      <c r="J59" s="15"/>
      <c r="K59" s="15"/>
      <c r="L59" s="15"/>
    </row>
    <row r="60" spans="4:12" x14ac:dyDescent="0.25">
      <c r="D60" s="30"/>
      <c r="E60" s="17" t="s">
        <v>64</v>
      </c>
      <c r="F60" s="19">
        <f>(K30*86400)/60</f>
        <v>3.1626260187917334</v>
      </c>
      <c r="G60" s="4">
        <v>49</v>
      </c>
      <c r="H60" s="38">
        <f t="shared" si="0"/>
        <v>1</v>
      </c>
      <c r="I60" s="39">
        <f>F60*H60</f>
        <v>3.1626260187917334</v>
      </c>
      <c r="J60" s="15"/>
      <c r="K60" s="15"/>
      <c r="L60" s="15"/>
    </row>
    <row r="61" spans="4:12" x14ac:dyDescent="0.25">
      <c r="E61" s="16" t="s">
        <v>73</v>
      </c>
      <c r="F61" s="20">
        <f>SUM(F56:F60)</f>
        <v>94.565631056709435</v>
      </c>
      <c r="G61" s="15"/>
      <c r="H61" s="15"/>
      <c r="I61" s="32">
        <f>SUM(I56:I60)</f>
        <v>94.565631056709435</v>
      </c>
      <c r="J61" s="15"/>
      <c r="K61" s="15"/>
      <c r="L61" s="15"/>
    </row>
    <row r="62" spans="4:12" x14ac:dyDescent="0.25">
      <c r="F62" s="15"/>
      <c r="G62" s="15"/>
      <c r="H62" s="15"/>
      <c r="I62" s="31"/>
      <c r="J62" s="15"/>
      <c r="K62" s="15"/>
      <c r="L62" s="15"/>
    </row>
    <row r="63" spans="4:12" x14ac:dyDescent="0.25">
      <c r="F63" s="15"/>
      <c r="G63" s="15"/>
      <c r="H63" s="15"/>
      <c r="I63" s="31"/>
      <c r="J63" s="15"/>
      <c r="K63" s="15"/>
      <c r="L63" s="15"/>
    </row>
    <row r="64" spans="4:12" x14ac:dyDescent="0.25">
      <c r="D64" s="41"/>
      <c r="E64" s="16" t="s">
        <v>83</v>
      </c>
      <c r="F64" s="37">
        <f>I52+SUM(I56:I59)</f>
        <v>505.5039625945671</v>
      </c>
      <c r="H64" s="36" t="s">
        <v>80</v>
      </c>
      <c r="I64" s="40">
        <f>I39+I52+I61</f>
        <v>512.67589284234941</v>
      </c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2025-05-10T04:20:04Z</dcterms:created>
  <dcterms:modified xsi:type="dcterms:W3CDTF">2025-06-03T04:49:22Z</dcterms:modified>
</cp:coreProperties>
</file>