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94DF27F3-EE7D-49B4-92A9-2D657D45739C}" xr6:coauthVersionLast="47" xr6:coauthVersionMax="47" xr10:uidLastSave="{00000000-0000-0000-0000-000000000000}"/>
  <bookViews>
    <workbookView xWindow="-120" yWindow="-120" windowWidth="51840" windowHeight="21120" activeTab="2" xr2:uid="{B8F7DD31-0C85-48C0-96F0-257195A03EB4}"/>
  </bookViews>
  <sheets>
    <sheet name="Scenario Performance" sheetId="1" r:id="rId1"/>
    <sheet name="Task Performance" sheetId="2" r:id="rId2"/>
    <sheet name="Task Performance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3" l="1"/>
  <c r="H38" i="3"/>
  <c r="H43" i="3"/>
  <c r="H44" i="3"/>
  <c r="H45" i="3"/>
  <c r="H46" i="3"/>
  <c r="H47" i="3"/>
  <c r="H48" i="3"/>
  <c r="H49" i="3"/>
  <c r="H50" i="3"/>
  <c r="H51" i="3"/>
  <c r="I51" i="3" s="1"/>
  <c r="H56" i="3"/>
  <c r="H57" i="3"/>
  <c r="H58" i="3"/>
  <c r="H59" i="3"/>
  <c r="H60" i="3"/>
  <c r="H37" i="3"/>
  <c r="H36" i="3"/>
  <c r="D16" i="1"/>
  <c r="I48" i="3"/>
  <c r="I38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I59" i="3" s="1"/>
  <c r="J29" i="3"/>
  <c r="I29" i="3"/>
  <c r="L28" i="3"/>
  <c r="K28" i="3"/>
  <c r="F58" i="3" s="1"/>
  <c r="J28" i="3"/>
  <c r="I28" i="3"/>
  <c r="L27" i="3"/>
  <c r="K27" i="3"/>
  <c r="F57" i="3" s="1"/>
  <c r="I57" i="3" s="1"/>
  <c r="J27" i="3"/>
  <c r="I27" i="3"/>
  <c r="L26" i="3"/>
  <c r="K26" i="3"/>
  <c r="F56" i="3" s="1"/>
  <c r="I56" i="3" s="1"/>
  <c r="J26" i="3"/>
  <c r="I26" i="3"/>
  <c r="L25" i="3"/>
  <c r="K25" i="3"/>
  <c r="F51" i="3" s="1"/>
  <c r="J25" i="3"/>
  <c r="I25" i="3"/>
  <c r="L24" i="3"/>
  <c r="K24" i="3"/>
  <c r="F50" i="3" s="1"/>
  <c r="I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I47" i="3" s="1"/>
  <c r="J21" i="3"/>
  <c r="I21" i="3"/>
  <c r="L20" i="3"/>
  <c r="K20" i="3"/>
  <c r="F46" i="3" s="1"/>
  <c r="J20" i="3"/>
  <c r="I20" i="3"/>
  <c r="L19" i="3"/>
  <c r="K19" i="3"/>
  <c r="F45" i="3" s="1"/>
  <c r="I45" i="3" s="1"/>
  <c r="J19" i="3"/>
  <c r="I19" i="3"/>
  <c r="L18" i="3"/>
  <c r="K18" i="3"/>
  <c r="F44" i="3" s="1"/>
  <c r="I44" i="3" s="1"/>
  <c r="J18" i="3"/>
  <c r="I18" i="3"/>
  <c r="L17" i="3"/>
  <c r="K17" i="3"/>
  <c r="F43" i="3" s="1"/>
  <c r="I43" i="3" s="1"/>
  <c r="J17" i="3"/>
  <c r="I17" i="3"/>
  <c r="L16" i="3"/>
  <c r="K16" i="3"/>
  <c r="F38" i="3" s="1"/>
  <c r="J16" i="3"/>
  <c r="I16" i="3"/>
  <c r="L15" i="3"/>
  <c r="K15" i="3"/>
  <c r="F37" i="3" s="1"/>
  <c r="I37" i="3" s="1"/>
  <c r="J15" i="3"/>
  <c r="I15" i="3"/>
  <c r="L14" i="3"/>
  <c r="K14" i="3"/>
  <c r="F36" i="3" s="1"/>
  <c r="J14" i="3"/>
  <c r="I14" i="3"/>
  <c r="L13" i="3"/>
  <c r="K13" i="3"/>
  <c r="J13" i="3"/>
  <c r="I13" i="3"/>
  <c r="F60" i="2"/>
  <c r="F56" i="2"/>
  <c r="F59" i="2"/>
  <c r="F58" i="2"/>
  <c r="F57" i="2"/>
  <c r="F61" i="2"/>
  <c r="F49" i="2"/>
  <c r="F48" i="2"/>
  <c r="F43" i="2"/>
  <c r="F38" i="2"/>
  <c r="F37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F36" i="2" s="1"/>
  <c r="F39" i="2" s="1"/>
  <c r="K15" i="2"/>
  <c r="K16" i="2"/>
  <c r="K17" i="2"/>
  <c r="K18" i="2"/>
  <c r="F44" i="2" s="1"/>
  <c r="K19" i="2"/>
  <c r="F45" i="2" s="1"/>
  <c r="K20" i="2"/>
  <c r="F46" i="2" s="1"/>
  <c r="K21" i="2"/>
  <c r="F47" i="2" s="1"/>
  <c r="K22" i="2"/>
  <c r="K23" i="2"/>
  <c r="K24" i="2"/>
  <c r="F50" i="2" s="1"/>
  <c r="K25" i="2"/>
  <c r="F51" i="2" s="1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49" i="3" l="1"/>
  <c r="I36" i="3"/>
  <c r="I46" i="3"/>
  <c r="I52" i="3" s="1"/>
  <c r="F64" i="3" s="1"/>
  <c r="I60" i="3"/>
  <c r="I58" i="3"/>
  <c r="I39" i="3"/>
  <c r="I61" i="3"/>
  <c r="F39" i="3"/>
  <c r="F52" i="3"/>
  <c r="F61" i="3"/>
  <c r="F52" i="2"/>
  <c r="I64" i="3" l="1"/>
</calcChain>
</file>

<file path=xl/sharedStrings.xml><?xml version="1.0" encoding="utf-8"?>
<sst xmlns="http://schemas.openxmlformats.org/spreadsheetml/2006/main" count="332" uniqueCount="86">
  <si>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</si>
  <si>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</si>
  <si>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</si>
  <si>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</si>
  <si>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</si>
  <si>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</si>
  <si>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</si>
  <si>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</si>
  <si>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</si>
  <si>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</si>
  <si>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</si>
  <si>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</si>
  <si>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</si>
  <si>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</si>
  <si>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</si>
  <si>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</si>
  <si>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</si>
  <si>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</si>
  <si>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</si>
  <si>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</si>
  <si>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</si>
  <si>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</si>
  <si>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</si>
  <si>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</si>
  <si>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</si>
  <si>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</si>
  <si>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</si>
  <si>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</si>
  <si>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</si>
  <si>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</si>
  <si>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</si>
  <si>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</si>
  <si>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</si>
  <si>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</si>
  <si>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</si>
  <si>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</si>
  <si>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</si>
  <si>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</si>
  <si>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</si>
  <si>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</si>
  <si>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</si>
  <si>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</si>
  <si>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</si>
  <si>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</si>
  <si>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</si>
  <si>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</si>
  <si>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</si>
  <si>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</si>
  <si>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</si>
  <si>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</si>
  <si>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</si>
  <si>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</si>
  <si>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</si>
  <si>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</si>
  <si>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</si>
  <si>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</si>
  <si>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</si>
  <si>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</si>
  <si>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</si>
  <si>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</si>
  <si>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</si>
  <si>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</si>
  <si>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</si>
  <si>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</si>
  <si>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</si>
  <si>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</si>
  <si>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</si>
  <si>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</si>
  <si>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</si>
  <si>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</si>
  <si>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21</t>
  </si>
  <si>
    <t>Task Name</t>
  </si>
  <si>
    <t>Satellite Contact Window Requirement</t>
  </si>
  <si>
    <t>Mean (Minutes)</t>
  </si>
  <si>
    <t>Image Processing and Analysis</t>
  </si>
  <si>
    <t>Group 3 - Task Name</t>
  </si>
  <si>
    <t># of Simulations</t>
  </si>
  <si>
    <t># of Repetitions</t>
  </si>
  <si>
    <t>Sum of Mean (Minutes)</t>
  </si>
  <si>
    <t>Total Sim. Time</t>
  </si>
  <si>
    <t>(minutes)</t>
  </si>
  <si>
    <t>Analytical Tasks Requiring Accuracy - Mean (Minutes)</t>
  </si>
  <si>
    <t>Group 1 - Task Name</t>
  </si>
  <si>
    <t>Group 2 - Task Name</t>
  </si>
  <si>
    <t>Group 2 and Group 3 Tasks Combined (Hyp. 2)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</si>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</sst>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C3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1" fontId="0" fillId="0" borderId="0" xfId="0" applyNumberFormat="1"/>
    <xf numFmtId="167" fontId="0" fillId="0" borderId="1" xfId="0" applyNumberFormat="1" applyBorder="1"/>
    <xf numFmtId="2" fontId="1" fillId="5" borderId="0" xfId="0" applyNumberFormat="1" applyFont="1" applyFill="1"/>
    <xf numFmtId="0" fontId="0" fillId="6" borderId="0" xfId="0" applyFill="1"/>
    <xf numFmtId="167" fontId="0" fillId="5" borderId="1" xfId="0" applyNumberFormat="1" applyFill="1" applyBorder="1"/>
    <xf numFmtId="0" fontId="0" fillId="7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43C164-6EC6-3875-69DC-6820708A6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CE7FB-8FB9-6448-DB3F-85C1068CC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EE8BF-94A1-4CAC-8441-37E4AB07C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A82F-1CA6-40AB-A3A7-3555AB9FC7DE}">
  <dimension ref="A1:E30"/>
  <sheetViews>
    <sheetView workbookViewId="0">
      <selection activeCell="L15" sqref="L15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3.5703125" customWidth="1"/>
  </cols>
  <sheetData>
    <row r="1" spans="1:5" x14ac:dyDescent="0.25">
      <c r="A1" s="44"/>
    </row>
    <row r="2" spans="1:5" ht="18.75" x14ac:dyDescent="0.3">
      <c r="A2" s="44"/>
      <c r="B2" s="6" t="s">
        <v>16</v>
      </c>
    </row>
    <row r="3" spans="1:5" ht="17.25" x14ac:dyDescent="0.3">
      <c r="A3" s="44"/>
      <c r="B3" s="7" t="s">
        <v>17</v>
      </c>
    </row>
    <row r="4" spans="1:5" x14ac:dyDescent="0.25">
      <c r="A4" s="44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100231</v>
      </c>
    </row>
    <row r="10" spans="1:5" x14ac:dyDescent="0.25">
      <c r="A10" s="5" t="s">
        <v>21</v>
      </c>
      <c r="B10" s="8">
        <v>168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12392.65180547 / 86400</f>
        <v>0.1434334699707176</v>
      </c>
    </row>
    <row r="15" spans="1:5" x14ac:dyDescent="0.25">
      <c r="B15" s="1" t="s">
        <v>2</v>
      </c>
      <c r="C15" s="2">
        <f xml:space="preserve"> 27067.1312338776 / 86400</f>
        <v>0.31327698187358333</v>
      </c>
    </row>
    <row r="16" spans="1:5" x14ac:dyDescent="0.25">
      <c r="B16" s="33" t="s">
        <v>3</v>
      </c>
      <c r="C16" s="34">
        <f xml:space="preserve"> 18643.3034017754 / 86400</f>
        <v>0.21577897455758566</v>
      </c>
      <c r="D16" s="35">
        <f>(C16*86400)/60</f>
        <v>310.72172336292334</v>
      </c>
      <c r="E16" s="36" t="s">
        <v>80</v>
      </c>
    </row>
    <row r="17" spans="2:3" x14ac:dyDescent="0.25">
      <c r="B17" s="1" t="s">
        <v>4</v>
      </c>
      <c r="C17" s="2">
        <f xml:space="preserve"> 2629.34826956723 / 86400</f>
        <v>3.0432271638509607E-2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BE37-494F-469F-ACDC-63B099BBBA20}">
  <dimension ref="A1:X70"/>
  <sheetViews>
    <sheetView topLeftCell="A16" workbookViewId="0">
      <selection activeCell="L50" sqref="L5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4"/>
    </row>
    <row r="2" spans="1:24" ht="18.75" x14ac:dyDescent="0.3">
      <c r="A2" s="44"/>
      <c r="B2" s="6" t="s">
        <v>16</v>
      </c>
    </row>
    <row r="3" spans="1:24" ht="17.25" x14ac:dyDescent="0.3">
      <c r="A3" s="44"/>
      <c r="B3" s="7" t="s">
        <v>66</v>
      </c>
    </row>
    <row r="4" spans="1:24" x14ac:dyDescent="0.25">
      <c r="A4" s="44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100231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  <c r="M11" s="46"/>
      <c r="N11" s="49" t="s">
        <v>26</v>
      </c>
      <c r="P11" s="45" t="s">
        <v>27</v>
      </c>
      <c r="Q11" s="46"/>
      <c r="R11" s="46"/>
      <c r="S11" s="46"/>
      <c r="T11" s="49" t="s">
        <v>28</v>
      </c>
      <c r="V11" s="45" t="s">
        <v>29</v>
      </c>
      <c r="W11" s="46"/>
      <c r="X11" s="46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168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168</v>
      </c>
      <c r="H14" s="9"/>
      <c r="I14" s="2">
        <f xml:space="preserve"> 71.5786341594433 / 86400</f>
        <v>8.2845641388244555E-4</v>
      </c>
      <c r="J14" s="2">
        <f xml:space="preserve"> 295.688655168139 / 86400</f>
        <v>3.4223223977793865E-3</v>
      </c>
      <c r="K14" s="27">
        <f xml:space="preserve"> 186.976720858526 / 86400</f>
        <v>2.1640824173440507E-3</v>
      </c>
      <c r="L14" s="2">
        <f xml:space="preserve"> 45.1219754891683 / 86400</f>
        <v>5.222450866801887E-4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168</v>
      </c>
      <c r="H15" s="9"/>
      <c r="I15" s="2">
        <f xml:space="preserve"> 5.04164436973699 / 86400</f>
        <v>5.8352365390474421E-5</v>
      </c>
      <c r="J15" s="2">
        <f xml:space="preserve"> 23.762928601244 / 86400</f>
        <v>2.7503389584773149E-4</v>
      </c>
      <c r="K15" s="27">
        <f xml:space="preserve"> 15.0750334847713 / 86400</f>
        <v>1.7447955422189004E-4</v>
      </c>
      <c r="L15" s="2">
        <f xml:space="preserve"> 4.41724155999602 / 86400</f>
        <v>5.1125481018472452E-5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168</v>
      </c>
      <c r="H16" s="9"/>
      <c r="I16" s="2">
        <f xml:space="preserve"> 14.197019797046 / 86400</f>
        <v>1.6431735876210648E-4</v>
      </c>
      <c r="J16" s="2">
        <f xml:space="preserve"> 39.870742161996 / 86400</f>
        <v>4.6146692317125001E-4</v>
      </c>
      <c r="K16" s="27">
        <f xml:space="preserve"> 27.0198344793308 / 86400</f>
        <v>3.1272956573299537E-4</v>
      </c>
      <c r="L16" s="2">
        <f xml:space="preserve"> 7.50510043256212 / 86400</f>
        <v>8.6864588339839358E-5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168</v>
      </c>
      <c r="H17" s="9"/>
      <c r="I17" s="2">
        <f xml:space="preserve"> 71.274804089452 / 86400</f>
        <v>8.249398621464352E-4</v>
      </c>
      <c r="J17" s="2">
        <f xml:space="preserve"> 386.444579352533 / 86400</f>
        <v>4.4727381869506134E-3</v>
      </c>
      <c r="K17" s="25">
        <f xml:space="preserve"> 187.674267414923 / 86400</f>
        <v>2.1721558728579051E-3</v>
      </c>
      <c r="L17" s="2">
        <f xml:space="preserve"> 71.0945290801868 / 86400</f>
        <v>8.2285334583549535E-4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336</v>
      </c>
      <c r="H18" s="9"/>
      <c r="I18" s="2">
        <f xml:space="preserve"> 14.810998534696 / 86400</f>
        <v>1.7142359415157405E-4</v>
      </c>
      <c r="J18" s="2">
        <f xml:space="preserve"> 136.54828252669 / 86400</f>
        <v>1.5804199366515046E-3</v>
      </c>
      <c r="K18" s="25">
        <f xml:space="preserve"> 69.0358239779284 / 86400</f>
        <v>7.9902574048528244E-4</v>
      </c>
      <c r="L18" s="2">
        <f xml:space="preserve"> 19.0693713604311 / 86400</f>
        <v>2.2071031667165623E-4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336</v>
      </c>
      <c r="H19" s="9"/>
      <c r="I19" s="2">
        <f xml:space="preserve"> 26.9182619992298 / 86400</f>
        <v>3.1155395832441896E-4</v>
      </c>
      <c r="J19" s="2">
        <f xml:space="preserve"> 78.619110102588 / 86400</f>
        <v>9.0994340396513887E-4</v>
      </c>
      <c r="K19" s="25">
        <f xml:space="preserve"> 50.3374826875125 / 86400</f>
        <v>5.8260975332769091E-4</v>
      </c>
      <c r="L19" s="2">
        <f xml:space="preserve"> 9.20647638561331 / 86400</f>
        <v>1.0655643964830221E-4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336</v>
      </c>
      <c r="H20" s="9"/>
      <c r="I20" s="2">
        <f xml:space="preserve"> 37.91838902371 / 86400</f>
        <v>4.3887024332997683E-4</v>
      </c>
      <c r="J20" s="2">
        <f xml:space="preserve"> 102.35552581183 / 86400</f>
        <v>1.1846704376369214E-3</v>
      </c>
      <c r="K20" s="25">
        <f xml:space="preserve"> 69.592551768215 / 86400</f>
        <v>8.0546934916915513E-4</v>
      </c>
      <c r="L20" s="2">
        <f xml:space="preserve"> 10.3126042407721 / 86400</f>
        <v>1.1935884537930671E-4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336</v>
      </c>
      <c r="H21" s="9"/>
      <c r="I21" s="2">
        <f xml:space="preserve"> 1093.79068637968 / 86400</f>
        <v>1.2659614425690741E-2</v>
      </c>
      <c r="J21" s="2">
        <f xml:space="preserve"> 8721.5741779239 / 86400</f>
        <v>0.10094414557782291</v>
      </c>
      <c r="K21" s="25">
        <f xml:space="preserve"> 4289.66132122822 / 86400</f>
        <v>4.9648857884585881E-2</v>
      </c>
      <c r="L21" s="2">
        <f xml:space="preserve"> 1690.57812221031 / 86400</f>
        <v>1.956687641447118E-2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53</v>
      </c>
      <c r="H22" s="9"/>
      <c r="I22" s="2">
        <f xml:space="preserve"> 746.4251320603 / 86400</f>
        <v>8.6391797692164356E-3</v>
      </c>
      <c r="J22" s="2">
        <f xml:space="preserve"> 2676.8146673828 / 86400</f>
        <v>3.098165124285648E-2</v>
      </c>
      <c r="K22" s="25">
        <f xml:space="preserve"> 1504.30892608242 / 86400</f>
        <v>1.741098294076875E-2</v>
      </c>
      <c r="L22" s="2">
        <f xml:space="preserve"> 467.222405575768 / 86400</f>
        <v>5.4076667312010183E-3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336</v>
      </c>
      <c r="H23" s="9"/>
      <c r="I23" s="2">
        <f xml:space="preserve"> 628.640972355701 / 86400</f>
        <v>7.2759371800428362E-3</v>
      </c>
      <c r="J23" s="2">
        <f xml:space="preserve"> 1677.75765152239 / 86400</f>
        <v>1.9418491337064699E-2</v>
      </c>
      <c r="K23" s="25">
        <f xml:space="preserve"> 1018.5492152235 / 86400</f>
        <v>1.1788764065086806E-2</v>
      </c>
      <c r="L23" s="2">
        <f xml:space="preserve"> 217.568701420681 / 86400</f>
        <v>2.5181562664430674E-3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336</v>
      </c>
      <c r="H24" s="9"/>
      <c r="I24" s="2">
        <f xml:space="preserve"> 8.18326292101983 / 86400</f>
        <v>9.4713691215507289E-5</v>
      </c>
      <c r="J24" s="2">
        <f xml:space="preserve"> 50.6839338468999 / 86400</f>
        <v>5.8661960470948954E-4</v>
      </c>
      <c r="K24" s="25">
        <f xml:space="preserve"> 29.6019536179879 / 86400</f>
        <v>3.4261520391189697E-4</v>
      </c>
      <c r="L24" s="2">
        <f xml:space="preserve"> 15.1999164815884 / 86400</f>
        <v>1.759249592776435E-4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336</v>
      </c>
      <c r="H25" s="9"/>
      <c r="I25" s="2">
        <f xml:space="preserve"> 133.692417295992 / 86400</f>
        <v>1.5473659409258331E-3</v>
      </c>
      <c r="J25" s="2">
        <f xml:space="preserve"> 1357.62966967415 / 86400</f>
        <v>1.5713306361969329E-2</v>
      </c>
      <c r="K25" s="25">
        <f xml:space="preserve"> 532.096896660135 / 86400</f>
        <v>6.1585288965293403E-3</v>
      </c>
      <c r="L25" s="2">
        <f xml:space="preserve"> 219.97140010519 / 86400</f>
        <v>2.5459652789952547E-3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168</v>
      </c>
      <c r="H26" s="9"/>
      <c r="I26" s="2">
        <f xml:space="preserve"> 310.820120920351 / 86400</f>
        <v>3.5974551032448027E-3</v>
      </c>
      <c r="J26" s="2">
        <f xml:space="preserve"> 829.674084091799 / 86400</f>
        <v>9.6027093066180444E-3</v>
      </c>
      <c r="K26" s="23">
        <f xml:space="preserve"> 570.246549183801 / 86400</f>
        <v>6.6000758007384377E-3</v>
      </c>
      <c r="L26" s="2">
        <f xml:space="preserve"> 112.160082523014 / 86400</f>
        <v>1.298149103275625E-3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168</v>
      </c>
      <c r="H27" s="9"/>
      <c r="I27" s="2">
        <f xml:space="preserve"> 256.907460513399 / 86400</f>
        <v>2.9734659781643401E-3</v>
      </c>
      <c r="J27" s="2">
        <f xml:space="preserve"> 632.846414133799 / 86400</f>
        <v>7.324611274696748E-3</v>
      </c>
      <c r="K27" s="23">
        <f xml:space="preserve"> 415.941872434198 / 86400</f>
        <v>4.8141420420624763E-3</v>
      </c>
      <c r="L27" s="2">
        <f xml:space="preserve"> 69.294882122778 / 86400</f>
        <v>8.0202409864326394E-4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168</v>
      </c>
      <c r="H28" s="9"/>
      <c r="I28" s="2">
        <f xml:space="preserve"> 2733.8662301646 / 86400</f>
        <v>3.1641970256534722E-2</v>
      </c>
      <c r="J28" s="2">
        <f xml:space="preserve"> 5247.3783465817 / 86400</f>
        <v>6.0733545678028932E-2</v>
      </c>
      <c r="K28" s="23">
        <f xml:space="preserve"> 4009.05155793979 / 86400</f>
        <v>4.6401059698377205E-2</v>
      </c>
      <c r="L28" s="2">
        <f xml:space="preserve"> 451.297441099422 / 86400</f>
        <v>5.2233500127247916E-3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168</v>
      </c>
      <c r="H29" s="9"/>
      <c r="I29" s="2">
        <f xml:space="preserve"> 343.076196310598 / 86400</f>
        <v>3.9707893091504394E-3</v>
      </c>
      <c r="J29" s="2">
        <f xml:space="preserve"> 667.235581936899 / 86400</f>
        <v>7.7226340501955907E-3</v>
      </c>
      <c r="K29" s="23">
        <f xml:space="preserve"> 458.12052939073 / 86400</f>
        <v>5.3023209420223379E-3</v>
      </c>
      <c r="L29" s="2">
        <f xml:space="preserve"> 50.3418919745435 / 86400</f>
        <v>5.8266078674240162E-4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168</v>
      </c>
      <c r="H30" s="9"/>
      <c r="I30" s="2">
        <f xml:space="preserve"> 68.5440650064011 / 86400</f>
        <v>7.933340857222349E-4</v>
      </c>
      <c r="J30" s="2">
        <f xml:space="preserve"> 283.727512612801 / 86400</f>
        <v>3.2838832478333446E-3</v>
      </c>
      <c r="K30" s="23">
        <f xml:space="preserve"> 180.872896962558 / 86400</f>
        <v>2.0934363074370139E-3</v>
      </c>
      <c r="L30" s="2">
        <f xml:space="preserve"> 41.3195657743171 / 86400</f>
        <v>4.7823571498052198E-4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168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5" spans="4:6" x14ac:dyDescent="0.25">
      <c r="E35" s="12" t="s">
        <v>71</v>
      </c>
      <c r="F35" s="17" t="s">
        <v>73</v>
      </c>
    </row>
    <row r="36" spans="4:6" x14ac:dyDescent="0.25">
      <c r="D36" s="30"/>
      <c r="E36" t="s">
        <v>48</v>
      </c>
      <c r="F36" s="19">
        <f>(K14*86400)/60</f>
        <v>3.1162786809754333</v>
      </c>
    </row>
    <row r="37" spans="4:6" x14ac:dyDescent="0.25">
      <c r="D37" s="30"/>
      <c r="E37" t="s">
        <v>49</v>
      </c>
      <c r="F37" s="19">
        <f>(K15*86400)/60</f>
        <v>0.25125055807952168</v>
      </c>
    </row>
    <row r="38" spans="4:6" x14ac:dyDescent="0.25">
      <c r="D38" s="30"/>
      <c r="E38" s="18" t="s">
        <v>50</v>
      </c>
      <c r="F38" s="20">
        <f>(K16*86400)/60</f>
        <v>0.45033057465551335</v>
      </c>
    </row>
    <row r="39" spans="4:6" x14ac:dyDescent="0.25">
      <c r="E39" s="16" t="s">
        <v>72</v>
      </c>
      <c r="F39" s="21">
        <f>SUM(F36:F38)</f>
        <v>3.8178598137104682</v>
      </c>
    </row>
    <row r="40" spans="4:6" x14ac:dyDescent="0.25">
      <c r="F40" s="15"/>
    </row>
    <row r="41" spans="4:6" x14ac:dyDescent="0.25">
      <c r="F41" s="15"/>
    </row>
    <row r="42" spans="4:6" x14ac:dyDescent="0.25">
      <c r="E42" s="12" t="s">
        <v>71</v>
      </c>
      <c r="F42" s="17" t="s">
        <v>73</v>
      </c>
    </row>
    <row r="43" spans="4:6" x14ac:dyDescent="0.25">
      <c r="D43" s="29"/>
      <c r="E43" t="s">
        <v>51</v>
      </c>
      <c r="F43" s="19">
        <f t="shared" ref="F43:F48" si="1">(K17*86400)/60</f>
        <v>3.1279044569153833</v>
      </c>
    </row>
    <row r="44" spans="4:6" x14ac:dyDescent="0.25">
      <c r="D44" s="29"/>
      <c r="E44" t="s">
        <v>52</v>
      </c>
      <c r="F44" s="19">
        <f t="shared" si="1"/>
        <v>1.1505970662988068</v>
      </c>
    </row>
    <row r="45" spans="4:6" x14ac:dyDescent="0.25">
      <c r="D45" s="29"/>
      <c r="E45" t="s">
        <v>53</v>
      </c>
      <c r="F45" s="19">
        <f t="shared" si="1"/>
        <v>0.83895804479187497</v>
      </c>
    </row>
    <row r="46" spans="4:6" x14ac:dyDescent="0.25">
      <c r="D46" s="29"/>
      <c r="E46" t="s">
        <v>54</v>
      </c>
      <c r="F46" s="19">
        <f t="shared" si="1"/>
        <v>1.1598758628035835</v>
      </c>
    </row>
    <row r="47" spans="4:6" x14ac:dyDescent="0.25">
      <c r="D47" s="29"/>
      <c r="E47" t="s">
        <v>55</v>
      </c>
      <c r="F47" s="19">
        <f t="shared" si="1"/>
        <v>71.49435535380367</v>
      </c>
    </row>
    <row r="48" spans="4:6" x14ac:dyDescent="0.25">
      <c r="D48" s="29"/>
      <c r="E48" t="s">
        <v>56</v>
      </c>
      <c r="F48" s="19">
        <f t="shared" si="1"/>
        <v>25.071815434706998</v>
      </c>
    </row>
    <row r="49" spans="4:6" x14ac:dyDescent="0.25">
      <c r="D49" s="29"/>
      <c r="E49" t="s">
        <v>57</v>
      </c>
      <c r="F49" s="19">
        <f t="shared" ref="F49" si="2">(K23*86400)/60</f>
        <v>16.975820253725001</v>
      </c>
    </row>
    <row r="50" spans="4:6" x14ac:dyDescent="0.25">
      <c r="D50" s="29"/>
      <c r="E50" t="s">
        <v>58</v>
      </c>
      <c r="F50" s="19">
        <f>(K24*86400)/60</f>
        <v>0.49336589363313166</v>
      </c>
    </row>
    <row r="51" spans="4:6" x14ac:dyDescent="0.25">
      <c r="D51" s="29"/>
      <c r="E51" s="18" t="s">
        <v>59</v>
      </c>
      <c r="F51" s="20">
        <f>(K25*86400)/60</f>
        <v>8.8682816110022511</v>
      </c>
    </row>
    <row r="52" spans="4:6" x14ac:dyDescent="0.25">
      <c r="E52" s="16" t="s">
        <v>74</v>
      </c>
      <c r="F52" s="21">
        <f>SUM(F43:F51)</f>
        <v>129.18097397768071</v>
      </c>
    </row>
    <row r="53" spans="4:6" x14ac:dyDescent="0.25">
      <c r="F53" s="15"/>
    </row>
    <row r="54" spans="4:6" x14ac:dyDescent="0.25">
      <c r="F54" s="15"/>
    </row>
    <row r="55" spans="4:6" x14ac:dyDescent="0.25">
      <c r="E55" s="12" t="s">
        <v>75</v>
      </c>
      <c r="F55" s="17" t="s">
        <v>73</v>
      </c>
    </row>
    <row r="56" spans="4:6" x14ac:dyDescent="0.25">
      <c r="D56" s="28"/>
      <c r="E56" t="s">
        <v>55</v>
      </c>
      <c r="F56" s="19">
        <f>(K26*86400)/60</f>
        <v>9.5041091530633501</v>
      </c>
    </row>
    <row r="57" spans="4:6" x14ac:dyDescent="0.25">
      <c r="D57" s="28"/>
      <c r="E57" t="s">
        <v>56</v>
      </c>
      <c r="F57" s="19">
        <f>(K27*86400)/60</f>
        <v>6.9323645405699654</v>
      </c>
    </row>
    <row r="58" spans="4:6" x14ac:dyDescent="0.25">
      <c r="D58" s="28"/>
      <c r="E58" t="s">
        <v>57</v>
      </c>
      <c r="F58" s="19">
        <f>(K28*86400)/60</f>
        <v>66.817525965663179</v>
      </c>
    </row>
    <row r="59" spans="4:6" x14ac:dyDescent="0.25">
      <c r="D59" s="28"/>
      <c r="E59" t="s">
        <v>58</v>
      </c>
      <c r="F59" s="19">
        <f>(K29*86400)/60</f>
        <v>7.6353421565121664</v>
      </c>
    </row>
    <row r="60" spans="4:6" x14ac:dyDescent="0.25">
      <c r="D60" s="28"/>
      <c r="E60" s="18" t="s">
        <v>59</v>
      </c>
      <c r="F60" s="20">
        <f>(K30*86400)/60</f>
        <v>3.0145482827093</v>
      </c>
    </row>
    <row r="61" spans="4:6" x14ac:dyDescent="0.25">
      <c r="E61" s="16" t="s">
        <v>74</v>
      </c>
      <c r="F61" s="21">
        <f>SUM(F56:F60)</f>
        <v>93.903890098517962</v>
      </c>
    </row>
    <row r="62" spans="4:6" x14ac:dyDescent="0.25">
      <c r="F62" s="15"/>
    </row>
    <row r="63" spans="4:6" x14ac:dyDescent="0.25">
      <c r="F63" s="15"/>
    </row>
    <row r="64" spans="4:6" x14ac:dyDescent="0.25">
      <c r="F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BF2A-1F11-4E91-9093-4D86B456CAB6}">
  <dimension ref="A1:L70"/>
  <sheetViews>
    <sheetView tabSelected="1" topLeftCell="A7" workbookViewId="0">
      <selection activeCell="J38" sqref="J38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4"/>
    </row>
    <row r="2" spans="1:12" ht="18.75" x14ac:dyDescent="0.3">
      <c r="A2" s="44"/>
      <c r="B2" s="6" t="s">
        <v>16</v>
      </c>
    </row>
    <row r="3" spans="1:12" ht="17.25" x14ac:dyDescent="0.3">
      <c r="A3" s="44"/>
      <c r="B3" s="7" t="s">
        <v>66</v>
      </c>
    </row>
    <row r="4" spans="1:12" x14ac:dyDescent="0.25">
      <c r="A4" s="44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100231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168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168</v>
      </c>
      <c r="H14" s="9"/>
      <c r="I14" s="2">
        <f xml:space="preserve"> 71.5786341594433 / 86400</f>
        <v>8.2845641388244555E-4</v>
      </c>
      <c r="J14" s="2">
        <f xml:space="preserve"> 295.688655168139 / 86400</f>
        <v>3.4223223977793865E-3</v>
      </c>
      <c r="K14" s="27">
        <f xml:space="preserve"> 186.976720858526 / 86400</f>
        <v>2.1640824173440507E-3</v>
      </c>
      <c r="L14" s="2">
        <f xml:space="preserve"> 45.1219754891683 / 86400</f>
        <v>5.222450866801887E-4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168</v>
      </c>
      <c r="H15" s="9"/>
      <c r="I15" s="2">
        <f xml:space="preserve"> 5.04164436973699 / 86400</f>
        <v>5.8352365390474421E-5</v>
      </c>
      <c r="J15" s="2">
        <f xml:space="preserve"> 23.762928601244 / 86400</f>
        <v>2.7503389584773149E-4</v>
      </c>
      <c r="K15" s="27">
        <f xml:space="preserve"> 15.0750334847713 / 86400</f>
        <v>1.7447955422189004E-4</v>
      </c>
      <c r="L15" s="2">
        <f xml:space="preserve"> 4.41724155999602 / 86400</f>
        <v>5.1125481018472452E-5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168</v>
      </c>
      <c r="H16" s="9"/>
      <c r="I16" s="2">
        <f xml:space="preserve"> 14.197019797046 / 86400</f>
        <v>1.6431735876210648E-4</v>
      </c>
      <c r="J16" s="2">
        <f xml:space="preserve"> 39.870742161996 / 86400</f>
        <v>4.6146692317125001E-4</v>
      </c>
      <c r="K16" s="27">
        <f xml:space="preserve"> 27.0198344793308 / 86400</f>
        <v>3.1272956573299537E-4</v>
      </c>
      <c r="L16" s="2">
        <f xml:space="preserve"> 7.50510043256212 / 86400</f>
        <v>8.6864588339839358E-5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168</v>
      </c>
      <c r="H17" s="9"/>
      <c r="I17" s="2">
        <f xml:space="preserve"> 71.274804089452 / 86400</f>
        <v>8.249398621464352E-4</v>
      </c>
      <c r="J17" s="2">
        <f xml:space="preserve"> 386.444579352533 / 86400</f>
        <v>4.4727381869506134E-3</v>
      </c>
      <c r="K17" s="25">
        <f xml:space="preserve"> 187.674267414923 / 86400</f>
        <v>2.1721558728579051E-3</v>
      </c>
      <c r="L17" s="2">
        <f xml:space="preserve"> 71.0945290801868 / 86400</f>
        <v>8.2285334583549535E-4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336</v>
      </c>
      <c r="H18" s="9"/>
      <c r="I18" s="2">
        <f xml:space="preserve"> 14.810998534696 / 86400</f>
        <v>1.7142359415157405E-4</v>
      </c>
      <c r="J18" s="2">
        <f xml:space="preserve"> 136.54828252669 / 86400</f>
        <v>1.5804199366515046E-3</v>
      </c>
      <c r="K18" s="25">
        <f xml:space="preserve"> 69.0358239779284 / 86400</f>
        <v>7.9902574048528244E-4</v>
      </c>
      <c r="L18" s="2">
        <f xml:space="preserve"> 19.0693713604311 / 86400</f>
        <v>2.2071031667165623E-4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336</v>
      </c>
      <c r="H19" s="9"/>
      <c r="I19" s="2">
        <f xml:space="preserve"> 26.9182619992298 / 86400</f>
        <v>3.1155395832441896E-4</v>
      </c>
      <c r="J19" s="2">
        <f xml:space="preserve"> 78.619110102588 / 86400</f>
        <v>9.0994340396513887E-4</v>
      </c>
      <c r="K19" s="25">
        <f xml:space="preserve"> 50.3374826875125 / 86400</f>
        <v>5.8260975332769091E-4</v>
      </c>
      <c r="L19" s="2">
        <f xml:space="preserve"> 9.20647638561331 / 86400</f>
        <v>1.0655643964830221E-4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336</v>
      </c>
      <c r="H20" s="9"/>
      <c r="I20" s="2">
        <f xml:space="preserve"> 37.91838902371 / 86400</f>
        <v>4.3887024332997683E-4</v>
      </c>
      <c r="J20" s="2">
        <f xml:space="preserve"> 102.35552581183 / 86400</f>
        <v>1.1846704376369214E-3</v>
      </c>
      <c r="K20" s="25">
        <f xml:space="preserve"> 69.592551768215 / 86400</f>
        <v>8.0546934916915513E-4</v>
      </c>
      <c r="L20" s="2">
        <f xml:space="preserve"> 10.3126042407721 / 86400</f>
        <v>1.1935884537930671E-4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336</v>
      </c>
      <c r="H21" s="9"/>
      <c r="I21" s="2">
        <f xml:space="preserve"> 1093.79068637968 / 86400</f>
        <v>1.2659614425690741E-2</v>
      </c>
      <c r="J21" s="2">
        <f xml:space="preserve"> 8721.5741779239 / 86400</f>
        <v>0.10094414557782291</v>
      </c>
      <c r="K21" s="25">
        <f xml:space="preserve"> 4289.66132122822 / 86400</f>
        <v>4.9648857884585881E-2</v>
      </c>
      <c r="L21" s="2">
        <f xml:space="preserve"> 1690.57812221031 / 86400</f>
        <v>1.956687641447118E-2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53</v>
      </c>
      <c r="H22" s="9"/>
      <c r="I22" s="2">
        <f xml:space="preserve"> 746.4251320603 / 86400</f>
        <v>8.6391797692164356E-3</v>
      </c>
      <c r="J22" s="2">
        <f xml:space="preserve"> 2676.8146673828 / 86400</f>
        <v>3.098165124285648E-2</v>
      </c>
      <c r="K22" s="25">
        <f xml:space="preserve"> 1504.30892608242 / 86400</f>
        <v>1.741098294076875E-2</v>
      </c>
      <c r="L22" s="2">
        <f xml:space="preserve"> 467.222405575768 / 86400</f>
        <v>5.4076667312010183E-3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336</v>
      </c>
      <c r="H23" s="9"/>
      <c r="I23" s="2">
        <f xml:space="preserve"> 628.640972355701 / 86400</f>
        <v>7.2759371800428362E-3</v>
      </c>
      <c r="J23" s="2">
        <f xml:space="preserve"> 1677.75765152239 / 86400</f>
        <v>1.9418491337064699E-2</v>
      </c>
      <c r="K23" s="25">
        <f xml:space="preserve"> 1018.5492152235 / 86400</f>
        <v>1.1788764065086806E-2</v>
      </c>
      <c r="L23" s="2">
        <f xml:space="preserve"> 217.568701420681 / 86400</f>
        <v>2.5181562664430674E-3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336</v>
      </c>
      <c r="H24" s="9"/>
      <c r="I24" s="2">
        <f xml:space="preserve"> 8.18326292101983 / 86400</f>
        <v>9.4713691215507289E-5</v>
      </c>
      <c r="J24" s="2">
        <f xml:space="preserve"> 50.6839338468999 / 86400</f>
        <v>5.8661960470948954E-4</v>
      </c>
      <c r="K24" s="25">
        <f xml:space="preserve"> 29.6019536179879 / 86400</f>
        <v>3.4261520391189697E-4</v>
      </c>
      <c r="L24" s="2">
        <f xml:space="preserve"> 15.1999164815884 / 86400</f>
        <v>1.759249592776435E-4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336</v>
      </c>
      <c r="H25" s="9"/>
      <c r="I25" s="2">
        <f xml:space="preserve"> 133.692417295992 / 86400</f>
        <v>1.5473659409258331E-3</v>
      </c>
      <c r="J25" s="2">
        <f xml:space="preserve"> 1357.62966967415 / 86400</f>
        <v>1.5713306361969329E-2</v>
      </c>
      <c r="K25" s="25">
        <f xml:space="preserve"> 532.096896660135 / 86400</f>
        <v>6.1585288965293403E-3</v>
      </c>
      <c r="L25" s="2">
        <f xml:space="preserve"> 219.97140010519 / 86400</f>
        <v>2.5459652789952547E-3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168</v>
      </c>
      <c r="H26" s="9"/>
      <c r="I26" s="2">
        <f xml:space="preserve"> 310.820120920351 / 86400</f>
        <v>3.5974551032448027E-3</v>
      </c>
      <c r="J26" s="2">
        <f xml:space="preserve"> 829.674084091799 / 86400</f>
        <v>9.6027093066180444E-3</v>
      </c>
      <c r="K26" s="23">
        <f xml:space="preserve"> 570.246549183801 / 86400</f>
        <v>6.6000758007384377E-3</v>
      </c>
      <c r="L26" s="2">
        <f xml:space="preserve"> 112.160082523014 / 86400</f>
        <v>1.298149103275625E-3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168</v>
      </c>
      <c r="H27" s="9"/>
      <c r="I27" s="2">
        <f xml:space="preserve"> 256.907460513399 / 86400</f>
        <v>2.9734659781643401E-3</v>
      </c>
      <c r="J27" s="2">
        <f xml:space="preserve"> 632.846414133799 / 86400</f>
        <v>7.324611274696748E-3</v>
      </c>
      <c r="K27" s="23">
        <f xml:space="preserve"> 415.941872434198 / 86400</f>
        <v>4.8141420420624763E-3</v>
      </c>
      <c r="L27" s="2">
        <f xml:space="preserve"> 69.294882122778 / 86400</f>
        <v>8.0202409864326394E-4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168</v>
      </c>
      <c r="H28" s="9"/>
      <c r="I28" s="2">
        <f xml:space="preserve"> 2733.8662301646 / 86400</f>
        <v>3.1641970256534722E-2</v>
      </c>
      <c r="J28" s="2">
        <f xml:space="preserve"> 5247.3783465817 / 86400</f>
        <v>6.0733545678028932E-2</v>
      </c>
      <c r="K28" s="23">
        <f xml:space="preserve"> 4009.05155793979 / 86400</f>
        <v>4.6401059698377205E-2</v>
      </c>
      <c r="L28" s="2">
        <f xml:space="preserve"> 451.297441099422 / 86400</f>
        <v>5.2233500127247916E-3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168</v>
      </c>
      <c r="H29" s="9"/>
      <c r="I29" s="2">
        <f xml:space="preserve"> 343.076196310598 / 86400</f>
        <v>3.9707893091504394E-3</v>
      </c>
      <c r="J29" s="2">
        <f xml:space="preserve"> 667.235581936899 / 86400</f>
        <v>7.7226340501955907E-3</v>
      </c>
      <c r="K29" s="23">
        <f xml:space="preserve"> 458.12052939073 / 86400</f>
        <v>5.3023209420223379E-3</v>
      </c>
      <c r="L29" s="2">
        <f xml:space="preserve"> 50.3418919745435 / 86400</f>
        <v>5.8266078674240162E-4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168</v>
      </c>
      <c r="H30" s="9"/>
      <c r="I30" s="2">
        <f xml:space="preserve"> 68.5440650064011 / 86400</f>
        <v>7.933340857222349E-4</v>
      </c>
      <c r="J30" s="2">
        <f xml:space="preserve"> 283.727512612801 / 86400</f>
        <v>3.2838832478333446E-3</v>
      </c>
      <c r="K30" s="23">
        <f xml:space="preserve"> 180.872896962558 / 86400</f>
        <v>2.0934363074370139E-3</v>
      </c>
      <c r="L30" s="2">
        <f xml:space="preserve"> 41.3195657743171 / 86400</f>
        <v>4.7823571498052198E-4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168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82</v>
      </c>
      <c r="F35" s="17" t="s">
        <v>73</v>
      </c>
      <c r="G35" s="15" t="s">
        <v>76</v>
      </c>
      <c r="H35" s="15" t="s">
        <v>77</v>
      </c>
      <c r="I35" s="37" t="s">
        <v>78</v>
      </c>
      <c r="J35" s="15"/>
      <c r="K35" s="15"/>
      <c r="L35" s="15"/>
    </row>
    <row r="36" spans="4:12" x14ac:dyDescent="0.25">
      <c r="D36" s="30"/>
      <c r="E36" t="s">
        <v>48</v>
      </c>
      <c r="F36" s="19">
        <f>(K14*86400)/60</f>
        <v>3.1162786809754333</v>
      </c>
      <c r="G36" s="4">
        <v>168</v>
      </c>
      <c r="H36" s="38">
        <f>G36/168</f>
        <v>1</v>
      </c>
      <c r="I36" s="31">
        <f>F36*H36</f>
        <v>3.1162786809754333</v>
      </c>
      <c r="J36" s="15"/>
      <c r="K36" s="15"/>
      <c r="L36" s="15"/>
    </row>
    <row r="37" spans="4:12" x14ac:dyDescent="0.25">
      <c r="D37" s="30"/>
      <c r="E37" t="s">
        <v>49</v>
      </c>
      <c r="F37" s="19">
        <f>(K15*86400)/60</f>
        <v>0.25125055807952168</v>
      </c>
      <c r="G37" s="4">
        <v>168</v>
      </c>
      <c r="H37" s="38">
        <f>G37/168</f>
        <v>1</v>
      </c>
      <c r="I37" s="31">
        <f>F37*H37</f>
        <v>0.25125055807952168</v>
      </c>
      <c r="J37" s="15"/>
      <c r="K37" s="15"/>
      <c r="L37" s="15"/>
    </row>
    <row r="38" spans="4:12" x14ac:dyDescent="0.25">
      <c r="D38" s="30"/>
      <c r="E38" s="18" t="s">
        <v>50</v>
      </c>
      <c r="F38" s="20">
        <f>(K16*86400)/60</f>
        <v>0.45033057465551335</v>
      </c>
      <c r="G38" s="4">
        <v>168</v>
      </c>
      <c r="H38" s="38">
        <f t="shared" ref="H38:H60" si="0">G38/168</f>
        <v>1</v>
      </c>
      <c r="I38" s="42">
        <f>F38*H38</f>
        <v>0.45033057465551335</v>
      </c>
      <c r="J38" s="37" t="s">
        <v>85</v>
      </c>
      <c r="K38" s="15"/>
      <c r="L38" s="15"/>
    </row>
    <row r="39" spans="4:12" x14ac:dyDescent="0.25">
      <c r="E39" s="16" t="s">
        <v>72</v>
      </c>
      <c r="F39" s="21">
        <f>SUM(F36:F38)</f>
        <v>3.8178598137104682</v>
      </c>
      <c r="G39" s="15"/>
      <c r="H39" s="38"/>
      <c r="I39" s="32">
        <f>SUM(I36:I38)</f>
        <v>3.8178598137104682</v>
      </c>
      <c r="J39" s="15"/>
      <c r="K39" s="15"/>
      <c r="L39" s="15"/>
    </row>
    <row r="40" spans="4:12" x14ac:dyDescent="0.25">
      <c r="F40" s="15"/>
      <c r="G40" s="15"/>
      <c r="H40" s="38"/>
      <c r="I40" s="31"/>
      <c r="J40" s="15"/>
      <c r="K40" s="15"/>
      <c r="L40" s="15"/>
    </row>
    <row r="41" spans="4:12" x14ac:dyDescent="0.25">
      <c r="F41" s="15"/>
      <c r="G41" s="15"/>
      <c r="H41" s="38"/>
      <c r="I41" s="31"/>
      <c r="J41" s="15"/>
      <c r="K41" s="15"/>
      <c r="L41" s="15"/>
    </row>
    <row r="42" spans="4:12" x14ac:dyDescent="0.25">
      <c r="E42" s="12" t="s">
        <v>83</v>
      </c>
      <c r="F42" s="17" t="s">
        <v>73</v>
      </c>
      <c r="G42" s="15"/>
      <c r="H42" s="38"/>
      <c r="I42" s="31"/>
      <c r="J42" s="15"/>
      <c r="K42" s="15"/>
      <c r="L42" s="15"/>
    </row>
    <row r="43" spans="4:12" x14ac:dyDescent="0.25">
      <c r="D43" s="29"/>
      <c r="E43" t="s">
        <v>51</v>
      </c>
      <c r="F43" s="19">
        <f t="shared" ref="F43:F49" si="1">(K17*86400)/60</f>
        <v>3.1279044569153833</v>
      </c>
      <c r="G43" s="4">
        <v>168</v>
      </c>
      <c r="H43" s="38">
        <f t="shared" si="0"/>
        <v>1</v>
      </c>
      <c r="I43" s="31">
        <f t="shared" ref="I43:I51" si="2">F43*H43</f>
        <v>3.1279044569153833</v>
      </c>
      <c r="J43" s="15"/>
      <c r="K43" s="15"/>
      <c r="L43" s="15"/>
    </row>
    <row r="44" spans="4:12" x14ac:dyDescent="0.25">
      <c r="D44" s="29"/>
      <c r="E44" t="s">
        <v>52</v>
      </c>
      <c r="F44" s="19">
        <f t="shared" si="1"/>
        <v>1.1505970662988068</v>
      </c>
      <c r="G44" s="4">
        <v>336</v>
      </c>
      <c r="H44" s="38">
        <f t="shared" si="0"/>
        <v>2</v>
      </c>
      <c r="I44" s="31">
        <f t="shared" si="2"/>
        <v>2.3011941325976135</v>
      </c>
      <c r="J44" s="15"/>
      <c r="K44" s="15"/>
      <c r="L44" s="15"/>
    </row>
    <row r="45" spans="4:12" x14ac:dyDescent="0.25">
      <c r="D45" s="29"/>
      <c r="E45" t="s">
        <v>53</v>
      </c>
      <c r="F45" s="19">
        <f t="shared" si="1"/>
        <v>0.83895804479187497</v>
      </c>
      <c r="G45" s="4">
        <v>336</v>
      </c>
      <c r="H45" s="38">
        <f t="shared" si="0"/>
        <v>2</v>
      </c>
      <c r="I45" s="31">
        <f t="shared" si="2"/>
        <v>1.6779160895837499</v>
      </c>
      <c r="J45" s="15"/>
      <c r="K45" s="15"/>
      <c r="L45" s="15"/>
    </row>
    <row r="46" spans="4:12" x14ac:dyDescent="0.25">
      <c r="D46" s="29"/>
      <c r="E46" t="s">
        <v>54</v>
      </c>
      <c r="F46" s="19">
        <f t="shared" si="1"/>
        <v>1.1598758628035835</v>
      </c>
      <c r="G46" s="4">
        <v>336</v>
      </c>
      <c r="H46" s="38">
        <f t="shared" si="0"/>
        <v>2</v>
      </c>
      <c r="I46" s="31">
        <f t="shared" si="2"/>
        <v>2.3197517256071669</v>
      </c>
      <c r="J46" s="15"/>
      <c r="K46" s="15"/>
      <c r="L46" s="15"/>
    </row>
    <row r="47" spans="4:12" x14ac:dyDescent="0.25">
      <c r="D47" s="29"/>
      <c r="E47" t="s">
        <v>55</v>
      </c>
      <c r="F47" s="19">
        <f t="shared" si="1"/>
        <v>71.49435535380367</v>
      </c>
      <c r="G47" s="4">
        <v>336</v>
      </c>
      <c r="H47" s="38">
        <f t="shared" si="0"/>
        <v>2</v>
      </c>
      <c r="I47" s="31">
        <f t="shared" si="2"/>
        <v>142.98871070760734</v>
      </c>
      <c r="J47" s="15"/>
      <c r="K47" s="15"/>
      <c r="L47" s="15"/>
    </row>
    <row r="48" spans="4:12" x14ac:dyDescent="0.25">
      <c r="D48" s="29"/>
      <c r="E48" t="s">
        <v>56</v>
      </c>
      <c r="F48" s="19">
        <f t="shared" si="1"/>
        <v>25.071815434706998</v>
      </c>
      <c r="G48" s="4">
        <v>53</v>
      </c>
      <c r="H48" s="15">
        <f t="shared" si="0"/>
        <v>0.31547619047619047</v>
      </c>
      <c r="I48" s="31">
        <f t="shared" si="2"/>
        <v>7.9095608216635167</v>
      </c>
      <c r="J48" s="15"/>
      <c r="K48" s="15"/>
      <c r="L48" s="15"/>
    </row>
    <row r="49" spans="4:12" x14ac:dyDescent="0.25">
      <c r="D49" s="29"/>
      <c r="E49" t="s">
        <v>57</v>
      </c>
      <c r="F49" s="19">
        <f t="shared" si="1"/>
        <v>16.975820253725001</v>
      </c>
      <c r="G49" s="4">
        <v>336</v>
      </c>
      <c r="H49" s="38">
        <f t="shared" si="0"/>
        <v>2</v>
      </c>
      <c r="I49" s="31">
        <f t="shared" si="2"/>
        <v>33.951640507450001</v>
      </c>
      <c r="J49" s="15"/>
      <c r="K49" s="15"/>
      <c r="L49" s="15"/>
    </row>
    <row r="50" spans="4:12" x14ac:dyDescent="0.25">
      <c r="D50" s="29"/>
      <c r="E50" t="s">
        <v>58</v>
      </c>
      <c r="F50" s="19">
        <f>(K24*86400)/60</f>
        <v>0.49336589363313166</v>
      </c>
      <c r="G50" s="4">
        <v>336</v>
      </c>
      <c r="H50" s="38">
        <f t="shared" si="0"/>
        <v>2</v>
      </c>
      <c r="I50" s="31">
        <f t="shared" si="2"/>
        <v>0.98673178726626332</v>
      </c>
      <c r="J50" s="15"/>
      <c r="K50" s="15"/>
      <c r="L50" s="15"/>
    </row>
    <row r="51" spans="4:12" x14ac:dyDescent="0.25">
      <c r="D51" s="29"/>
      <c r="E51" s="18" t="s">
        <v>59</v>
      </c>
      <c r="F51" s="20">
        <f>(K25*86400)/60</f>
        <v>8.8682816110022511</v>
      </c>
      <c r="G51" s="4">
        <v>336</v>
      </c>
      <c r="H51" s="38">
        <f t="shared" si="0"/>
        <v>2</v>
      </c>
      <c r="I51" s="39">
        <f t="shared" si="2"/>
        <v>17.736563222004502</v>
      </c>
      <c r="J51" s="15"/>
      <c r="K51" s="15"/>
      <c r="L51" s="15"/>
    </row>
    <row r="52" spans="4:12" x14ac:dyDescent="0.25">
      <c r="E52" s="16" t="s">
        <v>74</v>
      </c>
      <c r="F52" s="21">
        <f>SUM(F43:F51)</f>
        <v>129.18097397768071</v>
      </c>
      <c r="G52" s="15"/>
      <c r="H52" s="38"/>
      <c r="I52" s="32">
        <f>SUM(I43:I51)</f>
        <v>212.99997345069553</v>
      </c>
      <c r="J52" s="15"/>
      <c r="K52" s="15"/>
      <c r="L52" s="15"/>
    </row>
    <row r="53" spans="4:12" x14ac:dyDescent="0.25">
      <c r="F53" s="15"/>
      <c r="G53" s="15"/>
      <c r="H53" s="38"/>
      <c r="I53" s="31"/>
      <c r="J53" s="15"/>
      <c r="K53" s="15"/>
      <c r="L53" s="15"/>
    </row>
    <row r="54" spans="4:12" x14ac:dyDescent="0.25">
      <c r="F54" s="15"/>
      <c r="G54" s="15"/>
      <c r="H54" s="38"/>
      <c r="I54" s="31"/>
      <c r="J54" s="15"/>
      <c r="K54" s="15"/>
      <c r="L54" s="15"/>
    </row>
    <row r="55" spans="4:12" x14ac:dyDescent="0.25">
      <c r="E55" s="12" t="s">
        <v>75</v>
      </c>
      <c r="F55" s="17" t="s">
        <v>73</v>
      </c>
      <c r="G55" s="15"/>
      <c r="H55" s="38"/>
      <c r="I55" s="31"/>
      <c r="J55" s="15"/>
      <c r="K55" s="15"/>
      <c r="L55" s="15"/>
    </row>
    <row r="56" spans="4:12" x14ac:dyDescent="0.25">
      <c r="D56" s="28"/>
      <c r="E56" t="s">
        <v>60</v>
      </c>
      <c r="F56" s="19">
        <f>(K26*86400)/60</f>
        <v>9.5041091530633501</v>
      </c>
      <c r="G56" s="4">
        <v>168</v>
      </c>
      <c r="H56" s="38">
        <f t="shared" si="0"/>
        <v>1</v>
      </c>
      <c r="I56" s="31">
        <f>F56*H56</f>
        <v>9.5041091530633501</v>
      </c>
      <c r="J56" s="15"/>
      <c r="K56" s="15"/>
      <c r="L56" s="15"/>
    </row>
    <row r="57" spans="4:12" x14ac:dyDescent="0.25">
      <c r="D57" s="28"/>
      <c r="E57" t="s">
        <v>61</v>
      </c>
      <c r="F57" s="19">
        <f>(K27*86400)/60</f>
        <v>6.9323645405699654</v>
      </c>
      <c r="G57" s="4">
        <v>168</v>
      </c>
      <c r="H57" s="38">
        <f t="shared" si="0"/>
        <v>1</v>
      </c>
      <c r="I57" s="31">
        <f>F57*H57</f>
        <v>6.9323645405699654</v>
      </c>
      <c r="J57" s="15"/>
      <c r="K57" s="15"/>
      <c r="L57" s="15"/>
    </row>
    <row r="58" spans="4:12" x14ac:dyDescent="0.25">
      <c r="D58" s="28"/>
      <c r="E58" t="s">
        <v>62</v>
      </c>
      <c r="F58" s="19">
        <f>(K28*86400)/60</f>
        <v>66.817525965663179</v>
      </c>
      <c r="G58" s="4">
        <v>168</v>
      </c>
      <c r="H58" s="38">
        <f t="shared" si="0"/>
        <v>1</v>
      </c>
      <c r="I58" s="31">
        <f>F58*H58</f>
        <v>66.817525965663179</v>
      </c>
      <c r="J58" s="15"/>
      <c r="K58" s="15"/>
      <c r="L58" s="15"/>
    </row>
    <row r="59" spans="4:12" x14ac:dyDescent="0.25">
      <c r="D59" s="28"/>
      <c r="E59" t="s">
        <v>63</v>
      </c>
      <c r="F59" s="19">
        <f>(K29*86400)/60</f>
        <v>7.6353421565121664</v>
      </c>
      <c r="G59" s="4">
        <v>168</v>
      </c>
      <c r="H59" s="38">
        <f t="shared" si="0"/>
        <v>1</v>
      </c>
      <c r="I59" s="31">
        <f>F59*H59</f>
        <v>7.6353421565121664</v>
      </c>
      <c r="J59" s="15"/>
      <c r="K59" s="15"/>
      <c r="L59" s="15"/>
    </row>
    <row r="60" spans="4:12" x14ac:dyDescent="0.25">
      <c r="D60" s="28"/>
      <c r="E60" s="18" t="s">
        <v>64</v>
      </c>
      <c r="F60" s="20">
        <f>(K30*86400)/60</f>
        <v>3.0145482827093</v>
      </c>
      <c r="G60" s="4">
        <v>168</v>
      </c>
      <c r="H60" s="38">
        <f t="shared" si="0"/>
        <v>1</v>
      </c>
      <c r="I60" s="39">
        <f>F60*H60</f>
        <v>3.0145482827093</v>
      </c>
      <c r="J60" s="15"/>
      <c r="K60" s="15"/>
      <c r="L60" s="15"/>
    </row>
    <row r="61" spans="4:12" x14ac:dyDescent="0.25">
      <c r="E61" s="16" t="s">
        <v>74</v>
      </c>
      <c r="F61" s="21">
        <f>SUM(F56:F60)</f>
        <v>93.903890098517962</v>
      </c>
      <c r="G61" s="15"/>
      <c r="H61" s="15"/>
      <c r="I61" s="32">
        <f>SUM(I56:I60)</f>
        <v>93.903890098517962</v>
      </c>
      <c r="J61" s="15"/>
      <c r="K61" s="15"/>
      <c r="L61" s="15"/>
    </row>
    <row r="62" spans="4:12" x14ac:dyDescent="0.25">
      <c r="F62" s="15"/>
      <c r="G62" s="15"/>
      <c r="H62" s="15"/>
      <c r="I62" s="31"/>
      <c r="J62" s="15"/>
      <c r="K62" s="15"/>
      <c r="L62" s="15"/>
    </row>
    <row r="63" spans="4:12" x14ac:dyDescent="0.25">
      <c r="F63" s="15"/>
      <c r="G63" s="15"/>
      <c r="H63" s="15"/>
      <c r="I63" s="31"/>
      <c r="J63" s="15"/>
      <c r="K63" s="15"/>
      <c r="L63" s="15"/>
    </row>
    <row r="64" spans="4:12" x14ac:dyDescent="0.25">
      <c r="D64" s="41"/>
      <c r="E64" s="16" t="s">
        <v>81</v>
      </c>
      <c r="F64" s="37">
        <f>I52+SUM(I56:I59)</f>
        <v>303.88931526650418</v>
      </c>
      <c r="G64" s="15"/>
      <c r="H64" s="40" t="s">
        <v>79</v>
      </c>
      <c r="I64" s="35">
        <f>I39+I52+I61</f>
        <v>310.72172336292397</v>
      </c>
      <c r="J64" s="15"/>
      <c r="K64" s="15"/>
      <c r="L64" s="15"/>
    </row>
    <row r="65" spans="4:6" x14ac:dyDescent="0.25">
      <c r="F65" s="15"/>
    </row>
    <row r="66" spans="4:6" x14ac:dyDescent="0.25">
      <c r="D66" s="43"/>
      <c r="E66" s="16" t="s">
        <v>84</v>
      </c>
      <c r="F66" s="32">
        <f>I52+I61</f>
        <v>306.9038635492135</v>
      </c>
    </row>
    <row r="67" spans="4:6" x14ac:dyDescent="0.25">
      <c r="F67" s="15"/>
    </row>
    <row r="68" spans="4:6" x14ac:dyDescent="0.25">
      <c r="F68" s="15"/>
    </row>
    <row r="69" spans="4:6" x14ac:dyDescent="0.25">
      <c r="F69" s="15"/>
    </row>
    <row r="70" spans="4:6" x14ac:dyDescent="0.25">
      <c r="F70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2025-05-10T04:25:16Z</dcterms:created>
  <dcterms:modified xsi:type="dcterms:W3CDTF">2025-06-03T04:49:39Z</dcterms:modified>
</cp:coreProperties>
</file>