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64EBA166-7AD6-463E-ABC5-BB890A8C85E3}" xr6:coauthVersionLast="47" xr6:coauthVersionMax="47" xr10:uidLastSave="{00000000-0000-0000-0000-000000000000}"/>
  <bookViews>
    <workbookView xWindow="-120" yWindow="-120" windowWidth="51840" windowHeight="21120" activeTab="2" xr2:uid="{086A317E-6B58-48CF-B594-751694D5B2F8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3" l="1"/>
  <c r="I64" i="3"/>
  <c r="H38" i="3"/>
  <c r="H43" i="3"/>
  <c r="H44" i="3"/>
  <c r="H45" i="3"/>
  <c r="I45" i="3" s="1"/>
  <c r="H46" i="3"/>
  <c r="H47" i="3"/>
  <c r="H48" i="3"/>
  <c r="I48" i="3" s="1"/>
  <c r="H49" i="3"/>
  <c r="I49" i="3" s="1"/>
  <c r="H50" i="3"/>
  <c r="H51" i="3"/>
  <c r="I51" i="3" s="1"/>
  <c r="H56" i="3"/>
  <c r="H57" i="3"/>
  <c r="I57" i="3" s="1"/>
  <c r="H58" i="3"/>
  <c r="H59" i="3"/>
  <c r="I59" i="3" s="1"/>
  <c r="H60" i="3"/>
  <c r="I60" i="3" s="1"/>
  <c r="H37" i="3"/>
  <c r="I37" i="3" s="1"/>
  <c r="H36" i="3"/>
  <c r="I36" i="3" s="1"/>
  <c r="I58" i="3"/>
  <c r="I56" i="3"/>
  <c r="I50" i="3"/>
  <c r="I47" i="3"/>
  <c r="I46" i="3"/>
  <c r="I44" i="3"/>
  <c r="I43" i="3"/>
  <c r="I38" i="3"/>
  <c r="D16" i="1"/>
  <c r="F38" i="3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F57" i="3" s="1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J16" i="3"/>
  <c r="I16" i="3"/>
  <c r="L15" i="3"/>
  <c r="K15" i="3"/>
  <c r="F37" i="3" s="1"/>
  <c r="J15" i="3"/>
  <c r="I15" i="3"/>
  <c r="L14" i="3"/>
  <c r="K14" i="3"/>
  <c r="F36" i="3" s="1"/>
  <c r="J14" i="3"/>
  <c r="I14" i="3"/>
  <c r="L13" i="3"/>
  <c r="K13" i="3"/>
  <c r="J13" i="3"/>
  <c r="I13" i="3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39" i="3" l="1"/>
  <c r="I61" i="3"/>
  <c r="I52" i="3"/>
  <c r="F39" i="3"/>
  <c r="F61" i="3"/>
  <c r="F52" i="3"/>
</calcChain>
</file>

<file path=xl/sharedStrings.xml><?xml version="1.0" encoding="utf-8"?>
<sst xmlns="http://schemas.openxmlformats.org/spreadsheetml/2006/main" count="305" uniqueCount="84">
  <si>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</si>
  <si>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</si>
  <si>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</si>
  <si>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</si>
  <si>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</si>
  <si>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</si>
  <si>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</si>
  <si>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</si>
  <si>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</si>
  <si>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</si>
  <si>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</si>
  <si>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</si>
  <si>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</si>
  <si>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</si>
  <si>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</si>
  <si>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</si>
  <si>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</si>
  <si>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</si>
  <si>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</si>
  <si>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</si>
  <si>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</si>
  <si>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</si>
  <si>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</si>
  <si>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</si>
  <si>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</si>
  <si>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</si>
  <si>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</si>
  <si>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</si>
  <si>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</si>
  <si>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</si>
  <si>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</si>
  <si>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</si>
  <si>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</si>
  <si>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</si>
  <si>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</si>
  <si>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</si>
  <si>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</si>
  <si>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</si>
  <si>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</si>
  <si>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</si>
  <si>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</si>
  <si>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</si>
  <si>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</si>
  <si>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</si>
  <si>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</si>
  <si>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</si>
  <si>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</si>
  <si>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</si>
  <si>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</si>
  <si>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</si>
  <si>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</si>
  <si>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</si>
  <si>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</si>
  <si>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</si>
  <si>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</si>
  <si>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</si>
  <si>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</si>
  <si>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</si>
  <si>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</si>
  <si>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</si>
  <si>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</si>
  <si>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</si>
  <si>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</si>
  <si>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</si>
  <si>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</si>
  <si>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</si>
  <si>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</si>
  <si>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</si>
  <si>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</si>
  <si>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</si>
  <si>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22</t>
  </si>
  <si>
    <t>Satellite Contact Window Requirement</t>
  </si>
  <si>
    <t>Mean (Minutes)</t>
  </si>
  <si>
    <t>Image Processing and Analysis</t>
  </si>
  <si>
    <t>Group 1 - Task Name</t>
  </si>
  <si>
    <t>Group 2 - Task Name</t>
  </si>
  <si>
    <t>Group 3 - Task Name</t>
  </si>
  <si>
    <t>(minutes)</t>
  </si>
  <si>
    <t># of Simulations</t>
  </si>
  <si>
    <t># of Repetitions</t>
  </si>
  <si>
    <t>Sum of Mean (Minutes)</t>
  </si>
  <si>
    <t>Total Sim. Time</t>
  </si>
  <si>
    <t>Analytical Tasks Requiring Accuracy - Mean (Minutes)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</si>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</sst>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hh]:mm:ss.00"/>
    <numFmt numFmtId="165" formatCode="0\ "/>
    <numFmt numFmtId="166" formatCode="0.000000"/>
    <numFmt numFmtId="167" formatCode="0.0000"/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166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0" fillId="0" borderId="1" xfId="0" applyBorder="1"/>
    <xf numFmtId="166" fontId="0" fillId="0" borderId="1" xfId="0" applyNumberFormat="1" applyBorder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167" fontId="0" fillId="0" borderId="0" xfId="0" applyNumberFormat="1"/>
    <xf numFmtId="167" fontId="1" fillId="0" borderId="0" xfId="0" applyNumberFormat="1" applyFont="1"/>
    <xf numFmtId="49" fontId="1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7" fontId="1" fillId="5" borderId="0" xfId="0" applyNumberFormat="1" applyFont="1" applyFill="1"/>
    <xf numFmtId="0" fontId="1" fillId="5" borderId="0" xfId="0" applyFont="1" applyFill="1"/>
    <xf numFmtId="2" fontId="1" fillId="0" borderId="0" xfId="0" applyNumberFormat="1" applyFont="1"/>
    <xf numFmtId="168" fontId="0" fillId="0" borderId="0" xfId="0" applyNumberFormat="1"/>
    <xf numFmtId="1" fontId="0" fillId="0" borderId="0" xfId="0" applyNumberFormat="1"/>
    <xf numFmtId="167" fontId="0" fillId="0" borderId="1" xfId="0" applyNumberFormat="1" applyBorder="1"/>
    <xf numFmtId="2" fontId="1" fillId="5" borderId="0" xfId="0" applyNumberFormat="1" applyFont="1" applyFill="1"/>
    <xf numFmtId="0" fontId="0" fillId="6" borderId="0" xfId="0" applyFill="1"/>
    <xf numFmtId="167" fontId="0" fillId="5" borderId="1" xfId="0" applyNumberForma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A901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A901.tmp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A901.tmp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74A3B5-1FB6-C44D-1BEF-21BCA826A1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1035050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704F37-D4F9-1E67-657F-813612D970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1035050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13FCE2-9B23-4767-ADE2-930260DF8E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1550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41F2-FCFD-46C6-A5DC-DD0BFE03FAF5}">
  <dimension ref="A1:E30"/>
  <sheetViews>
    <sheetView workbookViewId="0">
      <selection activeCell="C54" sqref="C54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6.28515625" customWidth="1"/>
  </cols>
  <sheetData>
    <row r="1" spans="1:5" x14ac:dyDescent="0.25">
      <c r="A1" s="44"/>
    </row>
    <row r="2" spans="1:5" ht="18.75" x14ac:dyDescent="0.3">
      <c r="A2" s="44"/>
      <c r="B2" s="6" t="s">
        <v>16</v>
      </c>
    </row>
    <row r="3" spans="1:5" ht="17.25" x14ac:dyDescent="0.3">
      <c r="A3" s="44"/>
      <c r="B3" s="7" t="s">
        <v>17</v>
      </c>
    </row>
    <row r="4" spans="1:5" x14ac:dyDescent="0.25">
      <c r="A4" s="44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99897</v>
      </c>
    </row>
    <row r="10" spans="1:5" x14ac:dyDescent="0.25">
      <c r="A10" s="5" t="s">
        <v>21</v>
      </c>
      <c r="B10" s="8">
        <v>25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60104.1494100609 / 86400</f>
        <v>0.69564987743126039</v>
      </c>
    </row>
    <row r="15" spans="1:5" x14ac:dyDescent="0.25">
      <c r="B15" s="1" t="s">
        <v>2</v>
      </c>
      <c r="C15" s="2">
        <f xml:space="preserve"> 94988.23640938 / 86400</f>
        <v>1.099400884367824</v>
      </c>
    </row>
    <row r="16" spans="1:5" x14ac:dyDescent="0.25">
      <c r="B16" s="33" t="s">
        <v>3</v>
      </c>
      <c r="C16" s="34">
        <f xml:space="preserve"> 74833.6888668283 / 86400</f>
        <v>0.8661306581808832</v>
      </c>
      <c r="D16" s="35">
        <f>(C16*86400)/60</f>
        <v>1247.2281477804718</v>
      </c>
      <c r="E16" s="36" t="s">
        <v>77</v>
      </c>
    </row>
    <row r="17" spans="2:3" x14ac:dyDescent="0.25">
      <c r="B17" s="1" t="s">
        <v>4</v>
      </c>
      <c r="C17" s="2">
        <f xml:space="preserve"> 7325.84704752824 / 86400</f>
        <v>8.4789896383428709E-2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B3DE-801C-4BE7-AA3E-99FB9906A1F6}">
  <dimension ref="A1:X45"/>
  <sheetViews>
    <sheetView workbookViewId="0">
      <selection activeCell="E39" sqref="E39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3" bestFit="1" customWidth="1"/>
    <col min="6" max="6" width="14.8554687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4"/>
    </row>
    <row r="2" spans="1:24" ht="18.75" x14ac:dyDescent="0.3">
      <c r="A2" s="44"/>
      <c r="B2" s="6" t="s">
        <v>16</v>
      </c>
    </row>
    <row r="3" spans="1:24" ht="17.25" x14ac:dyDescent="0.3">
      <c r="A3" s="44"/>
      <c r="B3" s="7" t="s">
        <v>66</v>
      </c>
    </row>
    <row r="4" spans="1:24" x14ac:dyDescent="0.25">
      <c r="A4" s="44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99897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5" t="s">
        <v>22</v>
      </c>
      <c r="C11" s="46"/>
      <c r="D11" s="45" t="s">
        <v>23</v>
      </c>
      <c r="E11" s="46"/>
      <c r="F11" s="47" t="s">
        <v>24</v>
      </c>
      <c r="I11" s="45" t="s">
        <v>25</v>
      </c>
      <c r="J11" s="46"/>
      <c r="K11" s="46"/>
      <c r="L11" s="46"/>
      <c r="M11" s="46"/>
      <c r="N11" s="49" t="s">
        <v>26</v>
      </c>
      <c r="P11" s="45" t="s">
        <v>27</v>
      </c>
      <c r="Q11" s="46"/>
      <c r="R11" s="46"/>
      <c r="S11" s="46"/>
      <c r="T11" s="49" t="s">
        <v>28</v>
      </c>
      <c r="V11" s="45" t="s">
        <v>29</v>
      </c>
      <c r="W11" s="46"/>
      <c r="X11" s="46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8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50"/>
      <c r="P12" s="12" t="s">
        <v>38</v>
      </c>
      <c r="Q12" s="12" t="s">
        <v>39</v>
      </c>
      <c r="R12" s="12" t="s">
        <v>40</v>
      </c>
      <c r="S12" s="12" t="s">
        <v>37</v>
      </c>
      <c r="T12" s="50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25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9" t="s">
        <v>48</v>
      </c>
      <c r="F14" s="9" t="s">
        <v>46</v>
      </c>
      <c r="G14" s="4">
        <v>25</v>
      </c>
      <c r="H14" s="9"/>
      <c r="I14" s="2">
        <f xml:space="preserve"> 98.2902884629044 / 86400</f>
        <v>1.137619079431764E-3</v>
      </c>
      <c r="J14" s="2">
        <f xml:space="preserve"> 308.340186207714 / 86400</f>
        <v>3.5687521551818749E-3</v>
      </c>
      <c r="K14" s="2">
        <f xml:space="preserve"> 194.041208759621 / 86400</f>
        <v>2.2458473236067244E-3</v>
      </c>
      <c r="L14" s="2">
        <f xml:space="preserve"> 52.672128279249 / 86400</f>
        <v>6.0963111434315974E-4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0</v>
      </c>
      <c r="R14" s="14">
        <v>0</v>
      </c>
      <c r="S14" s="3">
        <v>0</v>
      </c>
      <c r="T14" s="3">
        <v>100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9" t="s">
        <v>49</v>
      </c>
      <c r="F15" s="9" t="s">
        <v>46</v>
      </c>
      <c r="G15" s="4">
        <v>25</v>
      </c>
      <c r="H15" s="9"/>
      <c r="I15" s="2">
        <f xml:space="preserve"> 8.27146253840601 / 86400</f>
        <v>9.5734520120439924E-5</v>
      </c>
      <c r="J15" s="2">
        <f xml:space="preserve"> 24.156568790858 / 86400</f>
        <v>2.7958991656085646E-4</v>
      </c>
      <c r="K15" s="2">
        <f xml:space="preserve"> 15.5659312761416 / 86400</f>
        <v>1.8016124162200926E-4</v>
      </c>
      <c r="L15" s="2">
        <f xml:space="preserve"> 4.47674430166157 / 86400</f>
        <v>5.1814170158120018E-5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9" t="s">
        <v>50</v>
      </c>
      <c r="F16" s="9" t="s">
        <v>46</v>
      </c>
      <c r="G16" s="4">
        <v>25</v>
      </c>
      <c r="H16" s="9"/>
      <c r="I16" s="2">
        <f xml:space="preserve"> 19.893282422566 / 86400</f>
        <v>2.3024632433525462E-4</v>
      </c>
      <c r="J16" s="2">
        <f xml:space="preserve"> 44.840532513637 / 86400</f>
        <v>5.1898764483376163E-4</v>
      </c>
      <c r="K16" s="2">
        <f xml:space="preserve"> 32.5693073339034 / 86400</f>
        <v>3.7695957562388195E-4</v>
      </c>
      <c r="L16" s="2">
        <f xml:space="preserve"> 7.55625044153692 / 86400</f>
        <v>8.7456602332603239E-5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9" t="s">
        <v>51</v>
      </c>
      <c r="F17" s="9" t="s">
        <v>46</v>
      </c>
      <c r="G17" s="4">
        <v>25</v>
      </c>
      <c r="H17" s="9"/>
      <c r="I17" s="2">
        <f xml:space="preserve"> 85.594561874402 / 86400</f>
        <v>9.9067779947224549E-4</v>
      </c>
      <c r="J17" s="2">
        <f xml:space="preserve"> 347.55893368945 / 86400</f>
        <v>4.0226728436278929E-3</v>
      </c>
      <c r="K17" s="2">
        <f xml:space="preserve"> 178.677202917016 / 86400</f>
        <v>2.0680231819099073E-3</v>
      </c>
      <c r="L17" s="2">
        <f xml:space="preserve"> 62.9019162919614 / 86400</f>
        <v>7.2803143856436806E-4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9" t="s">
        <v>52</v>
      </c>
      <c r="F18" s="9" t="s">
        <v>46</v>
      </c>
      <c r="G18" s="4">
        <v>275</v>
      </c>
      <c r="H18" s="9"/>
      <c r="I18" s="2">
        <f xml:space="preserve"> 21.7653161285998 / 86400</f>
        <v>2.5191338111805323E-4</v>
      </c>
      <c r="J18" s="2">
        <f xml:space="preserve"> 122.116279535991 / 86400</f>
        <v>1.4133828649998958E-3</v>
      </c>
      <c r="K18" s="2">
        <f xml:space="preserve"> 68.9654841652041 / 86400</f>
        <v>7.982116222824549E-4</v>
      </c>
      <c r="L18" s="2">
        <f xml:space="preserve"> 18.7568227903121 / 86400</f>
        <v>2.1709285636935301E-4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9" t="s">
        <v>53</v>
      </c>
      <c r="F19" s="9" t="s">
        <v>46</v>
      </c>
      <c r="G19" s="4">
        <v>275</v>
      </c>
      <c r="H19" s="9"/>
      <c r="I19" s="2">
        <f xml:space="preserve"> 24.0118989660987 / 86400</f>
        <v>2.7791549729280903E-4</v>
      </c>
      <c r="J19" s="2">
        <f xml:space="preserve"> 75.9852647096996 / 86400</f>
        <v>8.794590822881899E-4</v>
      </c>
      <c r="K19" s="2">
        <f xml:space="preserve"> 50.427385244011 / 86400</f>
        <v>5.8365029217605322E-4</v>
      </c>
      <c r="L19" s="2">
        <f xml:space="preserve"> 9.29227191754811 / 86400</f>
        <v>1.0754944349014016E-4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9" t="s">
        <v>54</v>
      </c>
      <c r="F20" s="9" t="s">
        <v>46</v>
      </c>
      <c r="G20" s="4">
        <v>275</v>
      </c>
      <c r="H20" s="9"/>
      <c r="I20" s="2">
        <f xml:space="preserve"> 40.1590891346932 / 86400</f>
        <v>4.6480427239228237E-4</v>
      </c>
      <c r="J20" s="2">
        <f xml:space="preserve"> 107.754162853002 / 86400</f>
        <v>1.247154662650486E-3</v>
      </c>
      <c r="K20" s="2">
        <f xml:space="preserve"> 70.5720016148335 / 86400</f>
        <v>8.1680557424575802E-4</v>
      </c>
      <c r="L20" s="2">
        <f xml:space="preserve"> 11.2112668054082 / 86400</f>
        <v>1.2976003247000233E-4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9" t="s">
        <v>55</v>
      </c>
      <c r="F21" s="9" t="s">
        <v>46</v>
      </c>
      <c r="G21" s="4">
        <v>275</v>
      </c>
      <c r="H21" s="9"/>
      <c r="I21" s="2">
        <f xml:space="preserve"> 748.350759025501 / 86400</f>
        <v>8.6614671183507068E-3</v>
      </c>
      <c r="J21" s="2">
        <f xml:space="preserve"> 9085.5227554053 / 86400</f>
        <v>0.10515651337274652</v>
      </c>
      <c r="K21" s="2">
        <f xml:space="preserve"> 4176.73107141436 / 86400</f>
        <v>4.8341794808036569E-2</v>
      </c>
      <c r="L21" s="2">
        <f xml:space="preserve"> 1718.62534843554 / 86400</f>
        <v>1.9891497088374305E-2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9" t="s">
        <v>56</v>
      </c>
      <c r="F22" s="9" t="s">
        <v>46</v>
      </c>
      <c r="G22" s="4">
        <v>45</v>
      </c>
      <c r="H22" s="9"/>
      <c r="I22" s="2">
        <f xml:space="preserve"> 725.907009088 / 86400</f>
        <v>8.4017014940740743E-3</v>
      </c>
      <c r="J22" s="2">
        <f xml:space="preserve"> 2355.7362203613 / 86400</f>
        <v>2.7265465513440973E-2</v>
      </c>
      <c r="K22" s="2">
        <f xml:space="preserve"> 1486.88618170565 / 86400</f>
        <v>1.7209330806778354E-2</v>
      </c>
      <c r="L22" s="2">
        <f xml:space="preserve"> 450.443665621593 / 86400</f>
        <v>5.2134683521017711E-3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9" t="s">
        <v>57</v>
      </c>
      <c r="F23" s="9" t="s">
        <v>46</v>
      </c>
      <c r="G23" s="4">
        <v>275</v>
      </c>
      <c r="H23" s="9"/>
      <c r="I23" s="2">
        <f xml:space="preserve"> 617.768471245203 / 86400</f>
        <v>7.1500980468194794E-3</v>
      </c>
      <c r="J23" s="2">
        <f xml:space="preserve"> 1625.94850577017 / 86400</f>
        <v>1.8818848446414006E-2</v>
      </c>
      <c r="K23" s="2">
        <f xml:space="preserve"> 998.600814904279 / 86400</f>
        <v>1.1557879802132858E-2</v>
      </c>
      <c r="L23" s="2">
        <f xml:space="preserve"> 214.941163435834 / 86400</f>
        <v>2.4877449471740047E-3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9" t="s">
        <v>58</v>
      </c>
      <c r="F24" s="9" t="s">
        <v>46</v>
      </c>
      <c r="G24" s="4">
        <v>275</v>
      </c>
      <c r="H24" s="9"/>
      <c r="I24" s="2">
        <f xml:space="preserve"> 8.13227530855011 / 86400</f>
        <v>9.4123556811922572E-5</v>
      </c>
      <c r="J24" s="2">
        <f xml:space="preserve"> 192.454393746797 / 86400</f>
        <v>2.2274814091064465E-3</v>
      </c>
      <c r="K24" s="2">
        <f xml:space="preserve"> 92.1612268650333 / 86400</f>
        <v>1.066680866493441E-3</v>
      </c>
      <c r="L24" s="2">
        <f xml:space="preserve"> 50.1584852158604 / 86400</f>
        <v>5.8053802333171765E-4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9" t="s">
        <v>59</v>
      </c>
      <c r="F25" s="9" t="s">
        <v>46</v>
      </c>
      <c r="G25" s="4">
        <v>275</v>
      </c>
      <c r="H25" s="9"/>
      <c r="I25" s="2">
        <f xml:space="preserve"> 120.5893702783 / 86400</f>
        <v>1.3957103041469907E-3</v>
      </c>
      <c r="J25" s="2">
        <f xml:space="preserve"> 1356.89017798351 / 86400</f>
        <v>1.57047474303647E-2</v>
      </c>
      <c r="K25" s="2">
        <f xml:space="preserve"> 551.197915564541 / 86400</f>
        <v>6.3796055042192237E-3</v>
      </c>
      <c r="L25" s="2">
        <f xml:space="preserve"> 227.356014792539 / 86400</f>
        <v>2.6314353563951275E-3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9" t="s">
        <v>60</v>
      </c>
      <c r="F26" s="9" t="s">
        <v>46</v>
      </c>
      <c r="G26" s="4">
        <v>25</v>
      </c>
      <c r="H26" s="9"/>
      <c r="I26" s="2">
        <f xml:space="preserve"> 356.89643085 / 86400</f>
        <v>4.1307457274305558E-3</v>
      </c>
      <c r="J26" s="2">
        <f xml:space="preserve"> 783.736471945696 / 86400</f>
        <v>9.0710239808529641E-3</v>
      </c>
      <c r="K26" s="2">
        <f xml:space="preserve"> 576.713733764271 / 86400</f>
        <v>6.6749274741235067E-3</v>
      </c>
      <c r="L26" s="2">
        <f xml:space="preserve"> 102.338592164643 / 86400</f>
        <v>1.1844744463500347E-3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9" t="s">
        <v>61</v>
      </c>
      <c r="F27" s="9" t="s">
        <v>46</v>
      </c>
      <c r="G27" s="4">
        <v>25</v>
      </c>
      <c r="H27" s="9"/>
      <c r="I27" s="2">
        <f xml:space="preserve"> 266.698236601311 / 86400</f>
        <v>3.0867851458485072E-3</v>
      </c>
      <c r="J27" s="2">
        <f xml:space="preserve"> 547.877137038406 / 86400</f>
        <v>6.3411705675741432E-3</v>
      </c>
      <c r="K27" s="2">
        <f xml:space="preserve"> 420.301405165014 / 86400</f>
        <v>4.8645995968172916E-3</v>
      </c>
      <c r="L27" s="2">
        <f xml:space="preserve"> 63.0510915260721 / 86400</f>
        <v>7.2975800377398259E-4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9" t="s">
        <v>62</v>
      </c>
      <c r="F28" s="9" t="s">
        <v>46</v>
      </c>
      <c r="G28" s="4">
        <v>25</v>
      </c>
      <c r="H28" s="9"/>
      <c r="I28" s="2">
        <f xml:space="preserve"> 3103.42802193451 / 86400</f>
        <v>3.5919305809427197E-2</v>
      </c>
      <c r="J28" s="2">
        <f xml:space="preserve"> 5063.349237709 / 86400</f>
        <v>5.8603579140150457E-2</v>
      </c>
      <c r="K28" s="2">
        <f xml:space="preserve"> 4001.62978820657 / 86400</f>
        <v>4.6315159585724193E-2</v>
      </c>
      <c r="L28" s="2">
        <f xml:space="preserve"> 462.272686153537 / 86400</f>
        <v>5.3503783119622341E-3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9" t="s">
        <v>63</v>
      </c>
      <c r="F29" s="9" t="s">
        <v>46</v>
      </c>
      <c r="G29" s="4">
        <v>25</v>
      </c>
      <c r="H29" s="9"/>
      <c r="I29" s="2">
        <f xml:space="preserve"> 349.742669854204 / 86400</f>
        <v>4.0479475677569904E-3</v>
      </c>
      <c r="J29" s="2">
        <f xml:space="preserve"> 560.871173385894 / 86400</f>
        <v>6.4915645067811813E-3</v>
      </c>
      <c r="K29" s="2">
        <f xml:space="preserve"> 458.695645152911 / 86400</f>
        <v>5.308977374454989E-3</v>
      </c>
      <c r="L29" s="2">
        <f xml:space="preserve"> 56.1980396075328 / 86400</f>
        <v>6.504402732353333E-4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9" t="s">
        <v>64</v>
      </c>
      <c r="F30" s="9" t="s">
        <v>46</v>
      </c>
      <c r="G30" s="4">
        <v>25</v>
      </c>
      <c r="H30" s="9"/>
      <c r="I30" s="2">
        <f xml:space="preserve"> 100.530278701503 / 86400</f>
        <v>1.1635448923785069E-3</v>
      </c>
      <c r="J30" s="2">
        <f xml:space="preserve"> 280.329535296405 / 86400</f>
        <v>3.2445548066713545E-3</v>
      </c>
      <c r="K30" s="2">
        <f xml:space="preserve"> 183.884619687807 / 86400</f>
        <v>2.1282942093496181E-3</v>
      </c>
      <c r="L30" s="2">
        <f xml:space="preserve"> 49.5648034318525 / 86400</f>
        <v>5.7366670638718173E-4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25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4" spans="6:6" x14ac:dyDescent="0.25">
      <c r="F34" s="16"/>
    </row>
    <row r="35" spans="6:6" x14ac:dyDescent="0.25">
      <c r="F35" s="16"/>
    </row>
    <row r="36" spans="6:6" x14ac:dyDescent="0.25">
      <c r="F36" s="16"/>
    </row>
    <row r="37" spans="6:6" x14ac:dyDescent="0.25">
      <c r="F37" s="15"/>
    </row>
    <row r="38" spans="6:6" x14ac:dyDescent="0.25">
      <c r="F38" s="15"/>
    </row>
    <row r="39" spans="6:6" x14ac:dyDescent="0.25">
      <c r="F39" s="15"/>
    </row>
    <row r="40" spans="6:6" x14ac:dyDescent="0.25">
      <c r="F40" s="15"/>
    </row>
    <row r="41" spans="6:6" x14ac:dyDescent="0.25">
      <c r="F41" s="15"/>
    </row>
    <row r="42" spans="6:6" x14ac:dyDescent="0.25">
      <c r="F42" s="15"/>
    </row>
    <row r="43" spans="6:6" x14ac:dyDescent="0.25">
      <c r="F43" s="15"/>
    </row>
    <row r="44" spans="6:6" x14ac:dyDescent="0.25">
      <c r="F44" s="15"/>
    </row>
    <row r="45" spans="6:6" x14ac:dyDescent="0.25">
      <c r="F45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368B-57EC-426E-80CA-F350BC1B67CB}">
  <dimension ref="A1:L74"/>
  <sheetViews>
    <sheetView tabSelected="1" topLeftCell="A22" workbookViewId="0">
      <selection activeCell="O49" sqref="O49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4.85546875" bestFit="1" customWidth="1"/>
    <col min="7" max="7" width="16.42578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4"/>
    </row>
    <row r="2" spans="1:12" ht="18.75" x14ac:dyDescent="0.3">
      <c r="A2" s="44"/>
      <c r="B2" s="6" t="s">
        <v>16</v>
      </c>
    </row>
    <row r="3" spans="1:12" ht="17.25" x14ac:dyDescent="0.3">
      <c r="A3" s="44"/>
      <c r="B3" s="7" t="s">
        <v>66</v>
      </c>
    </row>
    <row r="4" spans="1:12" x14ac:dyDescent="0.25">
      <c r="A4" s="44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99897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5" t="s">
        <v>22</v>
      </c>
      <c r="C11" s="46"/>
      <c r="D11" s="45" t="s">
        <v>23</v>
      </c>
      <c r="E11" s="46"/>
      <c r="F11" s="47" t="s">
        <v>24</v>
      </c>
      <c r="I11" s="45" t="s">
        <v>25</v>
      </c>
      <c r="J11" s="46"/>
      <c r="K11" s="46"/>
      <c r="L11" s="46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8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25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2" t="s">
        <v>48</v>
      </c>
      <c r="F14" s="9" t="s">
        <v>46</v>
      </c>
      <c r="G14" s="4">
        <v>25</v>
      </c>
      <c r="H14" s="9"/>
      <c r="I14" s="2">
        <f xml:space="preserve"> 98.2902884629044 / 86400</f>
        <v>1.137619079431764E-3</v>
      </c>
      <c r="J14" s="2">
        <f xml:space="preserve"> 308.340186207714 / 86400</f>
        <v>3.5687521551818749E-3</v>
      </c>
      <c r="K14" s="23">
        <f xml:space="preserve"> 194.041208759621 / 86400</f>
        <v>2.2458473236067244E-3</v>
      </c>
      <c r="L14" s="2">
        <f xml:space="preserve"> 52.672128279249 / 86400</f>
        <v>6.0963111434315974E-4</v>
      </c>
    </row>
    <row r="15" spans="1:12" x14ac:dyDescent="0.25">
      <c r="B15" s="4" t="s">
        <v>43</v>
      </c>
      <c r="C15" s="9" t="s">
        <v>44</v>
      </c>
      <c r="D15" s="4">
        <v>2</v>
      </c>
      <c r="E15" s="22" t="s">
        <v>49</v>
      </c>
      <c r="F15" s="9" t="s">
        <v>46</v>
      </c>
      <c r="G15" s="4">
        <v>25</v>
      </c>
      <c r="H15" s="9"/>
      <c r="I15" s="2">
        <f xml:space="preserve"> 8.27146253840601 / 86400</f>
        <v>9.5734520120439924E-5</v>
      </c>
      <c r="J15" s="2">
        <f xml:space="preserve"> 24.156568790858 / 86400</f>
        <v>2.7958991656085646E-4</v>
      </c>
      <c r="K15" s="23">
        <f xml:space="preserve"> 15.5659312761416 / 86400</f>
        <v>1.8016124162200926E-4</v>
      </c>
      <c r="L15" s="2">
        <f xml:space="preserve"> 4.47674430166157 / 86400</f>
        <v>5.1814170158120018E-5</v>
      </c>
    </row>
    <row r="16" spans="1:12" x14ac:dyDescent="0.25">
      <c r="B16" s="4" t="s">
        <v>43</v>
      </c>
      <c r="C16" s="9" t="s">
        <v>44</v>
      </c>
      <c r="D16" s="4">
        <v>3</v>
      </c>
      <c r="E16" s="22" t="s">
        <v>50</v>
      </c>
      <c r="F16" s="9" t="s">
        <v>46</v>
      </c>
      <c r="G16" s="4">
        <v>25</v>
      </c>
      <c r="H16" s="9"/>
      <c r="I16" s="2">
        <f xml:space="preserve"> 19.893282422566 / 86400</f>
        <v>2.3024632433525462E-4</v>
      </c>
      <c r="J16" s="2">
        <f xml:space="preserve"> 44.840532513637 / 86400</f>
        <v>5.1898764483376163E-4</v>
      </c>
      <c r="K16" s="23">
        <f xml:space="preserve"> 32.5693073339034 / 86400</f>
        <v>3.7695957562388195E-4</v>
      </c>
      <c r="L16" s="2">
        <f xml:space="preserve"> 7.55625044153692 / 86400</f>
        <v>8.7456602332603239E-5</v>
      </c>
    </row>
    <row r="17" spans="2:12" x14ac:dyDescent="0.25">
      <c r="B17" s="4" t="s">
        <v>43</v>
      </c>
      <c r="C17" s="9" t="s">
        <v>44</v>
      </c>
      <c r="D17" s="4">
        <v>4</v>
      </c>
      <c r="E17" s="24" t="s">
        <v>51</v>
      </c>
      <c r="F17" s="9" t="s">
        <v>46</v>
      </c>
      <c r="G17" s="4">
        <v>25</v>
      </c>
      <c r="H17" s="9"/>
      <c r="I17" s="2">
        <f xml:space="preserve"> 85.594561874402 / 86400</f>
        <v>9.9067779947224549E-4</v>
      </c>
      <c r="J17" s="2">
        <f xml:space="preserve"> 347.55893368945 / 86400</f>
        <v>4.0226728436278929E-3</v>
      </c>
      <c r="K17" s="25">
        <f xml:space="preserve"> 178.677202917016 / 86400</f>
        <v>2.0680231819099073E-3</v>
      </c>
      <c r="L17" s="2">
        <f xml:space="preserve"> 62.9019162919614 / 86400</f>
        <v>7.2803143856436806E-4</v>
      </c>
    </row>
    <row r="18" spans="2:12" x14ac:dyDescent="0.25">
      <c r="B18" s="4" t="s">
        <v>43</v>
      </c>
      <c r="C18" s="9" t="s">
        <v>44</v>
      </c>
      <c r="D18" s="4">
        <v>5</v>
      </c>
      <c r="E18" s="24" t="s">
        <v>52</v>
      </c>
      <c r="F18" s="9" t="s">
        <v>46</v>
      </c>
      <c r="G18" s="4">
        <v>275</v>
      </c>
      <c r="H18" s="9"/>
      <c r="I18" s="2">
        <f xml:space="preserve"> 21.7653161285998 / 86400</f>
        <v>2.5191338111805323E-4</v>
      </c>
      <c r="J18" s="2">
        <f xml:space="preserve"> 122.116279535991 / 86400</f>
        <v>1.4133828649998958E-3</v>
      </c>
      <c r="K18" s="25">
        <f xml:space="preserve"> 68.9654841652041 / 86400</f>
        <v>7.982116222824549E-4</v>
      </c>
      <c r="L18" s="2">
        <f xml:space="preserve"> 18.7568227903121 / 86400</f>
        <v>2.1709285636935301E-4</v>
      </c>
    </row>
    <row r="19" spans="2:12" x14ac:dyDescent="0.25">
      <c r="B19" s="4" t="s">
        <v>43</v>
      </c>
      <c r="C19" s="9" t="s">
        <v>44</v>
      </c>
      <c r="D19" s="4">
        <v>6</v>
      </c>
      <c r="E19" s="24" t="s">
        <v>53</v>
      </c>
      <c r="F19" s="9" t="s">
        <v>46</v>
      </c>
      <c r="G19" s="4">
        <v>275</v>
      </c>
      <c r="H19" s="9"/>
      <c r="I19" s="2">
        <f xml:space="preserve"> 24.0118989660987 / 86400</f>
        <v>2.7791549729280903E-4</v>
      </c>
      <c r="J19" s="2">
        <f xml:space="preserve"> 75.9852647096996 / 86400</f>
        <v>8.794590822881899E-4</v>
      </c>
      <c r="K19" s="25">
        <f xml:space="preserve"> 50.427385244011 / 86400</f>
        <v>5.8365029217605322E-4</v>
      </c>
      <c r="L19" s="2">
        <f xml:space="preserve"> 9.29227191754811 / 86400</f>
        <v>1.0754944349014016E-4</v>
      </c>
    </row>
    <row r="20" spans="2:12" x14ac:dyDescent="0.25">
      <c r="B20" s="4" t="s">
        <v>43</v>
      </c>
      <c r="C20" s="9" t="s">
        <v>44</v>
      </c>
      <c r="D20" s="4">
        <v>7</v>
      </c>
      <c r="E20" s="24" t="s">
        <v>54</v>
      </c>
      <c r="F20" s="9" t="s">
        <v>46</v>
      </c>
      <c r="G20" s="4">
        <v>275</v>
      </c>
      <c r="H20" s="9"/>
      <c r="I20" s="2">
        <f xml:space="preserve"> 40.1590891346932 / 86400</f>
        <v>4.6480427239228237E-4</v>
      </c>
      <c r="J20" s="2">
        <f xml:space="preserve"> 107.754162853002 / 86400</f>
        <v>1.247154662650486E-3</v>
      </c>
      <c r="K20" s="25">
        <f xml:space="preserve"> 70.5720016148335 / 86400</f>
        <v>8.1680557424575802E-4</v>
      </c>
      <c r="L20" s="2">
        <f xml:space="preserve"> 11.2112668054082 / 86400</f>
        <v>1.2976003247000233E-4</v>
      </c>
    </row>
    <row r="21" spans="2:12" x14ac:dyDescent="0.25">
      <c r="B21" s="4" t="s">
        <v>43</v>
      </c>
      <c r="C21" s="9" t="s">
        <v>44</v>
      </c>
      <c r="D21" s="4">
        <v>8</v>
      </c>
      <c r="E21" s="24" t="s">
        <v>55</v>
      </c>
      <c r="F21" s="9" t="s">
        <v>46</v>
      </c>
      <c r="G21" s="4">
        <v>275</v>
      </c>
      <c r="H21" s="9"/>
      <c r="I21" s="2">
        <f xml:space="preserve"> 748.350759025501 / 86400</f>
        <v>8.6614671183507068E-3</v>
      </c>
      <c r="J21" s="2">
        <f xml:space="preserve"> 9085.5227554053 / 86400</f>
        <v>0.10515651337274652</v>
      </c>
      <c r="K21" s="25">
        <f xml:space="preserve"> 4176.73107141436 / 86400</f>
        <v>4.8341794808036569E-2</v>
      </c>
      <c r="L21" s="2">
        <f xml:space="preserve"> 1718.62534843554 / 86400</f>
        <v>1.9891497088374305E-2</v>
      </c>
    </row>
    <row r="22" spans="2:12" x14ac:dyDescent="0.25">
      <c r="B22" s="4" t="s">
        <v>43</v>
      </c>
      <c r="C22" s="9" t="s">
        <v>44</v>
      </c>
      <c r="D22" s="4">
        <v>9</v>
      </c>
      <c r="E22" s="24" t="s">
        <v>56</v>
      </c>
      <c r="F22" s="9" t="s">
        <v>46</v>
      </c>
      <c r="G22" s="4">
        <v>45</v>
      </c>
      <c r="H22" s="9"/>
      <c r="I22" s="2">
        <f xml:space="preserve"> 725.907009088 / 86400</f>
        <v>8.4017014940740743E-3</v>
      </c>
      <c r="J22" s="2">
        <f xml:space="preserve"> 2355.7362203613 / 86400</f>
        <v>2.7265465513440973E-2</v>
      </c>
      <c r="K22" s="25">
        <f xml:space="preserve"> 1486.88618170565 / 86400</f>
        <v>1.7209330806778354E-2</v>
      </c>
      <c r="L22" s="2">
        <f xml:space="preserve"> 450.443665621593 / 86400</f>
        <v>5.2134683521017711E-3</v>
      </c>
    </row>
    <row r="23" spans="2:12" x14ac:dyDescent="0.25">
      <c r="B23" s="4" t="s">
        <v>43</v>
      </c>
      <c r="C23" s="9" t="s">
        <v>44</v>
      </c>
      <c r="D23" s="4">
        <v>10</v>
      </c>
      <c r="E23" s="24" t="s">
        <v>57</v>
      </c>
      <c r="F23" s="9" t="s">
        <v>46</v>
      </c>
      <c r="G23" s="4">
        <v>275</v>
      </c>
      <c r="H23" s="9"/>
      <c r="I23" s="2">
        <f xml:space="preserve"> 617.768471245203 / 86400</f>
        <v>7.1500980468194794E-3</v>
      </c>
      <c r="J23" s="2">
        <f xml:space="preserve"> 1625.94850577017 / 86400</f>
        <v>1.8818848446414006E-2</v>
      </c>
      <c r="K23" s="25">
        <f xml:space="preserve"> 998.600814904279 / 86400</f>
        <v>1.1557879802132858E-2</v>
      </c>
      <c r="L23" s="2">
        <f xml:space="preserve"> 214.941163435834 / 86400</f>
        <v>2.4877449471740047E-3</v>
      </c>
    </row>
    <row r="24" spans="2:12" x14ac:dyDescent="0.25">
      <c r="B24" s="4" t="s">
        <v>43</v>
      </c>
      <c r="C24" s="9" t="s">
        <v>44</v>
      </c>
      <c r="D24" s="4">
        <v>11</v>
      </c>
      <c r="E24" s="24" t="s">
        <v>58</v>
      </c>
      <c r="F24" s="9" t="s">
        <v>46</v>
      </c>
      <c r="G24" s="4">
        <v>275</v>
      </c>
      <c r="H24" s="9"/>
      <c r="I24" s="2">
        <f xml:space="preserve"> 8.13227530855011 / 86400</f>
        <v>9.4123556811922572E-5</v>
      </c>
      <c r="J24" s="2">
        <f xml:space="preserve"> 192.454393746797 / 86400</f>
        <v>2.2274814091064465E-3</v>
      </c>
      <c r="K24" s="25">
        <f xml:space="preserve"> 92.1612268650333 / 86400</f>
        <v>1.066680866493441E-3</v>
      </c>
      <c r="L24" s="2">
        <f xml:space="preserve"> 50.1584852158604 / 86400</f>
        <v>5.8053802333171765E-4</v>
      </c>
    </row>
    <row r="25" spans="2:12" x14ac:dyDescent="0.25">
      <c r="B25" s="4" t="s">
        <v>43</v>
      </c>
      <c r="C25" s="9" t="s">
        <v>44</v>
      </c>
      <c r="D25" s="4">
        <v>12</v>
      </c>
      <c r="E25" s="24" t="s">
        <v>59</v>
      </c>
      <c r="F25" s="9" t="s">
        <v>46</v>
      </c>
      <c r="G25" s="4">
        <v>275</v>
      </c>
      <c r="H25" s="9"/>
      <c r="I25" s="2">
        <f xml:space="preserve"> 120.5893702783 / 86400</f>
        <v>1.3957103041469907E-3</v>
      </c>
      <c r="J25" s="2">
        <f xml:space="preserve"> 1356.89017798351 / 86400</f>
        <v>1.57047474303647E-2</v>
      </c>
      <c r="K25" s="25">
        <f xml:space="preserve"> 551.197915564541 / 86400</f>
        <v>6.3796055042192237E-3</v>
      </c>
      <c r="L25" s="2">
        <f xml:space="preserve"> 227.356014792539 / 86400</f>
        <v>2.6314353563951275E-3</v>
      </c>
    </row>
    <row r="26" spans="2:12" x14ac:dyDescent="0.25">
      <c r="B26" s="4" t="s">
        <v>43</v>
      </c>
      <c r="C26" s="9" t="s">
        <v>44</v>
      </c>
      <c r="D26" s="4">
        <v>13</v>
      </c>
      <c r="E26" s="26" t="s">
        <v>60</v>
      </c>
      <c r="F26" s="9" t="s">
        <v>46</v>
      </c>
      <c r="G26" s="4">
        <v>25</v>
      </c>
      <c r="H26" s="9"/>
      <c r="I26" s="2">
        <f xml:space="preserve"> 356.89643085 / 86400</f>
        <v>4.1307457274305558E-3</v>
      </c>
      <c r="J26" s="2">
        <f xml:space="preserve"> 783.736471945696 / 86400</f>
        <v>9.0710239808529641E-3</v>
      </c>
      <c r="K26" s="27">
        <f xml:space="preserve"> 576.713733764271 / 86400</f>
        <v>6.6749274741235067E-3</v>
      </c>
      <c r="L26" s="2">
        <f xml:space="preserve"> 102.338592164643 / 86400</f>
        <v>1.1844744463500347E-3</v>
      </c>
    </row>
    <row r="27" spans="2:12" x14ac:dyDescent="0.25">
      <c r="B27" s="4" t="s">
        <v>43</v>
      </c>
      <c r="C27" s="9" t="s">
        <v>44</v>
      </c>
      <c r="D27" s="4">
        <v>14</v>
      </c>
      <c r="E27" s="26" t="s">
        <v>61</v>
      </c>
      <c r="F27" s="9" t="s">
        <v>46</v>
      </c>
      <c r="G27" s="4">
        <v>25</v>
      </c>
      <c r="H27" s="9"/>
      <c r="I27" s="2">
        <f xml:space="preserve"> 266.698236601311 / 86400</f>
        <v>3.0867851458485072E-3</v>
      </c>
      <c r="J27" s="2">
        <f xml:space="preserve"> 547.877137038406 / 86400</f>
        <v>6.3411705675741432E-3</v>
      </c>
      <c r="K27" s="27">
        <f xml:space="preserve"> 420.301405165014 / 86400</f>
        <v>4.8645995968172916E-3</v>
      </c>
      <c r="L27" s="2">
        <f xml:space="preserve"> 63.0510915260721 / 86400</f>
        <v>7.2975800377398259E-4</v>
      </c>
    </row>
    <row r="28" spans="2:12" x14ac:dyDescent="0.25">
      <c r="B28" s="4" t="s">
        <v>43</v>
      </c>
      <c r="C28" s="9" t="s">
        <v>44</v>
      </c>
      <c r="D28" s="4">
        <v>15</v>
      </c>
      <c r="E28" s="26" t="s">
        <v>62</v>
      </c>
      <c r="F28" s="9" t="s">
        <v>46</v>
      </c>
      <c r="G28" s="4">
        <v>25</v>
      </c>
      <c r="H28" s="9"/>
      <c r="I28" s="2">
        <f xml:space="preserve"> 3103.42802193451 / 86400</f>
        <v>3.5919305809427197E-2</v>
      </c>
      <c r="J28" s="2">
        <f xml:space="preserve"> 5063.349237709 / 86400</f>
        <v>5.8603579140150457E-2</v>
      </c>
      <c r="K28" s="27">
        <f xml:space="preserve"> 4001.62978820657 / 86400</f>
        <v>4.6315159585724193E-2</v>
      </c>
      <c r="L28" s="2">
        <f xml:space="preserve"> 462.272686153537 / 86400</f>
        <v>5.3503783119622341E-3</v>
      </c>
    </row>
    <row r="29" spans="2:12" x14ac:dyDescent="0.25">
      <c r="B29" s="4" t="s">
        <v>43</v>
      </c>
      <c r="C29" s="9" t="s">
        <v>44</v>
      </c>
      <c r="D29" s="4">
        <v>16</v>
      </c>
      <c r="E29" s="26" t="s">
        <v>63</v>
      </c>
      <c r="F29" s="9" t="s">
        <v>46</v>
      </c>
      <c r="G29" s="4">
        <v>25</v>
      </c>
      <c r="H29" s="9"/>
      <c r="I29" s="2">
        <f xml:space="preserve"> 349.742669854204 / 86400</f>
        <v>4.0479475677569904E-3</v>
      </c>
      <c r="J29" s="2">
        <f xml:space="preserve"> 560.871173385894 / 86400</f>
        <v>6.4915645067811813E-3</v>
      </c>
      <c r="K29" s="27">
        <f xml:space="preserve"> 458.695645152911 / 86400</f>
        <v>5.308977374454989E-3</v>
      </c>
      <c r="L29" s="2">
        <f xml:space="preserve"> 56.1980396075328 / 86400</f>
        <v>6.504402732353333E-4</v>
      </c>
    </row>
    <row r="30" spans="2:12" x14ac:dyDescent="0.25">
      <c r="B30" s="4" t="s">
        <v>43</v>
      </c>
      <c r="C30" s="9" t="s">
        <v>44</v>
      </c>
      <c r="D30" s="4">
        <v>17</v>
      </c>
      <c r="E30" s="26" t="s">
        <v>64</v>
      </c>
      <c r="F30" s="9" t="s">
        <v>46</v>
      </c>
      <c r="G30" s="4">
        <v>25</v>
      </c>
      <c r="H30" s="9"/>
      <c r="I30" s="2">
        <f xml:space="preserve"> 100.530278701503 / 86400</f>
        <v>1.1635448923785069E-3</v>
      </c>
      <c r="J30" s="2">
        <f xml:space="preserve"> 280.329535296405 / 86400</f>
        <v>3.2445548066713545E-3</v>
      </c>
      <c r="K30" s="27">
        <f xml:space="preserve"> 183.884619687807 / 86400</f>
        <v>2.1282942093496181E-3</v>
      </c>
      <c r="L30" s="2">
        <f xml:space="preserve"> 49.5648034318525 / 86400</f>
        <v>5.7366670638718173E-4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25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74</v>
      </c>
      <c r="F35" s="18" t="s">
        <v>72</v>
      </c>
      <c r="G35" s="15" t="s">
        <v>78</v>
      </c>
      <c r="H35" s="15" t="s">
        <v>79</v>
      </c>
      <c r="I35" s="37" t="s">
        <v>80</v>
      </c>
      <c r="J35" s="15"/>
      <c r="K35" s="15"/>
      <c r="L35" s="15"/>
    </row>
    <row r="36" spans="4:12" x14ac:dyDescent="0.25">
      <c r="D36" s="28"/>
      <c r="E36" t="s">
        <v>48</v>
      </c>
      <c r="F36" s="16">
        <f>(K14*86400)/60</f>
        <v>3.234020145993683</v>
      </c>
      <c r="G36" s="4">
        <v>25</v>
      </c>
      <c r="H36" s="39">
        <f>G36/25</f>
        <v>1</v>
      </c>
      <c r="I36" s="31">
        <f>F36*H36</f>
        <v>3.234020145993683</v>
      </c>
      <c r="J36" s="15"/>
      <c r="K36" s="15"/>
      <c r="L36" s="15"/>
    </row>
    <row r="37" spans="4:12" x14ac:dyDescent="0.25">
      <c r="D37" s="28"/>
      <c r="E37" t="s">
        <v>49</v>
      </c>
      <c r="F37" s="16">
        <f>(K15*86400)/60</f>
        <v>0.25943218793569334</v>
      </c>
      <c r="G37" s="4">
        <v>25</v>
      </c>
      <c r="H37" s="39">
        <f>G37/25</f>
        <v>1</v>
      </c>
      <c r="I37" s="31">
        <f>F37*H37</f>
        <v>0.25943218793569334</v>
      </c>
      <c r="J37" s="15"/>
      <c r="K37" s="15"/>
      <c r="L37" s="15"/>
    </row>
    <row r="38" spans="4:12" x14ac:dyDescent="0.25">
      <c r="D38" s="28"/>
      <c r="E38" s="20" t="s">
        <v>50</v>
      </c>
      <c r="F38" s="21">
        <f>(K16*86400)/60</f>
        <v>0.54282178889839006</v>
      </c>
      <c r="G38" s="4">
        <v>25</v>
      </c>
      <c r="H38" s="39">
        <f t="shared" ref="H38:H60" si="0">G38/25</f>
        <v>1</v>
      </c>
      <c r="I38" s="43">
        <f>F38*H38</f>
        <v>0.54282178889839006</v>
      </c>
      <c r="J38" s="37" t="s">
        <v>83</v>
      </c>
      <c r="K38" s="15"/>
      <c r="L38" s="15"/>
    </row>
    <row r="39" spans="4:12" x14ac:dyDescent="0.25">
      <c r="E39" s="17" t="s">
        <v>71</v>
      </c>
      <c r="F39" s="19">
        <f>SUM(F36:F38)</f>
        <v>4.0362741228277663</v>
      </c>
      <c r="G39" s="15"/>
      <c r="H39" s="39"/>
      <c r="I39" s="32">
        <f>SUM(I36:I38)</f>
        <v>4.0362741228277663</v>
      </c>
      <c r="J39" s="15"/>
      <c r="K39" s="15"/>
      <c r="L39" s="15"/>
    </row>
    <row r="40" spans="4:12" x14ac:dyDescent="0.25">
      <c r="F40" s="15"/>
      <c r="G40" s="15"/>
      <c r="H40" s="39"/>
      <c r="I40" s="31"/>
      <c r="J40" s="15"/>
      <c r="K40" s="15"/>
      <c r="L40" s="15"/>
    </row>
    <row r="41" spans="4:12" x14ac:dyDescent="0.25">
      <c r="F41" s="15"/>
      <c r="G41" s="15"/>
      <c r="H41" s="39"/>
      <c r="I41" s="31"/>
      <c r="J41" s="15"/>
      <c r="K41" s="15"/>
      <c r="L41" s="15"/>
    </row>
    <row r="42" spans="4:12" x14ac:dyDescent="0.25">
      <c r="E42" s="12" t="s">
        <v>75</v>
      </c>
      <c r="F42" s="18" t="s">
        <v>72</v>
      </c>
      <c r="G42" s="15"/>
      <c r="H42" s="39"/>
      <c r="I42" s="31"/>
      <c r="J42" s="15"/>
      <c r="K42" s="15"/>
      <c r="L42" s="15"/>
    </row>
    <row r="43" spans="4:12" x14ac:dyDescent="0.25">
      <c r="D43" s="29"/>
      <c r="E43" t="s">
        <v>51</v>
      </c>
      <c r="F43" s="16">
        <f t="shared" ref="F43:F49" si="1">(K17*86400)/60</f>
        <v>2.9779533819502664</v>
      </c>
      <c r="G43" s="4">
        <v>25</v>
      </c>
      <c r="H43" s="39">
        <f t="shared" si="0"/>
        <v>1</v>
      </c>
      <c r="I43" s="31">
        <f t="shared" ref="I43:I51" si="2">F43*H43</f>
        <v>2.9779533819502664</v>
      </c>
      <c r="J43" s="15"/>
      <c r="K43" s="15"/>
      <c r="L43" s="15"/>
    </row>
    <row r="44" spans="4:12" x14ac:dyDescent="0.25">
      <c r="D44" s="29"/>
      <c r="E44" t="s">
        <v>52</v>
      </c>
      <c r="F44" s="16">
        <f t="shared" si="1"/>
        <v>1.1494247360867351</v>
      </c>
      <c r="G44" s="4">
        <v>275</v>
      </c>
      <c r="H44" s="39">
        <f t="shared" si="0"/>
        <v>11</v>
      </c>
      <c r="I44" s="31">
        <f t="shared" si="2"/>
        <v>12.643672096954086</v>
      </c>
      <c r="J44" s="15"/>
      <c r="K44" s="15"/>
      <c r="L44" s="15"/>
    </row>
    <row r="45" spans="4:12" x14ac:dyDescent="0.25">
      <c r="D45" s="29"/>
      <c r="E45" t="s">
        <v>53</v>
      </c>
      <c r="F45" s="16">
        <f t="shared" si="1"/>
        <v>0.84045642073351667</v>
      </c>
      <c r="G45" s="4">
        <v>275</v>
      </c>
      <c r="H45" s="39">
        <f t="shared" si="0"/>
        <v>11</v>
      </c>
      <c r="I45" s="31">
        <f t="shared" si="2"/>
        <v>9.2450206280686835</v>
      </c>
      <c r="J45" s="15"/>
      <c r="K45" s="15"/>
      <c r="L45" s="15"/>
    </row>
    <row r="46" spans="4:12" x14ac:dyDescent="0.25">
      <c r="D46" s="29"/>
      <c r="E46" t="s">
        <v>54</v>
      </c>
      <c r="F46" s="16">
        <f t="shared" si="1"/>
        <v>1.1762000269138917</v>
      </c>
      <c r="G46" s="4">
        <v>275</v>
      </c>
      <c r="H46" s="39">
        <f t="shared" si="0"/>
        <v>11</v>
      </c>
      <c r="I46" s="31">
        <f t="shared" si="2"/>
        <v>12.938200296052809</v>
      </c>
      <c r="J46" s="15"/>
      <c r="K46" s="15"/>
      <c r="L46" s="15"/>
    </row>
    <row r="47" spans="4:12" x14ac:dyDescent="0.25">
      <c r="D47" s="29"/>
      <c r="E47" t="s">
        <v>55</v>
      </c>
      <c r="F47" s="16">
        <f t="shared" si="1"/>
        <v>69.612184523572665</v>
      </c>
      <c r="G47" s="4">
        <v>275</v>
      </c>
      <c r="H47" s="39">
        <f t="shared" si="0"/>
        <v>11</v>
      </c>
      <c r="I47" s="31">
        <f t="shared" si="2"/>
        <v>765.73402975929935</v>
      </c>
      <c r="J47" s="15"/>
      <c r="K47" s="15"/>
      <c r="L47" s="15"/>
    </row>
    <row r="48" spans="4:12" x14ac:dyDescent="0.25">
      <c r="D48" s="29"/>
      <c r="E48" t="s">
        <v>56</v>
      </c>
      <c r="F48" s="16">
        <f t="shared" si="1"/>
        <v>24.781436361760829</v>
      </c>
      <c r="G48" s="4">
        <v>45</v>
      </c>
      <c r="H48" s="38">
        <f t="shared" si="0"/>
        <v>1.8</v>
      </c>
      <c r="I48" s="31">
        <f t="shared" si="2"/>
        <v>44.606585451169494</v>
      </c>
      <c r="J48" s="15"/>
      <c r="K48" s="15"/>
      <c r="L48" s="15"/>
    </row>
    <row r="49" spans="4:12" x14ac:dyDescent="0.25">
      <c r="D49" s="29"/>
      <c r="E49" t="s">
        <v>57</v>
      </c>
      <c r="F49" s="16">
        <f t="shared" si="1"/>
        <v>16.643346915071316</v>
      </c>
      <c r="G49" s="4">
        <v>275</v>
      </c>
      <c r="H49" s="39">
        <f t="shared" si="0"/>
        <v>11</v>
      </c>
      <c r="I49" s="31">
        <f t="shared" si="2"/>
        <v>183.07681606578447</v>
      </c>
      <c r="J49" s="15"/>
      <c r="K49" s="15"/>
      <c r="L49" s="15"/>
    </row>
    <row r="50" spans="4:12" x14ac:dyDescent="0.25">
      <c r="D50" s="29"/>
      <c r="E50" t="s">
        <v>58</v>
      </c>
      <c r="F50" s="16">
        <f>(K24*86400)/60</f>
        <v>1.536020447750555</v>
      </c>
      <c r="G50" s="4">
        <v>275</v>
      </c>
      <c r="H50" s="39">
        <f t="shared" si="0"/>
        <v>11</v>
      </c>
      <c r="I50" s="31">
        <f t="shared" si="2"/>
        <v>16.896224925256107</v>
      </c>
      <c r="J50" s="15"/>
      <c r="K50" s="15"/>
      <c r="L50" s="15"/>
    </row>
    <row r="51" spans="4:12" x14ac:dyDescent="0.25">
      <c r="D51" s="29"/>
      <c r="E51" s="20" t="s">
        <v>59</v>
      </c>
      <c r="F51" s="21">
        <f>(K25*86400)/60</f>
        <v>9.1866319260756821</v>
      </c>
      <c r="G51" s="4">
        <v>275</v>
      </c>
      <c r="H51" s="39">
        <f t="shared" si="0"/>
        <v>11</v>
      </c>
      <c r="I51" s="40">
        <f t="shared" si="2"/>
        <v>101.0529511868325</v>
      </c>
      <c r="J51" s="15"/>
      <c r="K51" s="15"/>
      <c r="L51" s="15"/>
    </row>
    <row r="52" spans="4:12" x14ac:dyDescent="0.25">
      <c r="E52" s="17" t="s">
        <v>73</v>
      </c>
      <c r="F52" s="19">
        <f>SUM(F43:F51)</f>
        <v>127.90365473991545</v>
      </c>
      <c r="G52" s="15"/>
      <c r="H52" s="39"/>
      <c r="I52" s="32">
        <f>SUM(I43:I51)</f>
        <v>1149.1714537913676</v>
      </c>
      <c r="J52" s="15"/>
      <c r="K52" s="15"/>
      <c r="L52" s="15"/>
    </row>
    <row r="53" spans="4:12" x14ac:dyDescent="0.25">
      <c r="F53" s="16"/>
      <c r="G53" s="15"/>
      <c r="H53" s="39"/>
      <c r="I53" s="31"/>
      <c r="J53" s="15"/>
      <c r="K53" s="15"/>
      <c r="L53" s="15"/>
    </row>
    <row r="54" spans="4:12" x14ac:dyDescent="0.25">
      <c r="F54" s="16"/>
      <c r="G54" s="15"/>
      <c r="H54" s="39"/>
      <c r="I54" s="31"/>
      <c r="J54" s="15"/>
      <c r="K54" s="15"/>
      <c r="L54" s="15"/>
    </row>
    <row r="55" spans="4:12" x14ac:dyDescent="0.25">
      <c r="E55" s="12" t="s">
        <v>76</v>
      </c>
      <c r="F55" s="18" t="s">
        <v>72</v>
      </c>
      <c r="G55" s="15"/>
      <c r="H55" s="39"/>
      <c r="I55" s="31"/>
      <c r="J55" s="15"/>
      <c r="K55" s="15"/>
      <c r="L55" s="15"/>
    </row>
    <row r="56" spans="4:12" x14ac:dyDescent="0.25">
      <c r="D56" s="30"/>
      <c r="E56" t="s">
        <v>60</v>
      </c>
      <c r="F56" s="16">
        <f>(K26*86400)/60</f>
        <v>9.6118955627378497</v>
      </c>
      <c r="G56" s="4">
        <v>25</v>
      </c>
      <c r="H56" s="39">
        <f t="shared" si="0"/>
        <v>1</v>
      </c>
      <c r="I56" s="31">
        <f>F56*H56</f>
        <v>9.6118955627378497</v>
      </c>
      <c r="J56" s="15"/>
      <c r="K56" s="15"/>
      <c r="L56" s="15"/>
    </row>
    <row r="57" spans="4:12" x14ac:dyDescent="0.25">
      <c r="D57" s="30"/>
      <c r="E57" t="s">
        <v>61</v>
      </c>
      <c r="F57" s="16">
        <f>(K27*86400)/60</f>
        <v>7.0050234194168999</v>
      </c>
      <c r="G57" s="4">
        <v>25</v>
      </c>
      <c r="H57" s="39">
        <f t="shared" si="0"/>
        <v>1</v>
      </c>
      <c r="I57" s="31">
        <f>F57*H57</f>
        <v>7.0050234194168999</v>
      </c>
      <c r="J57" s="15"/>
      <c r="K57" s="15"/>
      <c r="L57" s="15"/>
    </row>
    <row r="58" spans="4:12" x14ac:dyDescent="0.25">
      <c r="D58" s="30"/>
      <c r="E58" t="s">
        <v>62</v>
      </c>
      <c r="F58" s="16">
        <f>(K28*86400)/60</f>
        <v>66.693829803442839</v>
      </c>
      <c r="G58" s="4">
        <v>25</v>
      </c>
      <c r="H58" s="39">
        <f t="shared" si="0"/>
        <v>1</v>
      </c>
      <c r="I58" s="31">
        <f>F58*H58</f>
        <v>66.693829803442839</v>
      </c>
      <c r="J58" s="15"/>
      <c r="K58" s="15"/>
      <c r="L58" s="15"/>
    </row>
    <row r="59" spans="4:12" x14ac:dyDescent="0.25">
      <c r="D59" s="30"/>
      <c r="E59" t="s">
        <v>63</v>
      </c>
      <c r="F59" s="16">
        <f>(K29*86400)/60</f>
        <v>7.6449274192151835</v>
      </c>
      <c r="G59" s="4">
        <v>25</v>
      </c>
      <c r="H59" s="39">
        <f t="shared" si="0"/>
        <v>1</v>
      </c>
      <c r="I59" s="31">
        <f>F59*H59</f>
        <v>7.6449274192151835</v>
      </c>
      <c r="J59" s="15"/>
      <c r="K59" s="15"/>
      <c r="L59" s="15"/>
    </row>
    <row r="60" spans="4:12" x14ac:dyDescent="0.25">
      <c r="D60" s="30"/>
      <c r="E60" s="20" t="s">
        <v>64</v>
      </c>
      <c r="F60" s="21">
        <f>(K30*86400)/60</f>
        <v>3.0647436614634502</v>
      </c>
      <c r="G60" s="4">
        <v>25</v>
      </c>
      <c r="H60" s="39">
        <f t="shared" si="0"/>
        <v>1</v>
      </c>
      <c r="I60" s="40">
        <f>F60*H60</f>
        <v>3.0647436614634502</v>
      </c>
      <c r="J60" s="15"/>
      <c r="K60" s="15"/>
      <c r="L60" s="15"/>
    </row>
    <row r="61" spans="4:12" x14ac:dyDescent="0.25">
      <c r="E61" s="17" t="s">
        <v>73</v>
      </c>
      <c r="F61" s="19">
        <f>SUM(F56:F60)</f>
        <v>94.020419866276214</v>
      </c>
      <c r="G61" s="15"/>
      <c r="H61" s="15"/>
      <c r="I61" s="32">
        <f>SUM(I56:I60)</f>
        <v>94.020419866276214</v>
      </c>
      <c r="J61" s="15"/>
      <c r="K61" s="15"/>
      <c r="L61" s="15"/>
    </row>
    <row r="62" spans="4:12" x14ac:dyDescent="0.25">
      <c r="F62" s="16"/>
      <c r="G62" s="15"/>
      <c r="H62" s="15"/>
      <c r="I62" s="31"/>
      <c r="J62" s="15"/>
      <c r="K62" s="15"/>
      <c r="L62" s="15"/>
    </row>
    <row r="63" spans="4:12" x14ac:dyDescent="0.25">
      <c r="F63" s="16"/>
      <c r="G63" s="15"/>
      <c r="H63" s="15"/>
      <c r="I63" s="31"/>
      <c r="J63" s="15"/>
      <c r="K63" s="15"/>
      <c r="L63" s="15"/>
    </row>
    <row r="64" spans="4:12" x14ac:dyDescent="0.25">
      <c r="D64" s="42"/>
      <c r="E64" s="17" t="s">
        <v>82</v>
      </c>
      <c r="F64" s="19">
        <f>I52+SUM(I56:I59)</f>
        <v>1240.1271299961804</v>
      </c>
      <c r="G64" s="15"/>
      <c r="H64" s="41" t="s">
        <v>81</v>
      </c>
      <c r="I64" s="35">
        <f>I39+I52+I61</f>
        <v>1247.2281477804715</v>
      </c>
      <c r="J64" s="15"/>
      <c r="K64" s="15"/>
      <c r="L64" s="15"/>
    </row>
    <row r="65" spans="6:12" x14ac:dyDescent="0.25">
      <c r="F65" s="16"/>
      <c r="G65" s="15"/>
      <c r="H65" s="15"/>
      <c r="I65" s="15"/>
      <c r="J65" s="15"/>
      <c r="K65" s="15"/>
      <c r="L65" s="15"/>
    </row>
    <row r="66" spans="6:12" x14ac:dyDescent="0.25">
      <c r="F66" s="15"/>
    </row>
    <row r="67" spans="6:12" x14ac:dyDescent="0.25">
      <c r="F67" s="15"/>
    </row>
    <row r="68" spans="6:12" x14ac:dyDescent="0.25">
      <c r="F68" s="15"/>
    </row>
    <row r="69" spans="6:12" x14ac:dyDescent="0.25">
      <c r="F69" s="15"/>
    </row>
    <row r="70" spans="6:12" x14ac:dyDescent="0.25">
      <c r="F70" s="15"/>
    </row>
    <row r="71" spans="6:12" x14ac:dyDescent="0.25">
      <c r="F71" s="15"/>
    </row>
    <row r="72" spans="6:12" x14ac:dyDescent="0.25">
      <c r="F72" s="15"/>
    </row>
    <row r="73" spans="6:12" x14ac:dyDescent="0.25">
      <c r="F73" s="15"/>
    </row>
    <row r="74" spans="6:12" x14ac:dyDescent="0.25">
      <c r="F74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2025-05-10T04:32:08Z</dcterms:created>
  <dcterms:modified xsi:type="dcterms:W3CDTF">2025-06-03T04:49:55Z</dcterms:modified>
</cp:coreProperties>
</file>