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FFF59B27-0538-4C9F-8A68-7851921CF160}" xr6:coauthVersionLast="47" xr6:coauthVersionMax="47" xr10:uidLastSave="{00000000-0000-0000-0000-000000000000}"/>
  <bookViews>
    <workbookView xWindow="-120" yWindow="-120" windowWidth="51840" windowHeight="21120" activeTab="2" xr2:uid="{691C9E48-6796-4886-B068-39E6F20BBE4F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60" i="3" l="1"/>
  <c r="H59" i="3"/>
  <c r="H58" i="3"/>
  <c r="H57" i="3"/>
  <c r="H56" i="3"/>
  <c r="H51" i="3"/>
  <c r="H50" i="3"/>
  <c r="H49" i="3"/>
  <c r="H48" i="3"/>
  <c r="H47" i="3"/>
  <c r="H46" i="3"/>
  <c r="H45" i="3"/>
  <c r="H44" i="3"/>
  <c r="I44" i="3" s="1"/>
  <c r="H43" i="3"/>
  <c r="H38" i="3"/>
  <c r="I38" i="3" s="1"/>
  <c r="H37" i="3"/>
  <c r="H36" i="3"/>
  <c r="I60" i="3"/>
  <c r="I59" i="3"/>
  <c r="I58" i="3"/>
  <c r="I57" i="3"/>
  <c r="I56" i="3"/>
  <c r="I51" i="3"/>
  <c r="I50" i="3"/>
  <c r="I49" i="3"/>
  <c r="I48" i="3"/>
  <c r="I47" i="3"/>
  <c r="I46" i="3"/>
  <c r="I45" i="3"/>
  <c r="I43" i="3"/>
  <c r="I37" i="3"/>
  <c r="I36" i="3"/>
  <c r="D16" i="1"/>
  <c r="F36" i="3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39" i="3" l="1"/>
  <c r="I61" i="3"/>
  <c r="I52" i="3"/>
  <c r="F39" i="3"/>
  <c r="F61" i="3"/>
  <c r="F52" i="3"/>
  <c r="I64" i="3" l="1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<sst xmlns="http://schemas.openxmlformats.org/spreadsheetml/2006/main" count="305" uniqueCount="84">
  <si>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</si>
  <si>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</si>
  <si>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</si>
  <si>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</si>
  <si>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</si>
  <si>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</si>
  <si>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</si>
  <si>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</si>
  <si>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</si>
  <si>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</si>
  <si>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</si>
  <si>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</si>
  <si>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</si>
  <si>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</si>
  <si>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</si>
  <si>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</si>
  <si>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</si>
  <si>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</si>
  <si>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</si>
  <si>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</si>
  <si>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</si>
  <si>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</si>
  <si>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</si>
  <si>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</si>
  <si>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</si>
  <si>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</si>
  <si>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</si>
  <si>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</si>
  <si>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</si>
  <si>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</si>
  <si>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</si>
  <si>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</si>
  <si>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</si>
  <si>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</si>
  <si>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</si>
  <si>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</si>
  <si>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</si>
  <si>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</si>
  <si>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</si>
  <si>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</si>
  <si>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</si>
  <si>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</si>
  <si>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</si>
  <si>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</si>
  <si>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</si>
  <si>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</si>
  <si>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</si>
  <si>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</si>
  <si>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</si>
  <si>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</si>
  <si>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</si>
  <si>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</si>
  <si>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</si>
  <si>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</si>
  <si>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</si>
  <si>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</si>
  <si>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</si>
  <si>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</si>
  <si>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</si>
  <si>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</si>
  <si>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</si>
  <si>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</si>
  <si>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</si>
  <si>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</si>
  <si>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</si>
  <si>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</si>
  <si>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</si>
  <si>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</si>
  <si>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</si>
  <si>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</si>
  <si>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3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</si>
  <si>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</si>
  <si>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</si>
  <si>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</si>
  <si>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</si>
  <si>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</si>
  <si>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</si>
  <si>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# of Simulations</t>
  </si>
  <si>
    <t># of Repetitions</t>
  </si>
  <si>
    <t>Sum of Mean (Minutes)</t>
  </si>
  <si>
    <t>Total Sim. Time</t>
  </si>
  <si>
    <t>Group 1 - Task Name</t>
  </si>
  <si>
    <t>Group 2 - Task Name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</si>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</sst>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/>
    <xf numFmtId="166" fontId="1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2" fontId="1" fillId="0" borderId="0" xfId="0" applyNumberFormat="1" applyFont="1"/>
    <xf numFmtId="167" fontId="0" fillId="0" borderId="1" xfId="0" applyNumberFormat="1" applyBorder="1"/>
    <xf numFmtId="2" fontId="1" fillId="6" borderId="0" xfId="0" applyNumberFormat="1" applyFont="1" applyFill="1"/>
    <xf numFmtId="1" fontId="0" fillId="0" borderId="0" xfId="0" applyNumberFormat="1"/>
    <xf numFmtId="167" fontId="0" fillId="6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A011F-818E-BABE-B19B-51D64D0E5E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F228A8-745D-0B30-18BA-DF6386E26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8F4CEB-6369-4457-8E42-315AD6AD0B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B9C-06C3-45FB-BB1C-11E1771EDE1A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1.42578125" customWidth="1"/>
    <col min="5" max="5" width="11.570312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88780</v>
      </c>
    </row>
    <row r="10" spans="1:5" x14ac:dyDescent="0.25">
      <c r="A10" s="5" t="s">
        <v>21</v>
      </c>
      <c r="B10" s="8">
        <v>10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165621.119496114 / 86400</f>
        <v>1.9169111052790972</v>
      </c>
    </row>
    <row r="15" spans="1:5" x14ac:dyDescent="0.25">
      <c r="B15" s="1" t="s">
        <v>2</v>
      </c>
      <c r="C15" s="2">
        <f xml:space="preserve"> 185572.548874364 / 86400</f>
        <v>2.1478304267866202</v>
      </c>
    </row>
    <row r="16" spans="1:5" x14ac:dyDescent="0.25">
      <c r="B16" s="34" t="s">
        <v>3</v>
      </c>
      <c r="C16" s="35">
        <f xml:space="preserve"> 177694.88842387 / 86400</f>
        <v>2.0566538012021991</v>
      </c>
      <c r="D16" s="36">
        <f>(C16*86400)/60</f>
        <v>2961.5814737311666</v>
      </c>
      <c r="E16" s="37" t="s">
        <v>76</v>
      </c>
    </row>
    <row r="17" spans="2:3" x14ac:dyDescent="0.25">
      <c r="B17" s="1" t="s">
        <v>4</v>
      </c>
      <c r="C17" s="2">
        <f xml:space="preserve"> 5818.21431747422 / 86400</f>
        <v>6.7340443489284946E-2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DFF5-E822-48B2-A3C7-23BBDF8D9F2B}">
  <dimension ref="A1:X40"/>
  <sheetViews>
    <sheetView workbookViewId="0">
      <selection activeCell="E49" sqref="E49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5.5703125" bestFit="1" customWidth="1"/>
    <col min="8" max="8" width="10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88780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10</v>
      </c>
      <c r="H14" s="9"/>
      <c r="I14" s="2">
        <f xml:space="preserve"> 91.0534152519206 / 86400</f>
        <v>1.0538589728231551E-3</v>
      </c>
      <c r="J14" s="2">
        <f xml:space="preserve"> 227.10331299673 / 86400</f>
        <v>2.6285105670917825E-3</v>
      </c>
      <c r="K14" s="2">
        <f xml:space="preserve"> 169.628670889897 / 86400</f>
        <v>1.9632948019664004E-3</v>
      </c>
      <c r="L14" s="2">
        <f xml:space="preserve"> 41.6421041300945 / 86400</f>
        <v>4.819687978020197E-4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10</v>
      </c>
      <c r="H15" s="9"/>
      <c r="I15" s="2">
        <f xml:space="preserve"> 9.942402007032 / 86400</f>
        <v>1.1507409730361111E-4</v>
      </c>
      <c r="J15" s="2">
        <f xml:space="preserve"> 21.999848880805 / 86400</f>
        <v>2.546278805648727E-4</v>
      </c>
      <c r="K15" s="2">
        <f xml:space="preserve"> 15.1136785701447 / 86400</f>
        <v>1.7492683530260069E-4</v>
      </c>
      <c r="L15" s="2">
        <f xml:space="preserve"> 3.92699223046435 / 86400</f>
        <v>4.5451298963707756E-5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10</v>
      </c>
      <c r="H16" s="9"/>
      <c r="I16" s="2">
        <f xml:space="preserve"> 63.718328077378 / 86400</f>
        <v>7.3748064904372685E-4</v>
      </c>
      <c r="J16" s="2">
        <f xml:space="preserve"> 90.838384145503 / 86400</f>
        <v>1.0513701868692478E-3</v>
      </c>
      <c r="K16" s="2">
        <f xml:space="preserve"> 76.9110287916552 / 86400</f>
        <v>8.9017394434786105E-4</v>
      </c>
      <c r="L16" s="2">
        <f xml:space="preserve"> 9.12990125527208 / 86400</f>
        <v>1.0567015341750092E-4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10</v>
      </c>
      <c r="H17" s="9"/>
      <c r="I17" s="2">
        <f xml:space="preserve"> 94.754574158496 / 86400</f>
        <v>1.0966964601677777E-3</v>
      </c>
      <c r="J17" s="2">
        <f xml:space="preserve"> 297.779319309524 / 86400</f>
        <v>3.446519899415787E-3</v>
      </c>
      <c r="K17" s="2">
        <f xml:space="preserve"> 173.301012301619 / 86400</f>
        <v>2.0057987534909606E-3</v>
      </c>
      <c r="L17" s="2">
        <f xml:space="preserve"> 69.6962167836198 / 86400</f>
        <v>8.0666917573634029E-4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380</v>
      </c>
      <c r="H18" s="9"/>
      <c r="I18" s="2">
        <f xml:space="preserve"> 11.74357560731 / 86400</f>
        <v>1.3592101397349538E-4</v>
      </c>
      <c r="J18" s="2">
        <f xml:space="preserve"> 118.14433363645 / 86400</f>
        <v>1.3674112689403934E-3</v>
      </c>
      <c r="K18" s="2">
        <f xml:space="preserve"> 69.5247782297114 / 86400</f>
        <v>8.0468493321425236E-4</v>
      </c>
      <c r="L18" s="2">
        <f xml:space="preserve"> 18.9867088703099 / 86400</f>
        <v>2.1975357488784606E-4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380</v>
      </c>
      <c r="H19" s="9"/>
      <c r="I19" s="2">
        <f xml:space="preserve"> 22.6599666623952 / 86400</f>
        <v>2.6226813266661111E-4</v>
      </c>
      <c r="J19" s="2">
        <f xml:space="preserve"> 79.2297642639896 / 86400</f>
        <v>9.1701116046284258E-4</v>
      </c>
      <c r="K19" s="2">
        <f xml:space="preserve"> 49.7988627624422 / 86400</f>
        <v>5.7637572641715512E-4</v>
      </c>
      <c r="L19" s="2">
        <f xml:space="preserve"> 9.46379048900912 / 86400</f>
        <v>1.0953461214130927E-4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380</v>
      </c>
      <c r="H20" s="9"/>
      <c r="I20" s="2">
        <f xml:space="preserve"> 40.2037399435067 / 86400</f>
        <v>4.6532106416095713E-4</v>
      </c>
      <c r="J20" s="2">
        <f xml:space="preserve"> 98.0453948281065 / 86400</f>
        <v>1.1347846623623438E-3</v>
      </c>
      <c r="K20" s="2">
        <f xml:space="preserve"> 70.5213695658855 / 86400</f>
        <v>8.1621955516071175E-4</v>
      </c>
      <c r="L20" s="2">
        <f xml:space="preserve"> 10.7632567608995 / 86400</f>
        <v>1.2457473102892941E-4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380</v>
      </c>
      <c r="H21" s="9"/>
      <c r="I21" s="2">
        <f xml:space="preserve"> 428.986270785805 / 86400</f>
        <v>4.9651188748357057E-3</v>
      </c>
      <c r="J21" s="2">
        <f xml:space="preserve"> 4358.4035067458 / 86400</f>
        <v>5.044448503178009E-2</v>
      </c>
      <c r="K21" s="2">
        <f xml:space="preserve"> 2069.19678951635 / 86400</f>
        <v>2.3949036915698493E-2</v>
      </c>
      <c r="L21" s="2">
        <f xml:space="preserve"> 745.381519137454 / 86400</f>
        <v>8.6271009159427543E-3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70</v>
      </c>
      <c r="H22" s="9"/>
      <c r="I22" s="2">
        <f xml:space="preserve"> 662.150634435297 / 86400</f>
        <v>7.6637804911492708E-3</v>
      </c>
      <c r="J22" s="2">
        <f xml:space="preserve"> 3038.10909754451 / 86400</f>
        <v>3.5163299740098491E-2</v>
      </c>
      <c r="K22" s="2">
        <f xml:space="preserve"> 1534.14486543978 / 86400</f>
        <v>1.7756306312960417E-2</v>
      </c>
      <c r="L22" s="2">
        <f xml:space="preserve"> 558.601256318154 / 86400</f>
        <v>6.4652923184971532E-3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380</v>
      </c>
      <c r="H23" s="9"/>
      <c r="I23" s="2">
        <f xml:space="preserve"> 621.470104973996 / 86400</f>
        <v>7.1929410297916201E-3</v>
      </c>
      <c r="J23" s="2">
        <f xml:space="preserve"> 1664.14852468099 / 86400</f>
        <v>1.9260978294918865E-2</v>
      </c>
      <c r="K23" s="2">
        <f xml:space="preserve"> 1022.86190251909 / 86400</f>
        <v>1.1838679427304282E-2</v>
      </c>
      <c r="L23" s="2">
        <f xml:space="preserve"> 211.557421598902 / 86400</f>
        <v>2.4485812685058105E-3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380</v>
      </c>
      <c r="H24" s="9"/>
      <c r="I24" s="2">
        <f xml:space="preserve"> 12.7610775748103 / 86400</f>
        <v>1.4769765711585995E-4</v>
      </c>
      <c r="J24" s="2">
        <f xml:space="preserve"> 664.112834433996 / 86400</f>
        <v>7.686491139282361E-3</v>
      </c>
      <c r="K24" s="2">
        <f xml:space="preserve"> 384.881467191994 / 86400</f>
        <v>4.454646611018449E-3</v>
      </c>
      <c r="L24" s="2">
        <f xml:space="preserve"> 216.42335007734 / 86400</f>
        <v>2.5048998851543982E-3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380</v>
      </c>
      <c r="H25" s="9"/>
      <c r="I25" s="2">
        <f xml:space="preserve"> 107.0288050569 / 86400</f>
        <v>1.2387593177881945E-3</v>
      </c>
      <c r="J25" s="2">
        <f xml:space="preserve"> 1357.1932839531 / 86400</f>
        <v>1.5708255601309028E-2</v>
      </c>
      <c r="K25" s="2">
        <f xml:space="preserve"> 561.584934560058 / 86400</f>
        <v>6.499825631482152E-3</v>
      </c>
      <c r="L25" s="2">
        <f xml:space="preserve"> 230.933976570976 / 86400</f>
        <v>2.6728469510529629E-3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10</v>
      </c>
      <c r="H26" s="9"/>
      <c r="I26" s="2">
        <f xml:space="preserve"> 409.739285246003 / 86400</f>
        <v>4.7423528384954051E-3</v>
      </c>
      <c r="J26" s="2">
        <f xml:space="preserve"> 708.651326764986 / 86400</f>
        <v>8.2019829486688206E-3</v>
      </c>
      <c r="K26" s="2">
        <f xml:space="preserve"> 558.3122239547 / 86400</f>
        <v>6.4619470365127321E-3</v>
      </c>
      <c r="L26" s="2">
        <f xml:space="preserve"> 98.5428403267559 / 86400</f>
        <v>1.1405421334115266E-3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10</v>
      </c>
      <c r="H27" s="9"/>
      <c r="I27" s="2">
        <f xml:space="preserve"> 347.026051282999 / 86400</f>
        <v>4.0165052231828586E-3</v>
      </c>
      <c r="J27" s="2">
        <f xml:space="preserve"> 509.618213211012 / 86400</f>
        <v>5.8983589492015275E-3</v>
      </c>
      <c r="K27" s="2">
        <f xml:space="preserve"> 429.132612179796 / 86400</f>
        <v>4.9668126409698615E-3</v>
      </c>
      <c r="L27" s="2">
        <f xml:space="preserve"> 55.4907957652068 / 86400</f>
        <v>6.422545806158194E-4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10</v>
      </c>
      <c r="H28" s="9"/>
      <c r="I28" s="2">
        <f xml:space="preserve"> 3541.01423352401 / 86400</f>
        <v>4.0983961036157521E-2</v>
      </c>
      <c r="J28" s="2">
        <f xml:space="preserve"> 5096.81323754101 / 86400</f>
        <v>5.8990893953020943E-2</v>
      </c>
      <c r="K28" s="2">
        <f xml:space="preserve"> 4201.22759339731 / 86400</f>
        <v>4.8625319368024417E-2</v>
      </c>
      <c r="L28" s="2">
        <f xml:space="preserve"> 515.29392495669 / 86400</f>
        <v>5.9640500573690976E-3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10</v>
      </c>
      <c r="H29" s="9"/>
      <c r="I29" s="2">
        <f xml:space="preserve"> 394.423968973977 / 86400</f>
        <v>4.5650922334951041E-3</v>
      </c>
      <c r="J29" s="2">
        <f xml:space="preserve"> 568.753119281988 / 86400</f>
        <v>6.5827907324304165E-3</v>
      </c>
      <c r="K29" s="2">
        <f xml:space="preserve"> 470.112805168092 / 86400</f>
        <v>5.4411204301862501E-3</v>
      </c>
      <c r="L29" s="2">
        <f xml:space="preserve"> 55.7257021399157 / 86400</f>
        <v>6.449734043971724E-4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10</v>
      </c>
      <c r="H30" s="9"/>
      <c r="I30" s="2">
        <f xml:space="preserve"> 133.047408682003 / 86400</f>
        <v>1.5399005634491088E-3</v>
      </c>
      <c r="J30" s="2">
        <f xml:space="preserve"> 292.088331874023 / 86400</f>
        <v>3.3806519892826737E-3</v>
      </c>
      <c r="K30" s="2">
        <f xml:space="preserve"> 184.070775408301 / 86400</f>
        <v>2.1304487894479281E-3</v>
      </c>
      <c r="L30" s="2">
        <f xml:space="preserve"> 47.9185997187647 / 86400</f>
        <v>5.5461342267088779E-4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42A2-BCAB-41E7-90D4-AC1A5795CCAD}">
  <dimension ref="A1:L71"/>
  <sheetViews>
    <sheetView tabSelected="1" topLeftCell="A4" workbookViewId="0">
      <selection activeCell="L43" sqref="L43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5.5703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88780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10</v>
      </c>
      <c r="H14" s="9"/>
      <c r="I14" s="2">
        <f xml:space="preserve"> 91.0534152519206 / 86400</f>
        <v>1.0538589728231551E-3</v>
      </c>
      <c r="J14" s="2">
        <f xml:space="preserve"> 227.10331299673 / 86400</f>
        <v>2.6285105670917825E-3</v>
      </c>
      <c r="K14" s="27">
        <f xml:space="preserve"> 169.628670889897 / 86400</f>
        <v>1.9632948019664004E-3</v>
      </c>
      <c r="L14" s="2">
        <f xml:space="preserve"> 41.6421041300945 / 86400</f>
        <v>4.819687978020197E-4</v>
      </c>
    </row>
    <row r="15" spans="1:12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10</v>
      </c>
      <c r="H15" s="9"/>
      <c r="I15" s="2">
        <f xml:space="preserve"> 9.942402007032 / 86400</f>
        <v>1.1507409730361111E-4</v>
      </c>
      <c r="J15" s="2">
        <f xml:space="preserve"> 21.999848880805 / 86400</f>
        <v>2.546278805648727E-4</v>
      </c>
      <c r="K15" s="27">
        <f xml:space="preserve"> 15.1136785701447 / 86400</f>
        <v>1.7492683530260069E-4</v>
      </c>
      <c r="L15" s="2">
        <f xml:space="preserve"> 3.92699223046435 / 86400</f>
        <v>4.5451298963707756E-5</v>
      </c>
    </row>
    <row r="16" spans="1:12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10</v>
      </c>
      <c r="H16" s="9"/>
      <c r="I16" s="2">
        <f xml:space="preserve"> 63.718328077378 / 86400</f>
        <v>7.3748064904372685E-4</v>
      </c>
      <c r="J16" s="2">
        <f xml:space="preserve"> 90.838384145503 / 86400</f>
        <v>1.0513701868692478E-3</v>
      </c>
      <c r="K16" s="27">
        <f xml:space="preserve"> 76.9110287916552 / 86400</f>
        <v>8.9017394434786105E-4</v>
      </c>
      <c r="L16" s="2">
        <f xml:space="preserve"> 9.12990125527208 / 86400</f>
        <v>1.0567015341750092E-4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10</v>
      </c>
      <c r="H17" s="9"/>
      <c r="I17" s="2">
        <f xml:space="preserve"> 94.754574158496 / 86400</f>
        <v>1.0966964601677777E-3</v>
      </c>
      <c r="J17" s="2">
        <f xml:space="preserve"> 297.779319309524 / 86400</f>
        <v>3.446519899415787E-3</v>
      </c>
      <c r="K17" s="25">
        <f xml:space="preserve"> 173.301012301619 / 86400</f>
        <v>2.0057987534909606E-3</v>
      </c>
      <c r="L17" s="2">
        <f xml:space="preserve"> 69.6962167836198 / 86400</f>
        <v>8.0666917573634029E-4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380</v>
      </c>
      <c r="H18" s="9"/>
      <c r="I18" s="2">
        <f xml:space="preserve"> 11.74357560731 / 86400</f>
        <v>1.3592101397349538E-4</v>
      </c>
      <c r="J18" s="2">
        <f xml:space="preserve"> 118.14433363645 / 86400</f>
        <v>1.3674112689403934E-3</v>
      </c>
      <c r="K18" s="25">
        <f xml:space="preserve"> 69.5247782297114 / 86400</f>
        <v>8.0468493321425236E-4</v>
      </c>
      <c r="L18" s="2">
        <f xml:space="preserve"> 18.9867088703099 / 86400</f>
        <v>2.1975357488784606E-4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380</v>
      </c>
      <c r="H19" s="9"/>
      <c r="I19" s="2">
        <f xml:space="preserve"> 22.6599666623952 / 86400</f>
        <v>2.6226813266661111E-4</v>
      </c>
      <c r="J19" s="2">
        <f xml:space="preserve"> 79.2297642639896 / 86400</f>
        <v>9.1701116046284258E-4</v>
      </c>
      <c r="K19" s="25">
        <f xml:space="preserve"> 49.7988627624422 / 86400</f>
        <v>5.7637572641715512E-4</v>
      </c>
      <c r="L19" s="2">
        <f xml:space="preserve"> 9.46379048900912 / 86400</f>
        <v>1.0953461214130927E-4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380</v>
      </c>
      <c r="H20" s="9"/>
      <c r="I20" s="2">
        <f xml:space="preserve"> 40.2037399435067 / 86400</f>
        <v>4.6532106416095713E-4</v>
      </c>
      <c r="J20" s="2">
        <f xml:space="preserve"> 98.0453948281065 / 86400</f>
        <v>1.1347846623623438E-3</v>
      </c>
      <c r="K20" s="25">
        <f xml:space="preserve"> 70.5213695658855 / 86400</f>
        <v>8.1621955516071175E-4</v>
      </c>
      <c r="L20" s="2">
        <f xml:space="preserve"> 10.7632567608995 / 86400</f>
        <v>1.2457473102892941E-4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380</v>
      </c>
      <c r="H21" s="9"/>
      <c r="I21" s="2">
        <f xml:space="preserve"> 428.986270785805 / 86400</f>
        <v>4.9651188748357057E-3</v>
      </c>
      <c r="J21" s="2">
        <f xml:space="preserve"> 4358.4035067458 / 86400</f>
        <v>5.044448503178009E-2</v>
      </c>
      <c r="K21" s="25">
        <f xml:space="preserve"> 2069.19678951635 / 86400</f>
        <v>2.3949036915698493E-2</v>
      </c>
      <c r="L21" s="2">
        <f xml:space="preserve"> 745.381519137454 / 86400</f>
        <v>8.6271009159427543E-3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70</v>
      </c>
      <c r="H22" s="9"/>
      <c r="I22" s="2">
        <f xml:space="preserve"> 662.150634435297 / 86400</f>
        <v>7.6637804911492708E-3</v>
      </c>
      <c r="J22" s="2">
        <f xml:space="preserve"> 3038.10909754451 / 86400</f>
        <v>3.5163299740098491E-2</v>
      </c>
      <c r="K22" s="25">
        <f xml:space="preserve"> 1534.14486543978 / 86400</f>
        <v>1.7756306312960417E-2</v>
      </c>
      <c r="L22" s="2">
        <f xml:space="preserve"> 558.601256318154 / 86400</f>
        <v>6.4652923184971532E-3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380</v>
      </c>
      <c r="H23" s="9"/>
      <c r="I23" s="2">
        <f xml:space="preserve"> 621.470104973996 / 86400</f>
        <v>7.1929410297916201E-3</v>
      </c>
      <c r="J23" s="2">
        <f xml:space="preserve"> 1664.14852468099 / 86400</f>
        <v>1.9260978294918865E-2</v>
      </c>
      <c r="K23" s="25">
        <f xml:space="preserve"> 1022.86190251909 / 86400</f>
        <v>1.1838679427304282E-2</v>
      </c>
      <c r="L23" s="2">
        <f xml:space="preserve"> 211.557421598902 / 86400</f>
        <v>2.4485812685058105E-3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380</v>
      </c>
      <c r="H24" s="9"/>
      <c r="I24" s="2">
        <f xml:space="preserve"> 12.7610775748103 / 86400</f>
        <v>1.4769765711585995E-4</v>
      </c>
      <c r="J24" s="2">
        <f xml:space="preserve"> 664.112834433996 / 86400</f>
        <v>7.686491139282361E-3</v>
      </c>
      <c r="K24" s="25">
        <f xml:space="preserve"> 384.881467191994 / 86400</f>
        <v>4.454646611018449E-3</v>
      </c>
      <c r="L24" s="2">
        <f xml:space="preserve"> 216.42335007734 / 86400</f>
        <v>2.5048998851543982E-3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380</v>
      </c>
      <c r="H25" s="9"/>
      <c r="I25" s="2">
        <f xml:space="preserve"> 107.0288050569 / 86400</f>
        <v>1.2387593177881945E-3</v>
      </c>
      <c r="J25" s="2">
        <f xml:space="preserve"> 1357.1932839531 / 86400</f>
        <v>1.5708255601309028E-2</v>
      </c>
      <c r="K25" s="25">
        <f xml:space="preserve"> 561.584934560058 / 86400</f>
        <v>6.499825631482152E-3</v>
      </c>
      <c r="L25" s="2">
        <f xml:space="preserve"> 230.933976570976 / 86400</f>
        <v>2.6728469510529629E-3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10</v>
      </c>
      <c r="H26" s="9"/>
      <c r="I26" s="2">
        <f xml:space="preserve"> 409.739285246003 / 86400</f>
        <v>4.7423528384954051E-3</v>
      </c>
      <c r="J26" s="2">
        <f xml:space="preserve"> 708.651326764986 / 86400</f>
        <v>8.2019829486688206E-3</v>
      </c>
      <c r="K26" s="23">
        <f xml:space="preserve"> 558.3122239547 / 86400</f>
        <v>6.4619470365127321E-3</v>
      </c>
      <c r="L26" s="2">
        <f xml:space="preserve"> 98.5428403267559 / 86400</f>
        <v>1.1405421334115266E-3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10</v>
      </c>
      <c r="H27" s="9"/>
      <c r="I27" s="2">
        <f xml:space="preserve"> 347.026051282999 / 86400</f>
        <v>4.0165052231828586E-3</v>
      </c>
      <c r="J27" s="2">
        <f xml:space="preserve"> 509.618213211012 / 86400</f>
        <v>5.8983589492015275E-3</v>
      </c>
      <c r="K27" s="23">
        <f xml:space="preserve"> 429.132612179796 / 86400</f>
        <v>4.9668126409698615E-3</v>
      </c>
      <c r="L27" s="2">
        <f xml:space="preserve"> 55.4907957652068 / 86400</f>
        <v>6.422545806158194E-4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10</v>
      </c>
      <c r="H28" s="9"/>
      <c r="I28" s="2">
        <f xml:space="preserve"> 3541.01423352401 / 86400</f>
        <v>4.0983961036157521E-2</v>
      </c>
      <c r="J28" s="2">
        <f xml:space="preserve"> 5096.81323754101 / 86400</f>
        <v>5.8990893953020943E-2</v>
      </c>
      <c r="K28" s="23">
        <f xml:space="preserve"> 4201.22759339731 / 86400</f>
        <v>4.8625319368024417E-2</v>
      </c>
      <c r="L28" s="2">
        <f xml:space="preserve"> 515.29392495669 / 86400</f>
        <v>5.9640500573690976E-3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10</v>
      </c>
      <c r="H29" s="9"/>
      <c r="I29" s="2">
        <f xml:space="preserve"> 394.423968973977 / 86400</f>
        <v>4.5650922334951041E-3</v>
      </c>
      <c r="J29" s="2">
        <f xml:space="preserve"> 568.753119281988 / 86400</f>
        <v>6.5827907324304165E-3</v>
      </c>
      <c r="K29" s="23">
        <f xml:space="preserve"> 470.112805168092 / 86400</f>
        <v>5.4411204301862501E-3</v>
      </c>
      <c r="L29" s="2">
        <f xml:space="preserve"> 55.7257021399157 / 86400</f>
        <v>6.449734043971724E-4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10</v>
      </c>
      <c r="H30" s="9"/>
      <c r="I30" s="2">
        <f xml:space="preserve"> 133.047408682003 / 86400</f>
        <v>1.5399005634491088E-3</v>
      </c>
      <c r="J30" s="2">
        <f xml:space="preserve"> 292.088331874023 / 86400</f>
        <v>3.3806519892826737E-3</v>
      </c>
      <c r="K30" s="23">
        <f xml:space="preserve"> 184.070775408301 / 86400</f>
        <v>2.1304487894479281E-3</v>
      </c>
      <c r="L30" s="2">
        <f xml:space="preserve"> 47.9185997187647 / 86400</f>
        <v>5.5461342267088779E-4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81</v>
      </c>
      <c r="F35" s="17" t="s">
        <v>72</v>
      </c>
      <c r="G35" s="15" t="s">
        <v>77</v>
      </c>
      <c r="H35" s="15" t="s">
        <v>78</v>
      </c>
      <c r="I35" s="38" t="s">
        <v>79</v>
      </c>
      <c r="J35" s="15"/>
      <c r="K35" s="15"/>
      <c r="L35" s="15"/>
    </row>
    <row r="36" spans="4:12" x14ac:dyDescent="0.25">
      <c r="D36" s="28"/>
      <c r="E36" t="s">
        <v>48</v>
      </c>
      <c r="F36" s="16">
        <f>(K14*86400)/60</f>
        <v>2.8271445148316166</v>
      </c>
      <c r="G36" s="4">
        <v>10</v>
      </c>
      <c r="H36" s="41">
        <f>G36/10</f>
        <v>1</v>
      </c>
      <c r="I36" s="32">
        <f>F36*H36</f>
        <v>2.8271445148316166</v>
      </c>
      <c r="J36" s="15"/>
      <c r="K36" s="15"/>
      <c r="L36" s="15"/>
    </row>
    <row r="37" spans="4:12" x14ac:dyDescent="0.25">
      <c r="D37" s="28"/>
      <c r="E37" t="s">
        <v>49</v>
      </c>
      <c r="F37" s="16">
        <f>(K15*86400)/60</f>
        <v>0.25189464283574498</v>
      </c>
      <c r="G37" s="4">
        <v>10</v>
      </c>
      <c r="H37" s="41">
        <f>G37/10</f>
        <v>1</v>
      </c>
      <c r="I37" s="32">
        <f>F37*H37</f>
        <v>0.25189464283574498</v>
      </c>
      <c r="J37" s="15"/>
      <c r="K37" s="15"/>
      <c r="L37" s="15"/>
    </row>
    <row r="38" spans="4:12" x14ac:dyDescent="0.25">
      <c r="D38" s="28"/>
      <c r="E38" s="20" t="s">
        <v>50</v>
      </c>
      <c r="F38" s="21">
        <f>(K16*86400)/60</f>
        <v>1.28185047986092</v>
      </c>
      <c r="G38" s="4">
        <v>10</v>
      </c>
      <c r="H38" s="41">
        <f>G38/10</f>
        <v>1</v>
      </c>
      <c r="I38" s="42">
        <f>F38*H38</f>
        <v>1.28185047986092</v>
      </c>
      <c r="J38" s="38" t="s">
        <v>83</v>
      </c>
      <c r="K38" s="15"/>
      <c r="L38" s="15"/>
    </row>
    <row r="39" spans="4:12" x14ac:dyDescent="0.25">
      <c r="E39" s="18" t="s">
        <v>71</v>
      </c>
      <c r="F39" s="19">
        <f>SUM(F36:F38)</f>
        <v>4.360889637528282</v>
      </c>
      <c r="G39" s="15"/>
      <c r="H39" s="41"/>
      <c r="I39" s="33">
        <f>SUM(I36:I38)</f>
        <v>4.360889637528282</v>
      </c>
      <c r="J39" s="15"/>
      <c r="K39" s="15"/>
      <c r="L39" s="15"/>
    </row>
    <row r="40" spans="4:12" x14ac:dyDescent="0.25">
      <c r="F40" s="15"/>
      <c r="G40" s="15"/>
      <c r="H40" s="41"/>
      <c r="I40" s="32"/>
      <c r="J40" s="15"/>
      <c r="K40" s="15"/>
      <c r="L40" s="15"/>
    </row>
    <row r="41" spans="4:12" x14ac:dyDescent="0.25">
      <c r="F41" s="15"/>
      <c r="G41" s="15"/>
      <c r="H41" s="41"/>
      <c r="I41" s="32"/>
      <c r="J41" s="15"/>
      <c r="K41" s="15"/>
      <c r="L41" s="15"/>
    </row>
    <row r="42" spans="4:12" x14ac:dyDescent="0.25">
      <c r="E42" s="12" t="s">
        <v>82</v>
      </c>
      <c r="F42" s="17" t="s">
        <v>72</v>
      </c>
      <c r="G42" s="15"/>
      <c r="H42" s="41"/>
      <c r="I42" s="32"/>
      <c r="J42" s="15"/>
      <c r="K42" s="15"/>
      <c r="L42" s="15"/>
    </row>
    <row r="43" spans="4:12" x14ac:dyDescent="0.25">
      <c r="D43" s="29"/>
      <c r="E43" t="s">
        <v>51</v>
      </c>
      <c r="F43" s="16">
        <f t="shared" ref="F43:F49" si="0">(K17*86400)/60</f>
        <v>2.8883502050269834</v>
      </c>
      <c r="G43" s="4">
        <v>10</v>
      </c>
      <c r="H43" s="41">
        <f t="shared" ref="H43:H51" si="1">G43/10</f>
        <v>1</v>
      </c>
      <c r="I43" s="32">
        <f t="shared" ref="I43:I60" si="2">F43*H43</f>
        <v>2.8883502050269834</v>
      </c>
      <c r="J43" s="15"/>
      <c r="K43" s="15"/>
      <c r="L43" s="15"/>
    </row>
    <row r="44" spans="4:12" x14ac:dyDescent="0.25">
      <c r="D44" s="29"/>
      <c r="E44" t="s">
        <v>52</v>
      </c>
      <c r="F44" s="16">
        <f t="shared" si="0"/>
        <v>1.1587463038285233</v>
      </c>
      <c r="G44" s="4">
        <v>380</v>
      </c>
      <c r="H44" s="41">
        <f t="shared" si="1"/>
        <v>38</v>
      </c>
      <c r="I44" s="32">
        <f t="shared" si="2"/>
        <v>44.032359545483885</v>
      </c>
      <c r="J44" s="15"/>
      <c r="K44" s="15"/>
      <c r="L44" s="15"/>
    </row>
    <row r="45" spans="4:12" x14ac:dyDescent="0.25">
      <c r="D45" s="29"/>
      <c r="E45" t="s">
        <v>53</v>
      </c>
      <c r="F45" s="16">
        <f t="shared" si="0"/>
        <v>0.82998104604070344</v>
      </c>
      <c r="G45" s="4">
        <v>380</v>
      </c>
      <c r="H45" s="41">
        <f t="shared" si="1"/>
        <v>38</v>
      </c>
      <c r="I45" s="32">
        <f t="shared" si="2"/>
        <v>31.539279749546729</v>
      </c>
      <c r="J45" s="15"/>
      <c r="K45" s="15"/>
      <c r="L45" s="15"/>
    </row>
    <row r="46" spans="4:12" x14ac:dyDescent="0.25">
      <c r="D46" s="29"/>
      <c r="E46" t="s">
        <v>54</v>
      </c>
      <c r="F46" s="16">
        <f t="shared" si="0"/>
        <v>1.1753561594314248</v>
      </c>
      <c r="G46" s="4">
        <v>380</v>
      </c>
      <c r="H46" s="41">
        <f t="shared" si="1"/>
        <v>38</v>
      </c>
      <c r="I46" s="32">
        <f t="shared" si="2"/>
        <v>44.663534058394141</v>
      </c>
      <c r="J46" s="15"/>
      <c r="K46" s="15"/>
      <c r="L46" s="15"/>
    </row>
    <row r="47" spans="4:12" x14ac:dyDescent="0.25">
      <c r="D47" s="29"/>
      <c r="E47" t="s">
        <v>55</v>
      </c>
      <c r="F47" s="16">
        <f t="shared" si="0"/>
        <v>34.486613158605827</v>
      </c>
      <c r="G47" s="4">
        <v>380</v>
      </c>
      <c r="H47" s="41">
        <f t="shared" si="1"/>
        <v>38</v>
      </c>
      <c r="I47" s="32">
        <f t="shared" si="2"/>
        <v>1310.4913000270215</v>
      </c>
      <c r="J47" s="15"/>
      <c r="K47" s="15"/>
      <c r="L47" s="15"/>
    </row>
    <row r="48" spans="4:12" x14ac:dyDescent="0.25">
      <c r="D48" s="29"/>
      <c r="E48" t="s">
        <v>56</v>
      </c>
      <c r="F48" s="16">
        <f t="shared" si="0"/>
        <v>25.569081090663001</v>
      </c>
      <c r="G48" s="4">
        <v>70</v>
      </c>
      <c r="H48" s="41">
        <f t="shared" si="1"/>
        <v>7</v>
      </c>
      <c r="I48" s="32">
        <f>F48*H48</f>
        <v>178.98356763464102</v>
      </c>
      <c r="J48" s="15"/>
      <c r="K48" s="15"/>
      <c r="L48" s="15"/>
    </row>
    <row r="49" spans="4:12" x14ac:dyDescent="0.25">
      <c r="D49" s="29"/>
      <c r="E49" t="s">
        <v>57</v>
      </c>
      <c r="F49" s="16">
        <f t="shared" si="0"/>
        <v>17.047698375318166</v>
      </c>
      <c r="G49" s="4">
        <v>380</v>
      </c>
      <c r="H49" s="41">
        <f t="shared" si="1"/>
        <v>38</v>
      </c>
      <c r="I49" s="32">
        <f t="shared" si="2"/>
        <v>647.81253826209036</v>
      </c>
      <c r="J49" s="15"/>
      <c r="K49" s="15"/>
      <c r="L49" s="15"/>
    </row>
    <row r="50" spans="4:12" x14ac:dyDescent="0.25">
      <c r="D50" s="29"/>
      <c r="E50" t="s">
        <v>58</v>
      </c>
      <c r="F50" s="16">
        <f>(K24*86400)/60</f>
        <v>6.4146911198665659</v>
      </c>
      <c r="G50" s="4">
        <v>380</v>
      </c>
      <c r="H50" s="41">
        <f t="shared" si="1"/>
        <v>38</v>
      </c>
      <c r="I50" s="32">
        <f>F50*H50</f>
        <v>243.7582625549295</v>
      </c>
      <c r="J50" s="15"/>
      <c r="K50" s="15"/>
      <c r="L50" s="15"/>
    </row>
    <row r="51" spans="4:12" x14ac:dyDescent="0.25">
      <c r="D51" s="29"/>
      <c r="E51" s="20" t="s">
        <v>59</v>
      </c>
      <c r="F51" s="21">
        <f>(K25*86400)/60</f>
        <v>9.3597489093342983</v>
      </c>
      <c r="G51" s="4">
        <v>380</v>
      </c>
      <c r="H51" s="41">
        <f t="shared" si="1"/>
        <v>38</v>
      </c>
      <c r="I51" s="39">
        <f t="shared" si="2"/>
        <v>355.67045855470332</v>
      </c>
      <c r="J51" s="15"/>
      <c r="K51" s="15"/>
      <c r="L51" s="15"/>
    </row>
    <row r="52" spans="4:12" x14ac:dyDescent="0.25">
      <c r="E52" s="18" t="s">
        <v>73</v>
      </c>
      <c r="F52" s="19">
        <f>SUM(F43:F51)</f>
        <v>98.930266368115483</v>
      </c>
      <c r="G52" s="15"/>
      <c r="H52" s="41"/>
      <c r="I52" s="33">
        <f>SUM(I43:I51)</f>
        <v>2859.8396505918372</v>
      </c>
      <c r="J52" s="15"/>
      <c r="K52" s="15"/>
      <c r="L52" s="15"/>
    </row>
    <row r="53" spans="4:12" x14ac:dyDescent="0.25">
      <c r="F53" s="15"/>
      <c r="G53" s="15"/>
      <c r="H53" s="41"/>
      <c r="I53" s="32"/>
      <c r="J53" s="15"/>
      <c r="K53" s="15"/>
      <c r="L53" s="15"/>
    </row>
    <row r="54" spans="4:12" x14ac:dyDescent="0.25">
      <c r="F54" s="15"/>
      <c r="G54" s="15"/>
      <c r="H54" s="41"/>
      <c r="I54" s="32"/>
      <c r="J54" s="15"/>
      <c r="K54" s="15"/>
      <c r="L54" s="15"/>
    </row>
    <row r="55" spans="4:12" x14ac:dyDescent="0.25">
      <c r="E55" s="12" t="s">
        <v>74</v>
      </c>
      <c r="F55" s="17" t="s">
        <v>72</v>
      </c>
      <c r="G55" s="15"/>
      <c r="H55" s="41"/>
      <c r="I55" s="32"/>
      <c r="J55" s="15"/>
      <c r="K55" s="15"/>
      <c r="L55" s="15"/>
    </row>
    <row r="56" spans="4:12" x14ac:dyDescent="0.25">
      <c r="D56" s="30"/>
      <c r="E56" t="s">
        <v>60</v>
      </c>
      <c r="F56" s="16">
        <f>(K26*86400)/60</f>
        <v>9.3052037325783328</v>
      </c>
      <c r="G56" s="4">
        <v>10</v>
      </c>
      <c r="H56" s="41">
        <f>G56/10</f>
        <v>1</v>
      </c>
      <c r="I56" s="32">
        <f t="shared" si="2"/>
        <v>9.3052037325783328</v>
      </c>
      <c r="J56" s="15"/>
      <c r="K56" s="15"/>
      <c r="L56" s="15"/>
    </row>
    <row r="57" spans="4:12" x14ac:dyDescent="0.25">
      <c r="D57" s="30"/>
      <c r="E57" t="s">
        <v>61</v>
      </c>
      <c r="F57" s="16">
        <f>(K27*86400)/60</f>
        <v>7.1522102029966002</v>
      </c>
      <c r="G57" s="4">
        <v>10</v>
      </c>
      <c r="H57" s="41">
        <f>G57/10</f>
        <v>1</v>
      </c>
      <c r="I57" s="32">
        <f t="shared" si="2"/>
        <v>7.1522102029966002</v>
      </c>
      <c r="J57" s="15"/>
      <c r="K57" s="15"/>
      <c r="L57" s="15"/>
    </row>
    <row r="58" spans="4:12" x14ac:dyDescent="0.25">
      <c r="D58" s="30"/>
      <c r="E58" t="s">
        <v>62</v>
      </c>
      <c r="F58" s="16">
        <f>(K28*86400)/60</f>
        <v>70.020459889955163</v>
      </c>
      <c r="G58" s="4">
        <v>10</v>
      </c>
      <c r="H58" s="41">
        <f>G58/10</f>
        <v>1</v>
      </c>
      <c r="I58" s="32">
        <f t="shared" si="2"/>
        <v>70.020459889955163</v>
      </c>
      <c r="J58" s="15"/>
      <c r="K58" s="15"/>
      <c r="L58" s="15"/>
    </row>
    <row r="59" spans="4:12" x14ac:dyDescent="0.25">
      <c r="D59" s="30"/>
      <c r="E59" t="s">
        <v>63</v>
      </c>
      <c r="F59" s="16">
        <f>(K29*86400)/60</f>
        <v>7.8352134194682002</v>
      </c>
      <c r="G59" s="4">
        <v>10</v>
      </c>
      <c r="H59" s="41">
        <f>G59/10</f>
        <v>1</v>
      </c>
      <c r="I59" s="32">
        <f t="shared" si="2"/>
        <v>7.8352134194682002</v>
      </c>
      <c r="J59" s="15"/>
      <c r="K59" s="15"/>
      <c r="L59" s="15"/>
    </row>
    <row r="60" spans="4:12" x14ac:dyDescent="0.25">
      <c r="D60" s="30"/>
      <c r="E60" s="20" t="s">
        <v>64</v>
      </c>
      <c r="F60" s="21">
        <f>(K30*86400)/60</f>
        <v>3.0678462568050167</v>
      </c>
      <c r="G60" s="4">
        <v>10</v>
      </c>
      <c r="H60" s="41">
        <f>G60/10</f>
        <v>1</v>
      </c>
      <c r="I60" s="39">
        <f t="shared" si="2"/>
        <v>3.0678462568050167</v>
      </c>
      <c r="J60" s="15"/>
      <c r="K60" s="15"/>
      <c r="L60" s="15"/>
    </row>
    <row r="61" spans="4:12" x14ac:dyDescent="0.25">
      <c r="E61" s="18" t="s">
        <v>73</v>
      </c>
      <c r="F61" s="19">
        <f>SUM(F56:F60)</f>
        <v>97.380933501803312</v>
      </c>
      <c r="G61" s="15"/>
      <c r="H61" s="15"/>
      <c r="I61" s="33">
        <f>SUM(I56:I60)</f>
        <v>97.380933501803312</v>
      </c>
      <c r="J61" s="15"/>
      <c r="K61" s="15"/>
      <c r="L61" s="15"/>
    </row>
    <row r="62" spans="4:12" x14ac:dyDescent="0.25">
      <c r="F62" s="15"/>
      <c r="G62" s="15"/>
      <c r="H62" s="15"/>
      <c r="I62" s="32"/>
      <c r="J62" s="15"/>
      <c r="K62" s="15"/>
      <c r="L62" s="15"/>
    </row>
    <row r="63" spans="4:12" x14ac:dyDescent="0.25">
      <c r="F63" s="15"/>
      <c r="G63" s="15"/>
      <c r="H63" s="15"/>
      <c r="I63" s="32"/>
      <c r="J63" s="15"/>
      <c r="K63" s="15"/>
      <c r="L63" s="15"/>
    </row>
    <row r="64" spans="4:12" x14ac:dyDescent="0.25">
      <c r="D64" s="31"/>
      <c r="E64" s="18" t="s">
        <v>75</v>
      </c>
      <c r="F64" s="19">
        <f>I52+SUM(I56:I59)</f>
        <v>2954.1527378368355</v>
      </c>
      <c r="G64" s="15"/>
      <c r="H64" s="40" t="s">
        <v>80</v>
      </c>
      <c r="I64" s="36">
        <f>I39+I52+I61</f>
        <v>2961.5814737311684</v>
      </c>
      <c r="J64" s="15"/>
      <c r="K64" s="15"/>
      <c r="L64" s="15"/>
    </row>
    <row r="65" spans="6:12" x14ac:dyDescent="0.25">
      <c r="F65" s="15"/>
      <c r="G65" s="15"/>
      <c r="H65" s="15"/>
      <c r="I65" s="15"/>
      <c r="J65" s="15"/>
      <c r="K65" s="15"/>
      <c r="L65" s="15"/>
    </row>
    <row r="66" spans="6:12" x14ac:dyDescent="0.25">
      <c r="F66" s="15"/>
      <c r="G66" s="15"/>
      <c r="H66" s="15"/>
      <c r="I66" s="15"/>
      <c r="J66" s="15"/>
      <c r="K66" s="15"/>
      <c r="L66" s="15"/>
    </row>
    <row r="67" spans="6:12" x14ac:dyDescent="0.25">
      <c r="F67" s="15"/>
      <c r="G67" s="15"/>
      <c r="H67" s="15"/>
      <c r="I67" s="15"/>
      <c r="J67" s="15"/>
      <c r="K67" s="15"/>
      <c r="L67" s="15"/>
    </row>
    <row r="68" spans="6:12" x14ac:dyDescent="0.25">
      <c r="F68" s="15"/>
      <c r="G68" s="15"/>
      <c r="H68" s="15"/>
      <c r="I68" s="15"/>
      <c r="J68" s="15"/>
      <c r="K68" s="15"/>
      <c r="L68" s="15"/>
    </row>
    <row r="69" spans="6:12" x14ac:dyDescent="0.25">
      <c r="F69" s="15"/>
    </row>
    <row r="70" spans="6:12" x14ac:dyDescent="0.25">
      <c r="F70" s="15"/>
    </row>
    <row r="71" spans="6:12" x14ac:dyDescent="0.25">
      <c r="F71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2025-05-10T01:55:03Z</dcterms:created>
  <dcterms:modified xsi:type="dcterms:W3CDTF">2025-06-03T04:42:53Z</dcterms:modified>
</cp:coreProperties>
</file>