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8EE7AE6A-184D-4C8D-833E-3A31E9A797AC}" xr6:coauthVersionLast="47" xr6:coauthVersionMax="47" xr10:uidLastSave="{00000000-0000-0000-0000-000000000000}"/>
  <bookViews>
    <workbookView xWindow="-120" yWindow="-120" windowWidth="51840" windowHeight="21120" activeTab="2" xr2:uid="{1E7EEBAA-932E-4D21-8492-D4797556F9DF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I64" i="3" l="1"/>
  <c r="I36" i="3"/>
  <c r="H36" i="3"/>
  <c r="H60" i="3"/>
  <c r="I60" i="3" s="1"/>
  <c r="H59" i="3"/>
  <c r="H58" i="3"/>
  <c r="I58" i="3" s="1"/>
  <c r="H57" i="3"/>
  <c r="H56" i="3"/>
  <c r="I56" i="3" s="1"/>
  <c r="H51" i="3"/>
  <c r="H50" i="3"/>
  <c r="I50" i="3" s="1"/>
  <c r="H49" i="3"/>
  <c r="H48" i="3"/>
  <c r="I48" i="3" s="1"/>
  <c r="H47" i="3"/>
  <c r="I47" i="3" s="1"/>
  <c r="H46" i="3"/>
  <c r="H45" i="3"/>
  <c r="H44" i="3"/>
  <c r="I44" i="3" s="1"/>
  <c r="H43" i="3"/>
  <c r="I43" i="3" s="1"/>
  <c r="H38" i="3"/>
  <c r="I38" i="3" s="1"/>
  <c r="H37" i="3"/>
  <c r="I37" i="3" s="1"/>
  <c r="I59" i="3"/>
  <c r="I57" i="3"/>
  <c r="I51" i="3"/>
  <c r="I49" i="3"/>
  <c r="I46" i="3"/>
  <c r="I45" i="3"/>
  <c r="D16" i="1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61" i="3" l="1"/>
  <c r="I39" i="3"/>
  <c r="I52" i="3"/>
  <c r="F39" i="3"/>
  <c r="F52" i="3"/>
  <c r="F61" i="3"/>
</calcChain>
</file>

<file path=xl/sharedStrings.xml><?xml version="1.0" encoding="utf-8"?>
<sst xmlns="http://schemas.openxmlformats.org/spreadsheetml/2006/main" count="305" uniqueCount="84">
  <si>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</si>
  <si>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</si>
  <si>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</si>
  <si>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</si>
  <si>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</si>
  <si>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</si>
  <si>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</si>
  <si>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</si>
  <si>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</si>
  <si>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</si>
  <si>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</si>
  <si>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</si>
  <si>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</si>
  <si>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</si>
  <si>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</si>
  <si>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</si>
  <si>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</si>
  <si>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</si>
  <si>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</si>
  <si>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</si>
  <si>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</si>
  <si>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</si>
  <si>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</si>
  <si>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</si>
  <si>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</si>
  <si>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</si>
  <si>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</si>
  <si>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</si>
  <si>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</si>
  <si>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</si>
  <si>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</si>
  <si>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</si>
  <si>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</si>
  <si>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</si>
  <si>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</si>
  <si>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</si>
  <si>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</si>
  <si>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</si>
  <si>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</si>
  <si>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</si>
  <si>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</si>
  <si>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</si>
  <si>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</si>
  <si>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</si>
  <si>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</si>
  <si>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</si>
  <si>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</si>
  <si>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</si>
  <si>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</si>
  <si>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</si>
  <si>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</si>
  <si>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</si>
  <si>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</si>
  <si>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</si>
  <si>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</si>
  <si>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</si>
  <si>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</si>
  <si>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</si>
  <si>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</si>
  <si>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</si>
  <si>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</si>
  <si>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</si>
  <si>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</si>
  <si>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</si>
  <si>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</si>
  <si>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</si>
  <si>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</si>
  <si>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</si>
  <si>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</si>
  <si>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</si>
  <si>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4</t>
  </si>
  <si>
    <t>Satellite Contact Window Requirement</t>
  </si>
  <si>
    <t>Mean (Minutes)</t>
  </si>
  <si>
    <t>Image Processing and Analysis</t>
  </si>
  <si>
    <t>Group 3 - Task Name</t>
  </si>
  <si>
    <t>Analytical Tasks Requiring Accuracy - Mean (Minutes)</t>
  </si>
  <si>
    <t>(minutes)</t>
  </si>
  <si>
    <t>Group 1 - Task Name</t>
  </si>
  <si>
    <t>Group 2 - Task Name</t>
  </si>
  <si>
    <t># of Simulations</t>
  </si>
  <si>
    <t># of Repetitions</t>
  </si>
  <si>
    <t>Sum of Mean (Minutes)</t>
  </si>
  <si>
    <t>Total Sim. Time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</si>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</sst>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49" fontId="0" fillId="2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/>
    <xf numFmtId="167" fontId="0" fillId="0" borderId="0" xfId="0" applyNumberFormat="1"/>
    <xf numFmtId="167" fontId="1" fillId="0" borderId="0" xfId="0" applyNumberFormat="1" applyFont="1"/>
    <xf numFmtId="49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7" fontId="1" fillId="6" borderId="0" xfId="0" applyNumberFormat="1" applyFont="1" applyFill="1"/>
    <xf numFmtId="0" fontId="1" fillId="6" borderId="0" xfId="0" applyFont="1" applyFill="1"/>
    <xf numFmtId="2" fontId="1" fillId="0" borderId="0" xfId="0" applyNumberFormat="1" applyFont="1"/>
    <xf numFmtId="167" fontId="0" fillId="0" borderId="1" xfId="0" applyNumberFormat="1" applyBorder="1"/>
    <xf numFmtId="1" fontId="0" fillId="0" borderId="0" xfId="0" applyNumberFormat="1"/>
    <xf numFmtId="2" fontId="1" fillId="6" borderId="0" xfId="0" applyNumberFormat="1" applyFont="1" applyFill="1"/>
    <xf numFmtId="167" fontId="0" fillId="6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B76C8B-2B45-490C-AF52-B9B1ED0967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5BF372-7D2D-DED8-92D9-26776F37F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BD5C0B-0CF7-4150-A7DA-6336F4564E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1550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F77D-038B-46CF-A267-7EA8DE64AF95}">
  <dimension ref="A1:E30"/>
  <sheetViews>
    <sheetView workbookViewId="0">
      <selection activeCell="F10" sqref="F10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3.5703125" customWidth="1"/>
  </cols>
  <sheetData>
    <row r="1" spans="1:5" x14ac:dyDescent="0.25">
      <c r="A1" s="43"/>
    </row>
    <row r="2" spans="1:5" ht="18.75" x14ac:dyDescent="0.3">
      <c r="A2" s="43"/>
      <c r="B2" s="6" t="s">
        <v>16</v>
      </c>
    </row>
    <row r="3" spans="1:5" ht="17.25" x14ac:dyDescent="0.3">
      <c r="A3" s="43"/>
      <c r="B3" s="7" t="s">
        <v>17</v>
      </c>
    </row>
    <row r="4" spans="1:5" x14ac:dyDescent="0.25">
      <c r="A4" s="43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64301</v>
      </c>
    </row>
    <row r="10" spans="1:5" x14ac:dyDescent="0.25">
      <c r="A10" s="5" t="s">
        <v>21</v>
      </c>
      <c r="B10" s="8">
        <v>28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35347.2380007073 / 86400</f>
        <v>0.40911155093411228</v>
      </c>
    </row>
    <row r="15" spans="1:5" x14ac:dyDescent="0.25">
      <c r="B15" s="1" t="s">
        <v>2</v>
      </c>
      <c r="C15" s="2">
        <f xml:space="preserve"> 45312.5848560753 / 86400</f>
        <v>0.52445121361198266</v>
      </c>
    </row>
    <row r="16" spans="1:5" x14ac:dyDescent="0.25">
      <c r="B16" s="34" t="s">
        <v>3</v>
      </c>
      <c r="C16" s="35">
        <f xml:space="preserve"> 40382.7824970292 / 86400</f>
        <v>0.46739331593783795</v>
      </c>
      <c r="D16" s="36">
        <f>(C16*86400)/60</f>
        <v>673.04637495048667</v>
      </c>
      <c r="E16" s="37" t="s">
        <v>76</v>
      </c>
    </row>
    <row r="17" spans="2:3" x14ac:dyDescent="0.25">
      <c r="B17" s="1" t="s">
        <v>4</v>
      </c>
      <c r="C17" s="2">
        <f xml:space="preserve"> 2639.14096018529 / 86400</f>
        <v>3.0545612965107525E-2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8137-D0C6-4044-BA18-50D27DB3D422}">
  <dimension ref="A1:X35"/>
  <sheetViews>
    <sheetView workbookViewId="0">
      <selection activeCell="K50" sqref="K50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3"/>
    </row>
    <row r="2" spans="1:24" ht="18.75" x14ac:dyDescent="0.3">
      <c r="A2" s="43"/>
      <c r="B2" s="6" t="s">
        <v>16</v>
      </c>
    </row>
    <row r="3" spans="1:24" ht="17.25" x14ac:dyDescent="0.3">
      <c r="A3" s="43"/>
      <c r="B3" s="7" t="s">
        <v>66</v>
      </c>
    </row>
    <row r="4" spans="1:24" x14ac:dyDescent="0.25">
      <c r="A4" s="43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64301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  <c r="M11" s="45"/>
      <c r="N11" s="48" t="s">
        <v>26</v>
      </c>
      <c r="P11" s="44" t="s">
        <v>27</v>
      </c>
      <c r="Q11" s="45"/>
      <c r="R11" s="45"/>
      <c r="S11" s="45"/>
      <c r="T11" s="48" t="s">
        <v>28</v>
      </c>
      <c r="V11" s="44" t="s">
        <v>29</v>
      </c>
      <c r="W11" s="45"/>
      <c r="X11" s="45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49"/>
      <c r="P12" s="12" t="s">
        <v>38</v>
      </c>
      <c r="Q12" s="12" t="s">
        <v>39</v>
      </c>
      <c r="R12" s="12" t="s">
        <v>40</v>
      </c>
      <c r="S12" s="12" t="s">
        <v>37</v>
      </c>
      <c r="T12" s="49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28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28</v>
      </c>
      <c r="H14" s="9"/>
      <c r="I14" s="2">
        <f xml:space="preserve"> 98.5502081818646 / 86400</f>
        <v>1.1406274095123218E-3</v>
      </c>
      <c r="J14" s="2">
        <f xml:space="preserve"> 268.502355540871 / 86400</f>
        <v>3.1076661520934145E-3</v>
      </c>
      <c r="K14" s="2">
        <f xml:space="preserve"> 188.819343514606 / 86400</f>
        <v>2.1854090684560882E-3</v>
      </c>
      <c r="L14" s="2">
        <f xml:space="preserve"> 45.3091132833391 / 86400</f>
        <v>5.2441103337198033E-4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28</v>
      </c>
      <c r="H15" s="9"/>
      <c r="I15" s="2">
        <f xml:space="preserve"> 5.89719074121501 / 86400</f>
        <v>6.8254522467766331E-5</v>
      </c>
      <c r="J15" s="2">
        <f xml:space="preserve"> 23.437615751027 / 86400</f>
        <v>2.7126870082207178E-4</v>
      </c>
      <c r="K15" s="2">
        <f xml:space="preserve"> 14.6386798092344 / 86400</f>
        <v>1.6942916445873148E-4</v>
      </c>
      <c r="L15" s="2">
        <f xml:space="preserve"> 4.52557557156047 / 86400</f>
        <v>5.2379346893060996E-5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28</v>
      </c>
      <c r="H16" s="9"/>
      <c r="I16" s="2">
        <f xml:space="preserve"> 25.857601407476 / 86400</f>
        <v>2.9927779406800924E-4</v>
      </c>
      <c r="J16" s="2">
        <f xml:space="preserve"> 51.744057647759 / 86400</f>
        <v>5.9888955610832174E-4</v>
      </c>
      <c r="K16" s="2">
        <f xml:space="preserve"> 39.5322725617298 / 86400</f>
        <v>4.5754945094594673E-4</v>
      </c>
      <c r="L16" s="2">
        <f xml:space="preserve"> 7.54277393440467 / 86400</f>
        <v>8.7300624240794792E-5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28</v>
      </c>
      <c r="H17" s="9"/>
      <c r="I17" s="2">
        <f xml:space="preserve"> 84.692577709329 / 86400</f>
        <v>9.8023816793204872E-4</v>
      </c>
      <c r="J17" s="2">
        <f xml:space="preserve"> 303.430875885002 / 86400</f>
        <v>3.5119314338541902E-3</v>
      </c>
      <c r="K17" s="2">
        <f xml:space="preserve"> 173.198298572953 / 86400</f>
        <v>2.0046099371869562E-3</v>
      </c>
      <c r="L17" s="2">
        <f xml:space="preserve"> 61.1914008218808 / 86400</f>
        <v>7.0823380580880549E-4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252</v>
      </c>
      <c r="H18" s="9"/>
      <c r="I18" s="2">
        <f xml:space="preserve"> 2.6242504182992 / 86400</f>
        <v>3.0373268730314818E-5</v>
      </c>
      <c r="J18" s="2">
        <f xml:space="preserve"> 118.985150651002 / 86400</f>
        <v>1.3771429473495602E-3</v>
      </c>
      <c r="K18" s="2">
        <f xml:space="preserve"> 69.5132714414206 / 86400</f>
        <v>8.0455175279421989E-4</v>
      </c>
      <c r="L18" s="2">
        <f xml:space="preserve"> 19.3260346231952 / 86400</f>
        <v>2.2368095628698146E-4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252</v>
      </c>
      <c r="H19" s="9"/>
      <c r="I19" s="2">
        <f xml:space="preserve"> 26.160250290837 / 86400</f>
        <v>3.0278067466246527E-4</v>
      </c>
      <c r="J19" s="2">
        <f xml:space="preserve"> 75.1340215375021 / 86400</f>
        <v>8.6960673075812608E-4</v>
      </c>
      <c r="K19" s="2">
        <f xml:space="preserve"> 50.2948224102491 / 86400</f>
        <v>5.8211600011862379E-4</v>
      </c>
      <c r="L19" s="2">
        <f xml:space="preserve"> 8.64872167260783 / 86400</f>
        <v>1.0010094528481286E-4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252</v>
      </c>
      <c r="H20" s="9"/>
      <c r="I20" s="2">
        <f xml:space="preserve"> 38.3414581284591 / 86400</f>
        <v>4.4376687648679515E-4</v>
      </c>
      <c r="J20" s="2">
        <f xml:space="preserve"> 97.8911161631004 / 86400</f>
        <v>1.132999029665514E-3</v>
      </c>
      <c r="K20" s="2">
        <f xml:space="preserve"> 69.3302743888367 / 86400</f>
        <v>8.0243373135227656E-4</v>
      </c>
      <c r="L20" s="2">
        <f xml:space="preserve"> 11.2006437442328 / 86400</f>
        <v>1.296370803730648E-4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252</v>
      </c>
      <c r="H21" s="9"/>
      <c r="I21" s="2">
        <f xml:space="preserve"> 337.385529820201 / 86400</f>
        <v>3.9049251136597336E-3</v>
      </c>
      <c r="J21" s="2">
        <f xml:space="preserve"> 3614.7760868464 / 86400</f>
        <v>4.1837686190351851E-2</v>
      </c>
      <c r="K21" s="2">
        <f xml:space="preserve"> 1891.38429102858 / 86400</f>
        <v>2.1891021886904862E-2</v>
      </c>
      <c r="L21" s="2">
        <f xml:space="preserve"> 673.359626197728 / 86400</f>
        <v>7.7935141921033329E-3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28</v>
      </c>
      <c r="H22" s="9"/>
      <c r="I22" s="2">
        <f xml:space="preserve"> 791.262608675901 / 86400</f>
        <v>9.1581320448599658E-3</v>
      </c>
      <c r="J22" s="2">
        <f xml:space="preserve"> 2342.90515834023 / 86400</f>
        <v>2.711695785116007E-2</v>
      </c>
      <c r="K22" s="2">
        <f xml:space="preserve"> 1372.95104082261 / 86400</f>
        <v>1.5890637046557986E-2</v>
      </c>
      <c r="L22" s="2">
        <f xml:space="preserve"> 432.651456081259 / 86400</f>
        <v>5.0075400009404981E-3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252</v>
      </c>
      <c r="H23" s="9"/>
      <c r="I23" s="2">
        <f xml:space="preserve"> 615.776040300094 / 86400</f>
        <v>7.12703750347331E-3</v>
      </c>
      <c r="J23" s="2">
        <f xml:space="preserve"> 1601.48560236056 / 86400</f>
        <v>1.853571299028426E-2</v>
      </c>
      <c r="K23" s="2">
        <f xml:space="preserve"> 1010.48238857517 / 86400</f>
        <v>1.169539801591632E-2</v>
      </c>
      <c r="L23" s="2">
        <f xml:space="preserve"> 216.957870369528 / 86400</f>
        <v>2.5110864626102778E-3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252</v>
      </c>
      <c r="H24" s="9"/>
      <c r="I24" s="2">
        <f xml:space="preserve"> 8.07715274583006 / 86400</f>
        <v>9.3485564187847919E-5</v>
      </c>
      <c r="J24" s="2">
        <f xml:space="preserve"> 142.209380598099 / 86400</f>
        <v>1.6459419050705902E-3</v>
      </c>
      <c r="K24" s="2">
        <f xml:space="preserve"> 74.2656474003225 / 86400</f>
        <v>8.5955610417039923E-4</v>
      </c>
      <c r="L24" s="2">
        <f xml:space="preserve"> 35.0739452214806 / 86400</f>
        <v>4.0594844006343285E-4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252</v>
      </c>
      <c r="H25" s="9"/>
      <c r="I25" s="2">
        <f xml:space="preserve"> 108.559138053301 / 86400</f>
        <v>1.2564715052465394E-3</v>
      </c>
      <c r="J25" s="2">
        <f xml:space="preserve"> 1081.8363887152 / 86400</f>
        <v>1.2521254499018518E-2</v>
      </c>
      <c r="K25" s="2">
        <f xml:space="preserve"> 501.194557529841 / 86400</f>
        <v>5.80086293437316E-3</v>
      </c>
      <c r="L25" s="2">
        <f xml:space="preserve"> 203.561806289986 / 86400</f>
        <v>2.3560394246526159E-3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28</v>
      </c>
      <c r="H26" s="9"/>
      <c r="I26" s="2">
        <f xml:space="preserve"> 411.850491603298 / 86400</f>
        <v>4.7667880972603934E-3</v>
      </c>
      <c r="J26" s="2">
        <f xml:space="preserve"> 785.292017875403 / 86400</f>
        <v>9.089027984669016E-3</v>
      </c>
      <c r="K26" s="2">
        <f xml:space="preserve"> 557.96483272456 / 86400</f>
        <v>6.457926304682407E-3</v>
      </c>
      <c r="L26" s="2">
        <f xml:space="preserve"> 85.9556499581728 / 86400</f>
        <v>9.9485705970107398E-4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28</v>
      </c>
      <c r="H27" s="9"/>
      <c r="I27" s="2">
        <f xml:space="preserve"> 261.276818893995 / 86400</f>
        <v>3.0240372557175351E-3</v>
      </c>
      <c r="J27" s="2">
        <f xml:space="preserve"> 607.375007854898 / 86400</f>
        <v>7.0298033316539112E-3</v>
      </c>
      <c r="K27" s="2">
        <f xml:space="preserve"> 399.131995110173 / 86400</f>
        <v>4.6195832767381134E-3</v>
      </c>
      <c r="L27" s="2">
        <f xml:space="preserve"> 86.0338830313875 / 86400</f>
        <v>9.9576253508550355E-4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28</v>
      </c>
      <c r="H28" s="9"/>
      <c r="I28" s="2">
        <f xml:space="preserve"> 2723.5966710801 / 86400</f>
        <v>3.1523109618982637E-2</v>
      </c>
      <c r="J28" s="2">
        <f xml:space="preserve"> 4868.5956433483 / 86400</f>
        <v>5.6349486612827543E-2</v>
      </c>
      <c r="K28" s="2">
        <f xml:space="preserve"> 3991.78876502469 / 86400</f>
        <v>4.6201258854452427E-2</v>
      </c>
      <c r="L28" s="2">
        <f xml:space="preserve"> 545.946155592862 / 86400</f>
        <v>6.318821245287755E-3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28</v>
      </c>
      <c r="H29" s="9"/>
      <c r="I29" s="2">
        <f xml:space="preserve"> 369.786136037597 / 86400</f>
        <v>4.2799321300647794E-3</v>
      </c>
      <c r="J29" s="2">
        <f xml:space="preserve"> 538.447561688001 / 86400</f>
        <v>6.2320319639814926E-3</v>
      </c>
      <c r="K29" s="2">
        <f xml:space="preserve"> 462.654670768911 / 86400</f>
        <v>5.3547994301957292E-3</v>
      </c>
      <c r="L29" s="2">
        <f xml:space="preserve"> 46.2343361570789 / 86400</f>
        <v>5.3511963144767249E-4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28</v>
      </c>
      <c r="H30" s="9"/>
      <c r="I30" s="2">
        <f xml:space="preserve"> 70.219726660398 / 86400</f>
        <v>8.1272831782868045E-4</v>
      </c>
      <c r="J30" s="2">
        <f xml:space="preserve"> 278.137801540201 / 86400</f>
        <v>3.2191875178264003E-3</v>
      </c>
      <c r="K30" s="2">
        <f xml:space="preserve"> 183.915323149921 / 86400</f>
        <v>2.1286495734944557E-3</v>
      </c>
      <c r="L30" s="2">
        <f xml:space="preserve"> 48.2285214636972 / 86400</f>
        <v>5.5820047990390277E-4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28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15"/>
    </row>
    <row r="35" spans="6:6" x14ac:dyDescent="0.25">
      <c r="F35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3410-B675-4EF1-B82D-1EF0DA61CB4F}">
  <dimension ref="A1:L68"/>
  <sheetViews>
    <sheetView tabSelected="1" topLeftCell="A16" workbookViewId="0">
      <selection activeCell="P34" sqref="P34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3"/>
    </row>
    <row r="2" spans="1:12" ht="18.75" x14ac:dyDescent="0.3">
      <c r="A2" s="43"/>
      <c r="B2" s="6" t="s">
        <v>16</v>
      </c>
    </row>
    <row r="3" spans="1:12" ht="17.25" x14ac:dyDescent="0.3">
      <c r="A3" s="43"/>
      <c r="B3" s="7" t="s">
        <v>66</v>
      </c>
    </row>
    <row r="4" spans="1:12" x14ac:dyDescent="0.25">
      <c r="A4" s="43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64301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28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2" t="s">
        <v>48</v>
      </c>
      <c r="F14" s="9" t="s">
        <v>46</v>
      </c>
      <c r="G14" s="4">
        <v>28</v>
      </c>
      <c r="H14" s="9"/>
      <c r="I14" s="2">
        <f xml:space="preserve"> 98.5502081818646 / 86400</f>
        <v>1.1406274095123218E-3</v>
      </c>
      <c r="J14" s="2">
        <f xml:space="preserve"> 268.502355540871 / 86400</f>
        <v>3.1076661520934145E-3</v>
      </c>
      <c r="K14" s="26">
        <f xml:space="preserve"> 188.819343514606 / 86400</f>
        <v>2.1854090684560882E-3</v>
      </c>
      <c r="L14" s="2">
        <f xml:space="preserve"> 45.3091132833391 / 86400</f>
        <v>5.2441103337198033E-4</v>
      </c>
    </row>
    <row r="15" spans="1:12" x14ac:dyDescent="0.25">
      <c r="B15" s="4" t="s">
        <v>43</v>
      </c>
      <c r="C15" s="9" t="s">
        <v>44</v>
      </c>
      <c r="D15" s="4">
        <v>2</v>
      </c>
      <c r="E15" s="22" t="s">
        <v>49</v>
      </c>
      <c r="F15" s="9" t="s">
        <v>46</v>
      </c>
      <c r="G15" s="4">
        <v>28</v>
      </c>
      <c r="H15" s="9"/>
      <c r="I15" s="2">
        <f xml:space="preserve"> 5.89719074121501 / 86400</f>
        <v>6.8254522467766331E-5</v>
      </c>
      <c r="J15" s="2">
        <f xml:space="preserve"> 23.437615751027 / 86400</f>
        <v>2.7126870082207178E-4</v>
      </c>
      <c r="K15" s="26">
        <f xml:space="preserve"> 14.6386798092344 / 86400</f>
        <v>1.6942916445873148E-4</v>
      </c>
      <c r="L15" s="2">
        <f xml:space="preserve"> 4.52557557156047 / 86400</f>
        <v>5.2379346893060996E-5</v>
      </c>
    </row>
    <row r="16" spans="1:12" x14ac:dyDescent="0.25">
      <c r="B16" s="4" t="s">
        <v>43</v>
      </c>
      <c r="C16" s="9" t="s">
        <v>44</v>
      </c>
      <c r="D16" s="4">
        <v>3</v>
      </c>
      <c r="E16" s="22" t="s">
        <v>50</v>
      </c>
      <c r="F16" s="9" t="s">
        <v>46</v>
      </c>
      <c r="G16" s="4">
        <v>28</v>
      </c>
      <c r="H16" s="9"/>
      <c r="I16" s="2">
        <f xml:space="preserve"> 25.857601407476 / 86400</f>
        <v>2.9927779406800924E-4</v>
      </c>
      <c r="J16" s="2">
        <f xml:space="preserve"> 51.744057647759 / 86400</f>
        <v>5.9888955610832174E-4</v>
      </c>
      <c r="K16" s="26">
        <f xml:space="preserve"> 39.5322725617298 / 86400</f>
        <v>4.5754945094594673E-4</v>
      </c>
      <c r="L16" s="2">
        <f xml:space="preserve"> 7.54277393440467 / 86400</f>
        <v>8.7300624240794792E-5</v>
      </c>
    </row>
    <row r="17" spans="2:12" x14ac:dyDescent="0.25">
      <c r="B17" s="4" t="s">
        <v>43</v>
      </c>
      <c r="C17" s="9" t="s">
        <v>44</v>
      </c>
      <c r="D17" s="4">
        <v>4</v>
      </c>
      <c r="E17" s="23" t="s">
        <v>51</v>
      </c>
      <c r="F17" s="9" t="s">
        <v>46</v>
      </c>
      <c r="G17" s="4">
        <v>28</v>
      </c>
      <c r="H17" s="9"/>
      <c r="I17" s="2">
        <f xml:space="preserve"> 84.692577709329 / 86400</f>
        <v>9.8023816793204872E-4</v>
      </c>
      <c r="J17" s="2">
        <f xml:space="preserve"> 303.430875885002 / 86400</f>
        <v>3.5119314338541902E-3</v>
      </c>
      <c r="K17" s="27">
        <f xml:space="preserve"> 173.198298572953 / 86400</f>
        <v>2.0046099371869562E-3</v>
      </c>
      <c r="L17" s="2">
        <f xml:space="preserve"> 61.1914008218808 / 86400</f>
        <v>7.0823380580880549E-4</v>
      </c>
    </row>
    <row r="18" spans="2:12" x14ac:dyDescent="0.25">
      <c r="B18" s="4" t="s">
        <v>43</v>
      </c>
      <c r="C18" s="9" t="s">
        <v>44</v>
      </c>
      <c r="D18" s="4">
        <v>5</v>
      </c>
      <c r="E18" s="23" t="s">
        <v>52</v>
      </c>
      <c r="F18" s="9" t="s">
        <v>46</v>
      </c>
      <c r="G18" s="4">
        <v>252</v>
      </c>
      <c r="H18" s="9"/>
      <c r="I18" s="2">
        <f xml:space="preserve"> 2.6242504182992 / 86400</f>
        <v>3.0373268730314818E-5</v>
      </c>
      <c r="J18" s="2">
        <f xml:space="preserve"> 118.985150651002 / 86400</f>
        <v>1.3771429473495602E-3</v>
      </c>
      <c r="K18" s="27">
        <f xml:space="preserve"> 69.5132714414206 / 86400</f>
        <v>8.0455175279421989E-4</v>
      </c>
      <c r="L18" s="2">
        <f xml:space="preserve"> 19.3260346231952 / 86400</f>
        <v>2.2368095628698146E-4</v>
      </c>
    </row>
    <row r="19" spans="2:12" x14ac:dyDescent="0.25">
      <c r="B19" s="4" t="s">
        <v>43</v>
      </c>
      <c r="C19" s="9" t="s">
        <v>44</v>
      </c>
      <c r="D19" s="4">
        <v>6</v>
      </c>
      <c r="E19" s="23" t="s">
        <v>53</v>
      </c>
      <c r="F19" s="9" t="s">
        <v>46</v>
      </c>
      <c r="G19" s="4">
        <v>252</v>
      </c>
      <c r="H19" s="9"/>
      <c r="I19" s="2">
        <f xml:space="preserve"> 26.160250290837 / 86400</f>
        <v>3.0278067466246527E-4</v>
      </c>
      <c r="J19" s="2">
        <f xml:space="preserve"> 75.1340215375021 / 86400</f>
        <v>8.6960673075812608E-4</v>
      </c>
      <c r="K19" s="27">
        <f xml:space="preserve"> 50.2948224102491 / 86400</f>
        <v>5.8211600011862379E-4</v>
      </c>
      <c r="L19" s="2">
        <f xml:space="preserve"> 8.64872167260783 / 86400</f>
        <v>1.0010094528481286E-4</v>
      </c>
    </row>
    <row r="20" spans="2:12" x14ac:dyDescent="0.25">
      <c r="B20" s="4" t="s">
        <v>43</v>
      </c>
      <c r="C20" s="9" t="s">
        <v>44</v>
      </c>
      <c r="D20" s="4">
        <v>7</v>
      </c>
      <c r="E20" s="23" t="s">
        <v>54</v>
      </c>
      <c r="F20" s="9" t="s">
        <v>46</v>
      </c>
      <c r="G20" s="4">
        <v>252</v>
      </c>
      <c r="H20" s="9"/>
      <c r="I20" s="2">
        <f xml:space="preserve"> 38.3414581284591 / 86400</f>
        <v>4.4376687648679515E-4</v>
      </c>
      <c r="J20" s="2">
        <f xml:space="preserve"> 97.8911161631004 / 86400</f>
        <v>1.132999029665514E-3</v>
      </c>
      <c r="K20" s="27">
        <f xml:space="preserve"> 69.3302743888367 / 86400</f>
        <v>8.0243373135227656E-4</v>
      </c>
      <c r="L20" s="2">
        <f xml:space="preserve"> 11.2006437442328 / 86400</f>
        <v>1.296370803730648E-4</v>
      </c>
    </row>
    <row r="21" spans="2:12" x14ac:dyDescent="0.25">
      <c r="B21" s="4" t="s">
        <v>43</v>
      </c>
      <c r="C21" s="9" t="s">
        <v>44</v>
      </c>
      <c r="D21" s="4">
        <v>8</v>
      </c>
      <c r="E21" s="23" t="s">
        <v>55</v>
      </c>
      <c r="F21" s="9" t="s">
        <v>46</v>
      </c>
      <c r="G21" s="4">
        <v>252</v>
      </c>
      <c r="H21" s="9"/>
      <c r="I21" s="2">
        <f xml:space="preserve"> 337.385529820201 / 86400</f>
        <v>3.9049251136597336E-3</v>
      </c>
      <c r="J21" s="2">
        <f xml:space="preserve"> 3614.7760868464 / 86400</f>
        <v>4.1837686190351851E-2</v>
      </c>
      <c r="K21" s="27">
        <f xml:space="preserve"> 1891.38429102858 / 86400</f>
        <v>2.1891021886904862E-2</v>
      </c>
      <c r="L21" s="2">
        <f xml:space="preserve"> 673.359626197728 / 86400</f>
        <v>7.7935141921033329E-3</v>
      </c>
    </row>
    <row r="22" spans="2:12" x14ac:dyDescent="0.25">
      <c r="B22" s="4" t="s">
        <v>43</v>
      </c>
      <c r="C22" s="9" t="s">
        <v>44</v>
      </c>
      <c r="D22" s="4">
        <v>9</v>
      </c>
      <c r="E22" s="23" t="s">
        <v>56</v>
      </c>
      <c r="F22" s="9" t="s">
        <v>46</v>
      </c>
      <c r="G22" s="4">
        <v>28</v>
      </c>
      <c r="H22" s="9"/>
      <c r="I22" s="2">
        <f xml:space="preserve"> 791.262608675901 / 86400</f>
        <v>9.1581320448599658E-3</v>
      </c>
      <c r="J22" s="2">
        <f xml:space="preserve"> 2342.90515834023 / 86400</f>
        <v>2.711695785116007E-2</v>
      </c>
      <c r="K22" s="27">
        <f xml:space="preserve"> 1372.95104082261 / 86400</f>
        <v>1.5890637046557986E-2</v>
      </c>
      <c r="L22" s="2">
        <f xml:space="preserve"> 432.651456081259 / 86400</f>
        <v>5.0075400009404981E-3</v>
      </c>
    </row>
    <row r="23" spans="2:12" x14ac:dyDescent="0.25">
      <c r="B23" s="4" t="s">
        <v>43</v>
      </c>
      <c r="C23" s="9" t="s">
        <v>44</v>
      </c>
      <c r="D23" s="4">
        <v>10</v>
      </c>
      <c r="E23" s="23" t="s">
        <v>57</v>
      </c>
      <c r="F23" s="9" t="s">
        <v>46</v>
      </c>
      <c r="G23" s="4">
        <v>252</v>
      </c>
      <c r="H23" s="9"/>
      <c r="I23" s="2">
        <f xml:space="preserve"> 615.776040300094 / 86400</f>
        <v>7.12703750347331E-3</v>
      </c>
      <c r="J23" s="2">
        <f xml:space="preserve"> 1601.48560236056 / 86400</f>
        <v>1.853571299028426E-2</v>
      </c>
      <c r="K23" s="27">
        <f xml:space="preserve"> 1010.48238857517 / 86400</f>
        <v>1.169539801591632E-2</v>
      </c>
      <c r="L23" s="2">
        <f xml:space="preserve"> 216.957870369528 / 86400</f>
        <v>2.5110864626102778E-3</v>
      </c>
    </row>
    <row r="24" spans="2:12" x14ac:dyDescent="0.25">
      <c r="B24" s="4" t="s">
        <v>43</v>
      </c>
      <c r="C24" s="9" t="s">
        <v>44</v>
      </c>
      <c r="D24" s="4">
        <v>11</v>
      </c>
      <c r="E24" s="23" t="s">
        <v>58</v>
      </c>
      <c r="F24" s="9" t="s">
        <v>46</v>
      </c>
      <c r="G24" s="4">
        <v>252</v>
      </c>
      <c r="H24" s="9"/>
      <c r="I24" s="2">
        <f xml:space="preserve"> 8.07715274583006 / 86400</f>
        <v>9.3485564187847919E-5</v>
      </c>
      <c r="J24" s="2">
        <f xml:space="preserve"> 142.209380598099 / 86400</f>
        <v>1.6459419050705902E-3</v>
      </c>
      <c r="K24" s="27">
        <f xml:space="preserve"> 74.2656474003225 / 86400</f>
        <v>8.5955610417039923E-4</v>
      </c>
      <c r="L24" s="2">
        <f xml:space="preserve"> 35.0739452214806 / 86400</f>
        <v>4.0594844006343285E-4</v>
      </c>
    </row>
    <row r="25" spans="2:12" x14ac:dyDescent="0.25">
      <c r="B25" s="4" t="s">
        <v>43</v>
      </c>
      <c r="C25" s="9" t="s">
        <v>44</v>
      </c>
      <c r="D25" s="4">
        <v>12</v>
      </c>
      <c r="E25" s="23" t="s">
        <v>59</v>
      </c>
      <c r="F25" s="9" t="s">
        <v>46</v>
      </c>
      <c r="G25" s="4">
        <v>252</v>
      </c>
      <c r="H25" s="9"/>
      <c r="I25" s="2">
        <f xml:space="preserve"> 108.559138053301 / 86400</f>
        <v>1.2564715052465394E-3</v>
      </c>
      <c r="J25" s="2">
        <f xml:space="preserve"> 1081.8363887152 / 86400</f>
        <v>1.2521254499018518E-2</v>
      </c>
      <c r="K25" s="27">
        <f xml:space="preserve"> 501.194557529841 / 86400</f>
        <v>5.80086293437316E-3</v>
      </c>
      <c r="L25" s="2">
        <f xml:space="preserve"> 203.561806289986 / 86400</f>
        <v>2.3560394246526159E-3</v>
      </c>
    </row>
    <row r="26" spans="2:12" x14ac:dyDescent="0.25">
      <c r="B26" s="4" t="s">
        <v>43</v>
      </c>
      <c r="C26" s="9" t="s">
        <v>44</v>
      </c>
      <c r="D26" s="4">
        <v>13</v>
      </c>
      <c r="E26" s="24" t="s">
        <v>60</v>
      </c>
      <c r="F26" s="9" t="s">
        <v>46</v>
      </c>
      <c r="G26" s="4">
        <v>28</v>
      </c>
      <c r="H26" s="9"/>
      <c r="I26" s="2">
        <f xml:space="preserve"> 411.850491603298 / 86400</f>
        <v>4.7667880972603934E-3</v>
      </c>
      <c r="J26" s="2">
        <f xml:space="preserve"> 785.292017875403 / 86400</f>
        <v>9.089027984669016E-3</v>
      </c>
      <c r="K26" s="25">
        <f xml:space="preserve"> 557.96483272456 / 86400</f>
        <v>6.457926304682407E-3</v>
      </c>
      <c r="L26" s="2">
        <f xml:space="preserve"> 85.9556499581728 / 86400</f>
        <v>9.9485705970107398E-4</v>
      </c>
    </row>
    <row r="27" spans="2:12" x14ac:dyDescent="0.25">
      <c r="B27" s="4" t="s">
        <v>43</v>
      </c>
      <c r="C27" s="9" t="s">
        <v>44</v>
      </c>
      <c r="D27" s="4">
        <v>14</v>
      </c>
      <c r="E27" s="24" t="s">
        <v>61</v>
      </c>
      <c r="F27" s="9" t="s">
        <v>46</v>
      </c>
      <c r="G27" s="4">
        <v>28</v>
      </c>
      <c r="H27" s="9"/>
      <c r="I27" s="2">
        <f xml:space="preserve"> 261.276818893995 / 86400</f>
        <v>3.0240372557175351E-3</v>
      </c>
      <c r="J27" s="2">
        <f xml:space="preserve"> 607.375007854898 / 86400</f>
        <v>7.0298033316539112E-3</v>
      </c>
      <c r="K27" s="25">
        <f xml:space="preserve"> 399.131995110173 / 86400</f>
        <v>4.6195832767381134E-3</v>
      </c>
      <c r="L27" s="2">
        <f xml:space="preserve"> 86.0338830313875 / 86400</f>
        <v>9.9576253508550355E-4</v>
      </c>
    </row>
    <row r="28" spans="2:12" x14ac:dyDescent="0.25">
      <c r="B28" s="4" t="s">
        <v>43</v>
      </c>
      <c r="C28" s="9" t="s">
        <v>44</v>
      </c>
      <c r="D28" s="4">
        <v>15</v>
      </c>
      <c r="E28" s="24" t="s">
        <v>62</v>
      </c>
      <c r="F28" s="9" t="s">
        <v>46</v>
      </c>
      <c r="G28" s="4">
        <v>28</v>
      </c>
      <c r="H28" s="9"/>
      <c r="I28" s="2">
        <f xml:space="preserve"> 2723.5966710801 / 86400</f>
        <v>3.1523109618982637E-2</v>
      </c>
      <c r="J28" s="2">
        <f xml:space="preserve"> 4868.5956433483 / 86400</f>
        <v>5.6349486612827543E-2</v>
      </c>
      <c r="K28" s="25">
        <f xml:space="preserve"> 3991.78876502469 / 86400</f>
        <v>4.6201258854452427E-2</v>
      </c>
      <c r="L28" s="2">
        <f xml:space="preserve"> 545.946155592862 / 86400</f>
        <v>6.318821245287755E-3</v>
      </c>
    </row>
    <row r="29" spans="2:12" x14ac:dyDescent="0.25">
      <c r="B29" s="4" t="s">
        <v>43</v>
      </c>
      <c r="C29" s="9" t="s">
        <v>44</v>
      </c>
      <c r="D29" s="4">
        <v>16</v>
      </c>
      <c r="E29" s="24" t="s">
        <v>63</v>
      </c>
      <c r="F29" s="9" t="s">
        <v>46</v>
      </c>
      <c r="G29" s="4">
        <v>28</v>
      </c>
      <c r="H29" s="9"/>
      <c r="I29" s="2">
        <f xml:space="preserve"> 369.786136037597 / 86400</f>
        <v>4.2799321300647794E-3</v>
      </c>
      <c r="J29" s="2">
        <f xml:space="preserve"> 538.447561688001 / 86400</f>
        <v>6.2320319639814926E-3</v>
      </c>
      <c r="K29" s="25">
        <f xml:space="preserve"> 462.654670768911 / 86400</f>
        <v>5.3547994301957292E-3</v>
      </c>
      <c r="L29" s="2">
        <f xml:space="preserve"> 46.2343361570789 / 86400</f>
        <v>5.3511963144767249E-4</v>
      </c>
    </row>
    <row r="30" spans="2:12" x14ac:dyDescent="0.25">
      <c r="B30" s="4" t="s">
        <v>43</v>
      </c>
      <c r="C30" s="9" t="s">
        <v>44</v>
      </c>
      <c r="D30" s="4">
        <v>17</v>
      </c>
      <c r="E30" s="24" t="s">
        <v>64</v>
      </c>
      <c r="F30" s="9" t="s">
        <v>46</v>
      </c>
      <c r="G30" s="4">
        <v>28</v>
      </c>
      <c r="H30" s="9"/>
      <c r="I30" s="2">
        <f xml:space="preserve"> 70.219726660398 / 86400</f>
        <v>8.1272831782868045E-4</v>
      </c>
      <c r="J30" s="2">
        <f xml:space="preserve"> 278.137801540201 / 86400</f>
        <v>3.2191875178264003E-3</v>
      </c>
      <c r="K30" s="25">
        <f xml:space="preserve"> 183.915323149921 / 86400</f>
        <v>2.1286495734944557E-3</v>
      </c>
      <c r="L30" s="2">
        <f xml:space="preserve"> 48.2285214636972 / 86400</f>
        <v>5.5820047990390277E-4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28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77</v>
      </c>
      <c r="F35" s="18" t="s">
        <v>72</v>
      </c>
      <c r="G35" s="15" t="s">
        <v>79</v>
      </c>
      <c r="H35" s="15" t="s">
        <v>80</v>
      </c>
      <c r="I35" s="38" t="s">
        <v>81</v>
      </c>
      <c r="J35" s="15"/>
      <c r="K35" s="15"/>
      <c r="L35" s="15"/>
    </row>
    <row r="36" spans="4:12" x14ac:dyDescent="0.25">
      <c r="D36" s="30"/>
      <c r="E36" t="s">
        <v>48</v>
      </c>
      <c r="F36" s="16">
        <f>(K14*86400)/60</f>
        <v>3.1469890585767666</v>
      </c>
      <c r="G36" s="40">
        <v>28</v>
      </c>
      <c r="H36" s="40">
        <f>G36/28</f>
        <v>1</v>
      </c>
      <c r="I36" s="32">
        <f>F36*H36</f>
        <v>3.1469890585767666</v>
      </c>
      <c r="J36" s="15"/>
      <c r="K36" s="15"/>
      <c r="L36" s="15"/>
    </row>
    <row r="37" spans="4:12" x14ac:dyDescent="0.25">
      <c r="D37" s="30"/>
      <c r="E37" t="s">
        <v>49</v>
      </c>
      <c r="F37" s="16">
        <f>(K15*86400)/60</f>
        <v>0.24397799682057333</v>
      </c>
      <c r="G37" s="40">
        <v>28</v>
      </c>
      <c r="H37" s="40">
        <f>G37/28</f>
        <v>1</v>
      </c>
      <c r="I37" s="32">
        <f>F37*H37</f>
        <v>0.24397799682057333</v>
      </c>
      <c r="J37" s="15"/>
      <c r="K37" s="15"/>
      <c r="L37" s="15"/>
    </row>
    <row r="38" spans="4:12" x14ac:dyDescent="0.25">
      <c r="D38" s="30"/>
      <c r="E38" s="20" t="s">
        <v>50</v>
      </c>
      <c r="F38" s="21">
        <f>(K16*86400)/60</f>
        <v>0.65887120936216326</v>
      </c>
      <c r="G38" s="40">
        <v>28</v>
      </c>
      <c r="H38" s="40">
        <f>G38/28</f>
        <v>1</v>
      </c>
      <c r="I38" s="42">
        <f>F38*H38</f>
        <v>0.65887120936216326</v>
      </c>
      <c r="J38" s="38" t="s">
        <v>83</v>
      </c>
      <c r="K38" s="15"/>
      <c r="L38" s="15"/>
    </row>
    <row r="39" spans="4:12" x14ac:dyDescent="0.25">
      <c r="E39" s="17" t="s">
        <v>71</v>
      </c>
      <c r="F39" s="19">
        <f>SUM(F36:F38)</f>
        <v>4.0498382647595035</v>
      </c>
      <c r="G39" s="40"/>
      <c r="H39" s="40"/>
      <c r="I39" s="33">
        <f>SUM(I36:I38)</f>
        <v>4.0498382647595035</v>
      </c>
      <c r="J39" s="15"/>
      <c r="K39" s="15"/>
      <c r="L39" s="15"/>
    </row>
    <row r="40" spans="4:12" x14ac:dyDescent="0.25">
      <c r="F40" s="15"/>
      <c r="G40" s="40"/>
      <c r="H40" s="40"/>
      <c r="I40" s="32"/>
      <c r="J40" s="15"/>
      <c r="K40" s="15"/>
      <c r="L40" s="15"/>
    </row>
    <row r="41" spans="4:12" x14ac:dyDescent="0.25">
      <c r="F41" s="15"/>
      <c r="G41" s="40"/>
      <c r="H41" s="40"/>
      <c r="I41" s="32"/>
      <c r="J41" s="15"/>
      <c r="K41" s="15"/>
      <c r="L41" s="15"/>
    </row>
    <row r="42" spans="4:12" x14ac:dyDescent="0.25">
      <c r="E42" s="12" t="s">
        <v>78</v>
      </c>
      <c r="F42" s="18" t="s">
        <v>72</v>
      </c>
      <c r="G42" s="40"/>
      <c r="H42" s="40"/>
      <c r="I42" s="32"/>
      <c r="J42" s="15"/>
      <c r="K42" s="15"/>
      <c r="L42" s="15"/>
    </row>
    <row r="43" spans="4:12" x14ac:dyDescent="0.25">
      <c r="D43" s="29"/>
      <c r="E43" t="s">
        <v>51</v>
      </c>
      <c r="F43" s="16">
        <f t="shared" ref="F43:F49" si="0">(K17*86400)/60</f>
        <v>2.886638309549217</v>
      </c>
      <c r="G43" s="40">
        <v>28</v>
      </c>
      <c r="H43" s="40">
        <f t="shared" ref="H43:H51" si="1">G43/28</f>
        <v>1</v>
      </c>
      <c r="I43" s="32">
        <f t="shared" ref="I43:I60" si="2">F43*H43</f>
        <v>2.886638309549217</v>
      </c>
      <c r="J43" s="15"/>
      <c r="K43" s="15"/>
      <c r="L43" s="15"/>
    </row>
    <row r="44" spans="4:12" x14ac:dyDescent="0.25">
      <c r="D44" s="29"/>
      <c r="E44" t="s">
        <v>52</v>
      </c>
      <c r="F44" s="16">
        <f t="shared" si="0"/>
        <v>1.1585545240236768</v>
      </c>
      <c r="G44" s="40">
        <v>252</v>
      </c>
      <c r="H44" s="40">
        <f t="shared" si="1"/>
        <v>9</v>
      </c>
      <c r="I44" s="32">
        <f t="shared" si="2"/>
        <v>10.426990716213091</v>
      </c>
      <c r="J44" s="15"/>
      <c r="K44" s="15"/>
      <c r="L44" s="15"/>
    </row>
    <row r="45" spans="4:12" x14ac:dyDescent="0.25">
      <c r="D45" s="29"/>
      <c r="E45" t="s">
        <v>53</v>
      </c>
      <c r="F45" s="16">
        <f t="shared" si="0"/>
        <v>0.8382470401708183</v>
      </c>
      <c r="G45" s="40">
        <v>252</v>
      </c>
      <c r="H45" s="40">
        <f t="shared" si="1"/>
        <v>9</v>
      </c>
      <c r="I45" s="32">
        <f t="shared" si="2"/>
        <v>7.5442233615373651</v>
      </c>
      <c r="J45" s="15"/>
      <c r="K45" s="15"/>
      <c r="L45" s="15"/>
    </row>
    <row r="46" spans="4:12" x14ac:dyDescent="0.25">
      <c r="D46" s="29"/>
      <c r="E46" t="s">
        <v>54</v>
      </c>
      <c r="F46" s="16">
        <f t="shared" si="0"/>
        <v>1.1555045731472784</v>
      </c>
      <c r="G46" s="40">
        <v>252</v>
      </c>
      <c r="H46" s="40">
        <f t="shared" si="1"/>
        <v>9</v>
      </c>
      <c r="I46" s="32">
        <f t="shared" si="2"/>
        <v>10.399541158325505</v>
      </c>
      <c r="J46" s="15"/>
      <c r="K46" s="15"/>
      <c r="L46" s="15"/>
    </row>
    <row r="47" spans="4:12" x14ac:dyDescent="0.25">
      <c r="D47" s="29"/>
      <c r="E47" t="s">
        <v>55</v>
      </c>
      <c r="F47" s="16">
        <f t="shared" si="0"/>
        <v>31.523071517143002</v>
      </c>
      <c r="G47" s="40">
        <v>252</v>
      </c>
      <c r="H47" s="40">
        <f t="shared" si="1"/>
        <v>9</v>
      </c>
      <c r="I47" s="32">
        <f t="shared" si="2"/>
        <v>283.70764365428704</v>
      </c>
      <c r="J47" s="15"/>
      <c r="K47" s="15"/>
      <c r="L47" s="15"/>
    </row>
    <row r="48" spans="4:12" x14ac:dyDescent="0.25">
      <c r="D48" s="29"/>
      <c r="E48" t="s">
        <v>56</v>
      </c>
      <c r="F48" s="16">
        <f t="shared" si="0"/>
        <v>22.8825173470435</v>
      </c>
      <c r="G48" s="40">
        <v>28</v>
      </c>
      <c r="H48" s="40">
        <f t="shared" si="1"/>
        <v>1</v>
      </c>
      <c r="I48" s="32">
        <f>F48*H48</f>
        <v>22.8825173470435</v>
      </c>
      <c r="J48" s="15"/>
      <c r="K48" s="15"/>
      <c r="L48" s="15"/>
    </row>
    <row r="49" spans="4:12" x14ac:dyDescent="0.25">
      <c r="D49" s="29"/>
      <c r="E49" t="s">
        <v>57</v>
      </c>
      <c r="F49" s="16">
        <f t="shared" si="0"/>
        <v>16.841373142919501</v>
      </c>
      <c r="G49" s="40">
        <v>252</v>
      </c>
      <c r="H49" s="40">
        <f t="shared" si="1"/>
        <v>9</v>
      </c>
      <c r="I49" s="32">
        <f t="shared" si="2"/>
        <v>151.57235828627552</v>
      </c>
      <c r="J49" s="15"/>
      <c r="K49" s="15"/>
      <c r="L49" s="15"/>
    </row>
    <row r="50" spans="4:12" x14ac:dyDescent="0.25">
      <c r="D50" s="29"/>
      <c r="E50" t="s">
        <v>58</v>
      </c>
      <c r="F50" s="16">
        <f>(K24*86400)/60</f>
        <v>1.2377607900053749</v>
      </c>
      <c r="G50" s="40">
        <v>252</v>
      </c>
      <c r="H50" s="40">
        <f t="shared" si="1"/>
        <v>9</v>
      </c>
      <c r="I50" s="32">
        <f>F50*H50</f>
        <v>11.139847110048374</v>
      </c>
      <c r="J50" s="15"/>
      <c r="K50" s="15"/>
      <c r="L50" s="15"/>
    </row>
    <row r="51" spans="4:12" x14ac:dyDescent="0.25">
      <c r="D51" s="29"/>
      <c r="E51" s="20" t="s">
        <v>59</v>
      </c>
      <c r="F51" s="21">
        <f>(K25*86400)/60</f>
        <v>8.3532426254973497</v>
      </c>
      <c r="G51" s="40">
        <v>252</v>
      </c>
      <c r="H51" s="40">
        <f t="shared" si="1"/>
        <v>9</v>
      </c>
      <c r="I51" s="39">
        <f t="shared" si="2"/>
        <v>75.179183629476142</v>
      </c>
      <c r="J51" s="15"/>
      <c r="K51" s="15"/>
      <c r="L51" s="15"/>
    </row>
    <row r="52" spans="4:12" x14ac:dyDescent="0.25">
      <c r="E52" s="17" t="s">
        <v>73</v>
      </c>
      <c r="F52" s="19">
        <f>SUM(F43:F51)</f>
        <v>86.876909869499727</v>
      </c>
      <c r="G52" s="40"/>
      <c r="H52" s="40"/>
      <c r="I52" s="33">
        <f>SUM(I43:I51)</f>
        <v>575.73894357275572</v>
      </c>
      <c r="J52" s="15"/>
      <c r="K52" s="15"/>
      <c r="L52" s="15"/>
    </row>
    <row r="53" spans="4:12" x14ac:dyDescent="0.25">
      <c r="F53" s="15"/>
      <c r="G53" s="40"/>
      <c r="H53" s="40"/>
      <c r="I53" s="32"/>
      <c r="J53" s="15"/>
      <c r="K53" s="15"/>
      <c r="L53" s="15"/>
    </row>
    <row r="54" spans="4:12" x14ac:dyDescent="0.25">
      <c r="F54" s="15"/>
      <c r="G54" s="40"/>
      <c r="H54" s="40"/>
      <c r="I54" s="32"/>
      <c r="J54" s="15"/>
      <c r="K54" s="15"/>
      <c r="L54" s="15"/>
    </row>
    <row r="55" spans="4:12" x14ac:dyDescent="0.25">
      <c r="E55" s="12" t="s">
        <v>74</v>
      </c>
      <c r="F55" s="18" t="s">
        <v>72</v>
      </c>
      <c r="G55" s="40"/>
      <c r="H55" s="40"/>
      <c r="I55" s="32"/>
      <c r="J55" s="15"/>
      <c r="K55" s="15"/>
      <c r="L55" s="15"/>
    </row>
    <row r="56" spans="4:12" x14ac:dyDescent="0.25">
      <c r="D56" s="28"/>
      <c r="E56" t="s">
        <v>60</v>
      </c>
      <c r="F56" s="16">
        <f>(K26*86400)/60</f>
        <v>9.2994138787426657</v>
      </c>
      <c r="G56" s="40">
        <v>28</v>
      </c>
      <c r="H56" s="40">
        <f>G56/28</f>
        <v>1</v>
      </c>
      <c r="I56" s="32">
        <f t="shared" si="2"/>
        <v>9.2994138787426657</v>
      </c>
      <c r="J56" s="15"/>
      <c r="K56" s="15"/>
      <c r="L56" s="15"/>
    </row>
    <row r="57" spans="4:12" x14ac:dyDescent="0.25">
      <c r="D57" s="28"/>
      <c r="E57" t="s">
        <v>61</v>
      </c>
      <c r="F57" s="16">
        <f>(K27*86400)/60</f>
        <v>6.6521999185028831</v>
      </c>
      <c r="G57" s="40">
        <v>28</v>
      </c>
      <c r="H57" s="40">
        <f>G57/28</f>
        <v>1</v>
      </c>
      <c r="I57" s="32">
        <f t="shared" si="2"/>
        <v>6.6521999185028831</v>
      </c>
      <c r="J57" s="15"/>
      <c r="K57" s="15"/>
      <c r="L57" s="15"/>
    </row>
    <row r="58" spans="4:12" x14ac:dyDescent="0.25">
      <c r="D58" s="28"/>
      <c r="E58" t="s">
        <v>62</v>
      </c>
      <c r="F58" s="16">
        <f>(K28*86400)/60</f>
        <v>66.529812750411494</v>
      </c>
      <c r="G58" s="40">
        <v>28</v>
      </c>
      <c r="H58" s="40">
        <f>G58/28</f>
        <v>1</v>
      </c>
      <c r="I58" s="32">
        <f t="shared" si="2"/>
        <v>66.529812750411494</v>
      </c>
      <c r="J58" s="15"/>
      <c r="K58" s="15"/>
      <c r="L58" s="15"/>
    </row>
    <row r="59" spans="4:12" x14ac:dyDescent="0.25">
      <c r="D59" s="28"/>
      <c r="E59" t="s">
        <v>63</v>
      </c>
      <c r="F59" s="16">
        <f>(K29*86400)/60</f>
        <v>7.7109111794818501</v>
      </c>
      <c r="G59" s="40">
        <v>28</v>
      </c>
      <c r="H59" s="40">
        <f>G59/28</f>
        <v>1</v>
      </c>
      <c r="I59" s="32">
        <f t="shared" si="2"/>
        <v>7.7109111794818501</v>
      </c>
      <c r="J59" s="15"/>
      <c r="K59" s="15"/>
      <c r="L59" s="15"/>
    </row>
    <row r="60" spans="4:12" x14ac:dyDescent="0.25">
      <c r="D60" s="28"/>
      <c r="E60" s="20" t="s">
        <v>64</v>
      </c>
      <c r="F60" s="21">
        <f>(K30*86400)/60</f>
        <v>3.0652553858320162</v>
      </c>
      <c r="G60" s="40">
        <v>28</v>
      </c>
      <c r="H60" s="40">
        <f>G60/28</f>
        <v>1</v>
      </c>
      <c r="I60" s="39">
        <f t="shared" si="2"/>
        <v>3.0652553858320162</v>
      </c>
      <c r="J60" s="15"/>
      <c r="K60" s="15"/>
      <c r="L60" s="15"/>
    </row>
    <row r="61" spans="4:12" x14ac:dyDescent="0.25">
      <c r="E61" s="17" t="s">
        <v>73</v>
      </c>
      <c r="F61" s="19">
        <f>SUM(F56:F60)</f>
        <v>93.257593112970909</v>
      </c>
      <c r="G61" s="15"/>
      <c r="H61" s="15"/>
      <c r="I61" s="32">
        <f>SUM(I56:I60)</f>
        <v>93.257593112970909</v>
      </c>
      <c r="J61" s="15"/>
      <c r="K61" s="15"/>
      <c r="L61" s="15"/>
    </row>
    <row r="62" spans="4:12" x14ac:dyDescent="0.25">
      <c r="F62" s="15"/>
      <c r="G62" s="15"/>
      <c r="H62" s="15"/>
      <c r="I62" s="32"/>
      <c r="J62" s="15"/>
      <c r="K62" s="15"/>
      <c r="L62" s="15"/>
    </row>
    <row r="63" spans="4:12" x14ac:dyDescent="0.25">
      <c r="F63" s="15"/>
      <c r="G63" s="15"/>
      <c r="H63" s="15"/>
      <c r="I63" s="32"/>
      <c r="J63" s="15"/>
      <c r="K63" s="15"/>
      <c r="L63" s="15"/>
    </row>
    <row r="64" spans="4:12" x14ac:dyDescent="0.25">
      <c r="D64" s="31"/>
      <c r="E64" s="17" t="s">
        <v>75</v>
      </c>
      <c r="F64" s="19">
        <f>I52+SUM(I56:I59)</f>
        <v>665.93128129989464</v>
      </c>
      <c r="G64" s="15"/>
      <c r="H64" s="41" t="s">
        <v>82</v>
      </c>
      <c r="I64" s="36">
        <f>I39+I52+I61</f>
        <v>673.0463749504861</v>
      </c>
      <c r="J64" s="15"/>
      <c r="K64" s="15"/>
      <c r="L64" s="15"/>
    </row>
    <row r="65" spans="6:12" x14ac:dyDescent="0.25">
      <c r="F65" s="15"/>
      <c r="G65" s="15"/>
      <c r="H65" s="15"/>
      <c r="I65" s="15"/>
      <c r="J65" s="15"/>
      <c r="K65" s="15"/>
      <c r="L65" s="15"/>
    </row>
    <row r="66" spans="6:12" x14ac:dyDescent="0.25">
      <c r="F66" s="15"/>
      <c r="G66" s="15"/>
      <c r="H66" s="15"/>
      <c r="I66" s="15"/>
      <c r="J66" s="15"/>
      <c r="K66" s="15"/>
      <c r="L66" s="15"/>
    </row>
    <row r="67" spans="6:12" x14ac:dyDescent="0.25">
      <c r="F67" s="15"/>
      <c r="G67" s="15"/>
      <c r="H67" s="15"/>
      <c r="I67" s="15"/>
      <c r="J67" s="15"/>
      <c r="K67" s="15"/>
      <c r="L67" s="15"/>
    </row>
    <row r="68" spans="6:12" x14ac:dyDescent="0.25">
      <c r="F68" s="15"/>
      <c r="G68" s="15"/>
      <c r="H68" s="15"/>
      <c r="I68" s="15"/>
      <c r="J68" s="15"/>
      <c r="K68" s="15"/>
      <c r="L68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2025-05-10T02:05:55Z</dcterms:created>
  <dcterms:modified xsi:type="dcterms:W3CDTF">2025-06-03T04:43:29Z</dcterms:modified>
</cp:coreProperties>
</file>