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dl\Documents\MSWA - Human Operator\"/>
    </mc:Choice>
  </mc:AlternateContent>
  <xr:revisionPtr revIDLastSave="0" documentId="13_ncr:1_{7B953025-F81E-466F-800F-3AC2B8478AAE}" xr6:coauthVersionLast="47" xr6:coauthVersionMax="47" xr10:uidLastSave="{00000000-0000-0000-0000-000000000000}"/>
  <bookViews>
    <workbookView xWindow="-120" yWindow="-120" windowWidth="51840" windowHeight="21120" activeTab="2" xr2:uid="{E9A2471E-07ED-44EC-9F96-2279613A731B}"/>
  </bookViews>
  <sheets>
    <sheet name="Scenario Performance" sheetId="1" r:id="rId1"/>
    <sheet name="Task Performance" sheetId="2" r:id="rId2"/>
    <sheet name="Task Performance (Cleaned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4" i="3" l="1"/>
  <c r="I64" i="3" l="1"/>
  <c r="H60" i="3"/>
  <c r="H59" i="3"/>
  <c r="H58" i="3"/>
  <c r="H57" i="3"/>
  <c r="H56" i="3"/>
  <c r="H51" i="3"/>
  <c r="H50" i="3"/>
  <c r="I50" i="3" s="1"/>
  <c r="H49" i="3"/>
  <c r="H48" i="3"/>
  <c r="H47" i="3"/>
  <c r="H46" i="3"/>
  <c r="H45" i="3"/>
  <c r="I45" i="3" s="1"/>
  <c r="H44" i="3"/>
  <c r="H43" i="3"/>
  <c r="H38" i="3"/>
  <c r="H37" i="3"/>
  <c r="H36" i="3"/>
  <c r="I60" i="3"/>
  <c r="I59" i="3"/>
  <c r="I58" i="3"/>
  <c r="I57" i="3"/>
  <c r="I56" i="3"/>
  <c r="I51" i="3"/>
  <c r="I49" i="3"/>
  <c r="I48" i="3"/>
  <c r="I47" i="3"/>
  <c r="I46" i="3"/>
  <c r="I44" i="3"/>
  <c r="I43" i="3"/>
  <c r="I38" i="3"/>
  <c r="I37" i="3"/>
  <c r="I36" i="3"/>
  <c r="I39" i="3" s="1"/>
  <c r="D16" i="1"/>
  <c r="L31" i="3"/>
  <c r="K31" i="3"/>
  <c r="J31" i="3"/>
  <c r="I31" i="3"/>
  <c r="L30" i="3"/>
  <c r="K30" i="3"/>
  <c r="F60" i="3" s="1"/>
  <c r="J30" i="3"/>
  <c r="I30" i="3"/>
  <c r="L29" i="3"/>
  <c r="K29" i="3"/>
  <c r="F59" i="3" s="1"/>
  <c r="J29" i="3"/>
  <c r="I29" i="3"/>
  <c r="L28" i="3"/>
  <c r="K28" i="3"/>
  <c r="F58" i="3" s="1"/>
  <c r="J28" i="3"/>
  <c r="I28" i="3"/>
  <c r="L27" i="3"/>
  <c r="K27" i="3"/>
  <c r="F57" i="3" s="1"/>
  <c r="J27" i="3"/>
  <c r="I27" i="3"/>
  <c r="L26" i="3"/>
  <c r="K26" i="3"/>
  <c r="F56" i="3" s="1"/>
  <c r="J26" i="3"/>
  <c r="I26" i="3"/>
  <c r="L25" i="3"/>
  <c r="K25" i="3"/>
  <c r="F51" i="3" s="1"/>
  <c r="J25" i="3"/>
  <c r="I25" i="3"/>
  <c r="L24" i="3"/>
  <c r="K24" i="3"/>
  <c r="F50" i="3" s="1"/>
  <c r="J24" i="3"/>
  <c r="I24" i="3"/>
  <c r="L23" i="3"/>
  <c r="K23" i="3"/>
  <c r="F49" i="3" s="1"/>
  <c r="J23" i="3"/>
  <c r="I23" i="3"/>
  <c r="L22" i="3"/>
  <c r="K22" i="3"/>
  <c r="F48" i="3" s="1"/>
  <c r="J22" i="3"/>
  <c r="I22" i="3"/>
  <c r="L21" i="3"/>
  <c r="K21" i="3"/>
  <c r="F47" i="3" s="1"/>
  <c r="J21" i="3"/>
  <c r="I21" i="3"/>
  <c r="L20" i="3"/>
  <c r="K20" i="3"/>
  <c r="F46" i="3" s="1"/>
  <c r="J20" i="3"/>
  <c r="I20" i="3"/>
  <c r="L19" i="3"/>
  <c r="K19" i="3"/>
  <c r="F45" i="3" s="1"/>
  <c r="J19" i="3"/>
  <c r="I19" i="3"/>
  <c r="L18" i="3"/>
  <c r="K18" i="3"/>
  <c r="F44" i="3" s="1"/>
  <c r="J18" i="3"/>
  <c r="I18" i="3"/>
  <c r="L17" i="3"/>
  <c r="K17" i="3"/>
  <c r="F43" i="3" s="1"/>
  <c r="J17" i="3"/>
  <c r="I17" i="3"/>
  <c r="L16" i="3"/>
  <c r="K16" i="3"/>
  <c r="F38" i="3" s="1"/>
  <c r="J16" i="3"/>
  <c r="I16" i="3"/>
  <c r="L15" i="3"/>
  <c r="K15" i="3"/>
  <c r="F37" i="3" s="1"/>
  <c r="J15" i="3"/>
  <c r="I15" i="3"/>
  <c r="L14" i="3"/>
  <c r="K14" i="3"/>
  <c r="F36" i="3" s="1"/>
  <c r="F39" i="3" s="1"/>
  <c r="J14" i="3"/>
  <c r="I14" i="3"/>
  <c r="L13" i="3"/>
  <c r="K13" i="3"/>
  <c r="J13" i="3"/>
  <c r="I13" i="3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C13" i="1"/>
  <c r="C14" i="1"/>
  <c r="C15" i="1"/>
  <c r="C16" i="1"/>
  <c r="C17" i="1"/>
  <c r="I61" i="3" l="1"/>
  <c r="I52" i="3"/>
  <c r="F52" i="3"/>
  <c r="F61" i="3"/>
</calcChain>
</file>

<file path=xl/sharedStrings.xml><?xml version="1.0" encoding="utf-8"?>
<sst xmlns="http://schemas.openxmlformats.org/spreadsheetml/2006/main" count="305" uniqueCount="84">
  <si>
    <t>Time Requirement:</t>
  </si>
  <si>
    <t>Minimum Duration:</t>
  </si>
  <si>
    <t>Maximum Duration:</t>
  </si>
  <si>
    <t>Mean Duration:</t>
  </si>
  <si>
    <t>Standard Deviation:</t>
  </si>
  <si>
    <t>% Met Time Requirement:</t>
  </si>
  <si>
    <t>Time Criterion:</t>
  </si>
  <si>
    <t>Time Result:</t>
  </si>
  <si>
    <t>% Scenario Successful:</t>
  </si>
  <si>
    <t>Accuracy Criterion:</t>
  </si>
  <si>
    <t>Accuracy Result:</t>
  </si>
  <si>
    <t>% Met Time Req AND Successful:</t>
  </si>
  <si>
    <t>Scenario Criterion:</t>
  </si>
  <si>
    <t>Scenario Result:</t>
  </si>
  <si>
    <t>HH:MM:SS.mm</t>
  </si>
  <si>
    <t>PASS</t>
  </si>
  <si>
    <t>MSWA Report</t>
  </si>
  <si>
    <t>Scenario Performance</t>
  </si>
  <si>
    <t>Analysis Name:</t>
  </si>
  <si>
    <t>Scenario:</t>
  </si>
  <si>
    <t>Initial RNS:</t>
  </si>
  <si>
    <t>Times Performed:</t>
  </si>
  <si>
    <t>Function</t>
  </si>
  <si>
    <t>Task</t>
  </si>
  <si>
    <t>Primary
Operator</t>
  </si>
  <si>
    <t>Time (HH:MM:SS.mm)</t>
  </si>
  <si>
    <t>% Met</t>
  </si>
  <si>
    <t>Accuracy</t>
  </si>
  <si>
    <t>% Successful</t>
  </si>
  <si>
    <t>Both Time and Accuracy</t>
  </si>
  <si>
    <t>ID</t>
  </si>
  <si>
    <t>Name</t>
  </si>
  <si>
    <t>Times Performed</t>
  </si>
  <si>
    <t>Minimum</t>
  </si>
  <si>
    <t>Maximum</t>
  </si>
  <si>
    <t>Mean</t>
  </si>
  <si>
    <t>Std. Dev.</t>
  </si>
  <si>
    <t>Requirement</t>
  </si>
  <si>
    <t>Accuracy Measure</t>
  </si>
  <si>
    <t>Failures</t>
  </si>
  <si>
    <t>Scenario Aborts</t>
  </si>
  <si>
    <t>Criterion</t>
  </si>
  <si>
    <t>Results</t>
  </si>
  <si>
    <t>Root</t>
  </si>
  <si>
    <t>(Root)</t>
  </si>
  <si>
    <t>Model START</t>
  </si>
  <si>
    <t>Operator</t>
  </si>
  <si>
    <t>Percent Steps Correct</t>
  </si>
  <si>
    <t>AccessSatellite</t>
  </si>
  <si>
    <t>Select Sensor Type</t>
  </si>
  <si>
    <t>Download Images</t>
  </si>
  <si>
    <t>Validate Data</t>
  </si>
  <si>
    <t>Prepare For Analysis</t>
  </si>
  <si>
    <t>Scan for Features</t>
  </si>
  <si>
    <t>Identify Regions of Interest</t>
  </si>
  <si>
    <t>Object Cluster Identification and Classification</t>
  </si>
  <si>
    <t>Response to Anomaly</t>
  </si>
  <si>
    <t>Contextual and Temporal Analysis</t>
  </si>
  <si>
    <t>Cross Referencing</t>
  </si>
  <si>
    <t>Hypothesis Formation</t>
  </si>
  <si>
    <t>Data Synthesis</t>
  </si>
  <si>
    <t>Intelligence Verification</t>
  </si>
  <si>
    <t>Report Compilation</t>
  </si>
  <si>
    <t>Review and Edit Report</t>
  </si>
  <si>
    <t>Report Submission</t>
  </si>
  <si>
    <t>Model END</t>
  </si>
  <si>
    <t>Task Performance</t>
  </si>
  <si>
    <t>Notes:</t>
  </si>
  <si>
    <t>Report combines data from all runs of this scenario.</t>
  </si>
  <si>
    <t>ISR Human Operator</t>
  </si>
  <si>
    <t>Mission Case 6</t>
  </si>
  <si>
    <t>Satellite Contact Window Requirement</t>
  </si>
  <si>
    <t>Mean (Minutes)</t>
  </si>
  <si>
    <t>Image Processing and Analysis</t>
  </si>
  <si>
    <t>Group 3 - Task Name</t>
  </si>
  <si>
    <t>Analytical Tasks Requiring Accuracy - Mean (Minutes)</t>
  </si>
  <si>
    <t>(minutes)</t>
  </si>
  <si>
    <t># of Simulations</t>
  </si>
  <si>
    <t># of Repetitions</t>
  </si>
  <si>
    <t>Sum of Mean (Minutes)</t>
  </si>
  <si>
    <t>Total Sim. Time</t>
  </si>
  <si>
    <t>Group 1 - Task Name</t>
  </si>
  <si>
    <t>Group 2 - Task Name</t>
  </si>
  <si>
    <t xml:space="preserve"> ← Downlink time is used for both human operator and AI operator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</si>
</sst>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h]:mm:ss.00"/>
    <numFmt numFmtId="165" formatCode="0\ "/>
    <numFmt numFmtId="166" formatCode="0.000000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49" fontId="1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15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2" fontId="0" fillId="0" borderId="0" xfId="0" applyNumberFormat="1"/>
    <xf numFmtId="166" fontId="0" fillId="0" borderId="0" xfId="0" applyNumberFormat="1"/>
    <xf numFmtId="0" fontId="0" fillId="0" borderId="1" xfId="0" applyBorder="1"/>
    <xf numFmtId="166" fontId="0" fillId="0" borderId="1" xfId="0" applyNumberFormat="1" applyBorder="1"/>
    <xf numFmtId="0" fontId="1" fillId="0" borderId="0" xfId="0" applyFont="1"/>
    <xf numFmtId="2" fontId="1" fillId="0" borderId="0" xfId="0" applyNumberFormat="1" applyFont="1" applyAlignment="1">
      <alignment horizontal="center"/>
    </xf>
    <xf numFmtId="166" fontId="1" fillId="0" borderId="0" xfId="0" applyNumberFormat="1" applyFont="1"/>
    <xf numFmtId="49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right"/>
    </xf>
    <xf numFmtId="49" fontId="0" fillId="3" borderId="0" xfId="0" applyNumberFormat="1" applyFill="1" applyAlignment="1">
      <alignment horizontal="left"/>
    </xf>
    <xf numFmtId="164" fontId="0" fillId="3" borderId="0" xfId="0" applyNumberFormat="1" applyFill="1" applyAlignment="1">
      <alignment horizontal="right"/>
    </xf>
    <xf numFmtId="49" fontId="0" fillId="4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5" borderId="0" xfId="0" applyFill="1"/>
    <xf numFmtId="167" fontId="0" fillId="0" borderId="0" xfId="0" applyNumberFormat="1"/>
    <xf numFmtId="167" fontId="1" fillId="0" borderId="0" xfId="0" applyNumberFormat="1" applyFont="1"/>
    <xf numFmtId="49" fontId="1" fillId="6" borderId="0" xfId="0" applyNumberFormat="1" applyFont="1" applyFill="1" applyAlignment="1">
      <alignment horizontal="right"/>
    </xf>
    <xf numFmtId="164" fontId="1" fillId="6" borderId="0" xfId="0" applyNumberFormat="1" applyFont="1" applyFill="1" applyAlignment="1">
      <alignment horizontal="right"/>
    </xf>
    <xf numFmtId="167" fontId="1" fillId="6" borderId="0" xfId="0" applyNumberFormat="1" applyFont="1" applyFill="1"/>
    <xf numFmtId="0" fontId="1" fillId="6" borderId="0" xfId="0" applyFont="1" applyFill="1"/>
    <xf numFmtId="0" fontId="4" fillId="0" borderId="0" xfId="0" applyFont="1"/>
    <xf numFmtId="2" fontId="1" fillId="0" borderId="0" xfId="0" applyNumberFormat="1" applyFont="1"/>
    <xf numFmtId="1" fontId="0" fillId="0" borderId="0" xfId="0" applyNumberFormat="1"/>
    <xf numFmtId="167" fontId="0" fillId="0" borderId="1" xfId="0" applyNumberFormat="1" applyBorder="1"/>
    <xf numFmtId="2" fontId="1" fillId="6" borderId="0" xfId="0" applyNumberFormat="1" applyFont="1" applyFill="1"/>
    <xf numFmtId="167" fontId="0" fillId="6" borderId="1" xfId="0" applyNumberFormat="1" applyFill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C:\Users\fridl\AppData\Local\Temp\tmp10FF.tmp" TargetMode="Externa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1041400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D85FED-359E-47CB-99A8-A416ABDD62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1035050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C54054-276A-2682-BF0A-71F3450F57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7900" cy="584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63500</xdr:rowOff>
    </xdr:from>
    <xdr:to>
      <xdr:col>0</xdr:col>
      <xdr:colOff>1035050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68FEC3-A945-4025-82D2-4A85B885F9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63500"/>
          <a:ext cx="971550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26D9-748E-468C-A49F-AD5901120FAB}">
  <dimension ref="A1:G30"/>
  <sheetViews>
    <sheetView workbookViewId="0">
      <selection activeCell="D16" sqref="D16:E16"/>
    </sheetView>
  </sheetViews>
  <sheetFormatPr defaultRowHeight="15" x14ac:dyDescent="0.25"/>
  <cols>
    <col min="1" max="1" width="17" bestFit="1" customWidth="1"/>
    <col min="2" max="2" width="30.7109375" customWidth="1"/>
    <col min="3" max="3" width="14.5703125" bestFit="1" customWidth="1"/>
    <col min="4" max="4" width="13.140625" customWidth="1"/>
  </cols>
  <sheetData>
    <row r="1" spans="1:5" x14ac:dyDescent="0.25">
      <c r="A1" s="44"/>
    </row>
    <row r="2" spans="1:5" ht="18.75" x14ac:dyDescent="0.3">
      <c r="A2" s="44"/>
      <c r="B2" s="6" t="s">
        <v>16</v>
      </c>
    </row>
    <row r="3" spans="1:5" ht="17.25" x14ac:dyDescent="0.3">
      <c r="A3" s="44"/>
      <c r="B3" s="7" t="s">
        <v>17</v>
      </c>
    </row>
    <row r="4" spans="1:5" x14ac:dyDescent="0.25">
      <c r="A4" s="44"/>
      <c r="B4" s="9"/>
    </row>
    <row r="5" spans="1:5" x14ac:dyDescent="0.25">
      <c r="A5" s="5" t="s">
        <v>18</v>
      </c>
      <c r="B5" s="8" t="s">
        <v>69</v>
      </c>
    </row>
    <row r="6" spans="1:5" x14ac:dyDescent="0.25">
      <c r="A6" s="5" t="s">
        <v>19</v>
      </c>
      <c r="B6" s="8" t="s">
        <v>70</v>
      </c>
    </row>
    <row r="7" spans="1:5" x14ac:dyDescent="0.25">
      <c r="A7" s="5"/>
      <c r="B7" s="10"/>
    </row>
    <row r="8" spans="1:5" x14ac:dyDescent="0.25">
      <c r="A8" s="5"/>
      <c r="B8" s="9"/>
    </row>
    <row r="9" spans="1:5" x14ac:dyDescent="0.25">
      <c r="A9" s="5" t="s">
        <v>20</v>
      </c>
      <c r="B9" s="11">
        <v>25931</v>
      </c>
    </row>
    <row r="10" spans="1:5" x14ac:dyDescent="0.25">
      <c r="A10" s="5" t="s">
        <v>21</v>
      </c>
      <c r="B10" s="8">
        <v>10</v>
      </c>
    </row>
    <row r="12" spans="1:5" x14ac:dyDescent="0.25">
      <c r="C12" s="1" t="s">
        <v>14</v>
      </c>
    </row>
    <row r="13" spans="1:5" x14ac:dyDescent="0.25">
      <c r="B13" s="1" t="s">
        <v>0</v>
      </c>
      <c r="C13" s="2">
        <f xml:space="preserve"> 0 / 86400</f>
        <v>0</v>
      </c>
    </row>
    <row r="14" spans="1:5" x14ac:dyDescent="0.25">
      <c r="B14" s="1" t="s">
        <v>1</v>
      </c>
      <c r="C14" s="2">
        <f xml:space="preserve"> 56107.6816551295 / 86400</f>
        <v>0.64939446360103581</v>
      </c>
    </row>
    <row r="15" spans="1:5" x14ac:dyDescent="0.25">
      <c r="B15" s="1" t="s">
        <v>2</v>
      </c>
      <c r="C15" s="2">
        <f xml:space="preserve"> 65847.9205057342 / 86400</f>
        <v>0.76212870955710887</v>
      </c>
    </row>
    <row r="16" spans="1:5" x14ac:dyDescent="0.25">
      <c r="B16" s="34" t="s">
        <v>3</v>
      </c>
      <c r="C16" s="35">
        <f xml:space="preserve"> 60051.9962405948 / 86400</f>
        <v>0.69504625278466203</v>
      </c>
      <c r="D16" s="36">
        <f>(C16*86400)/60</f>
        <v>1000.8666040099134</v>
      </c>
      <c r="E16" s="37" t="s">
        <v>76</v>
      </c>
    </row>
    <row r="17" spans="2:7" x14ac:dyDescent="0.25">
      <c r="B17" s="1" t="s">
        <v>4</v>
      </c>
      <c r="C17" s="2">
        <f xml:space="preserve"> 3688.17660674888 / 86400</f>
        <v>4.2687229244778704E-2</v>
      </c>
    </row>
    <row r="19" spans="2:7" x14ac:dyDescent="0.25">
      <c r="C19" s="3"/>
    </row>
    <row r="20" spans="2:7" x14ac:dyDescent="0.25">
      <c r="B20" s="1" t="s">
        <v>5</v>
      </c>
      <c r="C20" s="3">
        <v>0</v>
      </c>
      <c r="G20" s="38"/>
    </row>
    <row r="21" spans="2:7" x14ac:dyDescent="0.25">
      <c r="B21" s="1" t="s">
        <v>6</v>
      </c>
      <c r="C21" s="3">
        <v>0</v>
      </c>
    </row>
    <row r="22" spans="2:7" x14ac:dyDescent="0.25">
      <c r="B22" s="1" t="s">
        <v>7</v>
      </c>
      <c r="C22" s="4" t="s">
        <v>15</v>
      </c>
    </row>
    <row r="24" spans="2:7" x14ac:dyDescent="0.25">
      <c r="B24" s="1" t="s">
        <v>8</v>
      </c>
      <c r="C24" s="3">
        <v>100</v>
      </c>
    </row>
    <row r="25" spans="2:7" x14ac:dyDescent="0.25">
      <c r="B25" s="1" t="s">
        <v>9</v>
      </c>
      <c r="C25" s="3">
        <v>0</v>
      </c>
    </row>
    <row r="26" spans="2:7" x14ac:dyDescent="0.25">
      <c r="B26" s="1" t="s">
        <v>10</v>
      </c>
      <c r="C26" s="4" t="s">
        <v>15</v>
      </c>
    </row>
    <row r="28" spans="2:7" x14ac:dyDescent="0.25">
      <c r="B28" s="1" t="s">
        <v>11</v>
      </c>
      <c r="C28" s="3">
        <v>0</v>
      </c>
    </row>
    <row r="29" spans="2:7" x14ac:dyDescent="0.25">
      <c r="B29" s="1" t="s">
        <v>12</v>
      </c>
      <c r="C29" s="3">
        <v>0</v>
      </c>
    </row>
    <row r="30" spans="2:7" x14ac:dyDescent="0.25">
      <c r="B30" s="1" t="s">
        <v>13</v>
      </c>
      <c r="C30" s="4" t="s">
        <v>15</v>
      </c>
    </row>
  </sheetData>
  <mergeCells count="1">
    <mergeCell ref="A1:A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45E28-5864-4ADA-8405-05626CC6E539}">
  <dimension ref="A1:X36"/>
  <sheetViews>
    <sheetView workbookViewId="0">
      <selection activeCell="G41" sqref="G41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9" bestFit="1" customWidth="1"/>
    <col min="6" max="6" width="14.85546875" bestFit="1" customWidth="1"/>
    <col min="7" max="7" width="16.42578125" bestFit="1" customWidth="1"/>
    <col min="9" max="12" width="10.7109375" bestFit="1" customWidth="1"/>
    <col min="13" max="13" width="12.7109375" bestFit="1" customWidth="1"/>
    <col min="14" max="14" width="6.7109375" bestFit="1" customWidth="1"/>
    <col min="16" max="16" width="20.28515625" bestFit="1" customWidth="1"/>
    <col min="17" max="17" width="8" bestFit="1" customWidth="1"/>
    <col min="18" max="18" width="15" bestFit="1" customWidth="1"/>
    <col min="19" max="19" width="12.7109375" bestFit="1" customWidth="1"/>
    <col min="20" max="20" width="12.140625" bestFit="1" customWidth="1"/>
    <col min="22" max="22" width="8.85546875" bestFit="1" customWidth="1"/>
    <col min="23" max="23" width="12.140625" bestFit="1" customWidth="1"/>
    <col min="24" max="24" width="7.42578125" bestFit="1" customWidth="1"/>
  </cols>
  <sheetData>
    <row r="1" spans="1:24" x14ac:dyDescent="0.25">
      <c r="A1" s="44"/>
    </row>
    <row r="2" spans="1:24" ht="18.75" x14ac:dyDescent="0.3">
      <c r="A2" s="44"/>
      <c r="B2" s="6" t="s">
        <v>16</v>
      </c>
    </row>
    <row r="3" spans="1:24" ht="17.25" x14ac:dyDescent="0.3">
      <c r="A3" s="44"/>
      <c r="B3" s="7" t="s">
        <v>66</v>
      </c>
    </row>
    <row r="4" spans="1:24" x14ac:dyDescent="0.25">
      <c r="A4" s="44"/>
      <c r="B4" s="9"/>
    </row>
    <row r="5" spans="1:24" x14ac:dyDescent="0.25">
      <c r="A5" s="5" t="s">
        <v>18</v>
      </c>
      <c r="B5" s="8" t="s">
        <v>69</v>
      </c>
    </row>
    <row r="6" spans="1:24" x14ac:dyDescent="0.25">
      <c r="A6" s="5" t="s">
        <v>19</v>
      </c>
      <c r="B6" s="8" t="s">
        <v>70</v>
      </c>
    </row>
    <row r="7" spans="1:24" x14ac:dyDescent="0.25">
      <c r="A7" s="5" t="s">
        <v>20</v>
      </c>
      <c r="B7" s="11">
        <v>25931</v>
      </c>
    </row>
    <row r="8" spans="1:24" x14ac:dyDescent="0.25">
      <c r="A8" s="5"/>
      <c r="B8" s="10"/>
    </row>
    <row r="9" spans="1:24" x14ac:dyDescent="0.25">
      <c r="A9" s="5" t="s">
        <v>67</v>
      </c>
      <c r="B9" s="9" t="s">
        <v>68</v>
      </c>
    </row>
    <row r="11" spans="1:24" s="12" customFormat="1" x14ac:dyDescent="0.25">
      <c r="B11" s="45" t="s">
        <v>22</v>
      </c>
      <c r="C11" s="46"/>
      <c r="D11" s="45" t="s">
        <v>23</v>
      </c>
      <c r="E11" s="46"/>
      <c r="F11" s="47" t="s">
        <v>24</v>
      </c>
      <c r="I11" s="45" t="s">
        <v>25</v>
      </c>
      <c r="J11" s="46"/>
      <c r="K11" s="46"/>
      <c r="L11" s="46"/>
      <c r="M11" s="46"/>
      <c r="N11" s="49" t="s">
        <v>26</v>
      </c>
      <c r="P11" s="45" t="s">
        <v>27</v>
      </c>
      <c r="Q11" s="46"/>
      <c r="R11" s="46"/>
      <c r="S11" s="46"/>
      <c r="T11" s="49" t="s">
        <v>28</v>
      </c>
      <c r="V11" s="45" t="s">
        <v>29</v>
      </c>
      <c r="W11" s="46"/>
      <c r="X11" s="46"/>
    </row>
    <row r="12" spans="1:24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8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  <c r="M12" s="12" t="s">
        <v>37</v>
      </c>
      <c r="N12" s="50"/>
      <c r="P12" s="12" t="s">
        <v>38</v>
      </c>
      <c r="Q12" s="12" t="s">
        <v>39</v>
      </c>
      <c r="R12" s="12" t="s">
        <v>40</v>
      </c>
      <c r="S12" s="12" t="s">
        <v>37</v>
      </c>
      <c r="T12" s="50"/>
      <c r="V12" s="12" t="s">
        <v>41</v>
      </c>
      <c r="W12" s="12" t="s">
        <v>28</v>
      </c>
      <c r="X12" s="12" t="s">
        <v>42</v>
      </c>
    </row>
    <row r="13" spans="1:24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10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  <c r="M13" s="2">
        <f xml:space="preserve"> 0 / 86400</f>
        <v>0</v>
      </c>
      <c r="N13" s="3">
        <v>100</v>
      </c>
      <c r="O13" s="9"/>
      <c r="P13" s="13" t="s">
        <v>47</v>
      </c>
      <c r="Q13" s="14">
        <v>0</v>
      </c>
      <c r="R13" s="14">
        <v>0</v>
      </c>
      <c r="S13" s="3">
        <v>0</v>
      </c>
      <c r="T13" s="3">
        <v>100</v>
      </c>
      <c r="U13" s="9"/>
      <c r="V13" s="3">
        <v>0</v>
      </c>
      <c r="W13" s="3">
        <v>100</v>
      </c>
      <c r="X13" s="4" t="s">
        <v>15</v>
      </c>
    </row>
    <row r="14" spans="1:24" x14ac:dyDescent="0.25">
      <c r="B14" s="4" t="s">
        <v>43</v>
      </c>
      <c r="C14" s="9" t="s">
        <v>44</v>
      </c>
      <c r="D14" s="4">
        <v>1</v>
      </c>
      <c r="E14" s="9" t="s">
        <v>48</v>
      </c>
      <c r="F14" s="9" t="s">
        <v>46</v>
      </c>
      <c r="G14" s="4">
        <v>10</v>
      </c>
      <c r="H14" s="9"/>
      <c r="I14" s="2">
        <f xml:space="preserve"> 63.8272900431544 / 86400</f>
        <v>7.3874178290687963E-4</v>
      </c>
      <c r="J14" s="2">
        <f xml:space="preserve"> 273.727494553536 / 86400</f>
        <v>3.1681422980733335E-3</v>
      </c>
      <c r="K14" s="2">
        <f xml:space="preserve"> 197.352034405178 / 86400</f>
        <v>2.284167064874745E-3</v>
      </c>
      <c r="L14" s="2">
        <f xml:space="preserve"> 55.9903277535831 / 86400</f>
        <v>6.4803620085165633E-4</v>
      </c>
      <c r="M14" s="2">
        <f t="shared" ref="M14:M31" si="0" xml:space="preserve"> 0 / 86400</f>
        <v>0</v>
      </c>
      <c r="N14" s="3">
        <v>0</v>
      </c>
      <c r="O14" s="9"/>
      <c r="P14" s="13" t="s">
        <v>47</v>
      </c>
      <c r="Q14" s="14">
        <v>0</v>
      </c>
      <c r="R14" s="14">
        <v>0</v>
      </c>
      <c r="S14" s="3">
        <v>0</v>
      </c>
      <c r="T14" s="3">
        <v>100</v>
      </c>
      <c r="U14" s="9"/>
      <c r="V14" s="3">
        <v>0</v>
      </c>
      <c r="W14" s="3">
        <v>0</v>
      </c>
      <c r="X14" s="4" t="s">
        <v>15</v>
      </c>
    </row>
    <row r="15" spans="1:24" x14ac:dyDescent="0.25">
      <c r="B15" s="4" t="s">
        <v>43</v>
      </c>
      <c r="C15" s="9" t="s">
        <v>44</v>
      </c>
      <c r="D15" s="4">
        <v>2</v>
      </c>
      <c r="E15" s="9" t="s">
        <v>49</v>
      </c>
      <c r="F15" s="9" t="s">
        <v>46</v>
      </c>
      <c r="G15" s="4">
        <v>10</v>
      </c>
      <c r="H15" s="9"/>
      <c r="I15" s="2">
        <f xml:space="preserve"> 6.36352492792702 / 86400</f>
        <v>7.3651908888044203E-5</v>
      </c>
      <c r="J15" s="2">
        <f xml:space="preserve"> 20.420971801701 / 86400</f>
        <v>2.3635384029746528E-4</v>
      </c>
      <c r="K15" s="2">
        <f xml:space="preserve"> 14.1922483648137 / 86400</f>
        <v>1.6426213385201043E-4</v>
      </c>
      <c r="L15" s="2">
        <f xml:space="preserve"> 4.89728928034723 / 86400</f>
        <v>5.6681588892907754E-5</v>
      </c>
      <c r="M15" s="2">
        <f t="shared" si="0"/>
        <v>0</v>
      </c>
      <c r="N15" s="3">
        <v>0</v>
      </c>
      <c r="O15" s="9"/>
      <c r="P15" s="13" t="s">
        <v>47</v>
      </c>
      <c r="Q15" s="14">
        <v>0</v>
      </c>
      <c r="R15" s="14">
        <v>0</v>
      </c>
      <c r="S15" s="3">
        <v>0</v>
      </c>
      <c r="T15" s="3">
        <v>100</v>
      </c>
      <c r="U15" s="9"/>
      <c r="V15" s="3">
        <v>0</v>
      </c>
      <c r="W15" s="3">
        <v>0</v>
      </c>
      <c r="X15" s="4" t="s">
        <v>15</v>
      </c>
    </row>
    <row r="16" spans="1:24" x14ac:dyDescent="0.25">
      <c r="B16" s="4" t="s">
        <v>43</v>
      </c>
      <c r="C16" s="9" t="s">
        <v>44</v>
      </c>
      <c r="D16" s="4">
        <v>3</v>
      </c>
      <c r="E16" s="9" t="s">
        <v>50</v>
      </c>
      <c r="F16" s="9" t="s">
        <v>46</v>
      </c>
      <c r="G16" s="4">
        <v>10</v>
      </c>
      <c r="H16" s="9"/>
      <c r="I16" s="2">
        <f xml:space="preserve"> 43.836764919464 / 86400</f>
        <v>5.0736996434564818E-4</v>
      </c>
      <c r="J16" s="2">
        <f xml:space="preserve"> 64.679750380887 / 86400</f>
        <v>7.4860822200100699E-4</v>
      </c>
      <c r="K16" s="2">
        <f xml:space="preserve"> 54.7790072537899 / 86400</f>
        <v>6.3401628765960528E-4</v>
      </c>
      <c r="L16" s="2">
        <f xml:space="preserve"> 7.1969991355393 / 86400</f>
        <v>8.3298601105778937E-5</v>
      </c>
      <c r="M16" s="2">
        <f t="shared" si="0"/>
        <v>0</v>
      </c>
      <c r="N16" s="3">
        <v>0</v>
      </c>
      <c r="O16" s="9"/>
      <c r="P16" s="13" t="s">
        <v>47</v>
      </c>
      <c r="Q16" s="14">
        <v>0</v>
      </c>
      <c r="R16" s="14">
        <v>0</v>
      </c>
      <c r="S16" s="3">
        <v>0</v>
      </c>
      <c r="T16" s="3">
        <v>100</v>
      </c>
      <c r="U16" s="9"/>
      <c r="V16" s="3">
        <v>0</v>
      </c>
      <c r="W16" s="3">
        <v>0</v>
      </c>
      <c r="X16" s="4" t="s">
        <v>15</v>
      </c>
    </row>
    <row r="17" spans="2:24" x14ac:dyDescent="0.25">
      <c r="B17" s="4" t="s">
        <v>43</v>
      </c>
      <c r="C17" s="9" t="s">
        <v>44</v>
      </c>
      <c r="D17" s="4">
        <v>4</v>
      </c>
      <c r="E17" s="9" t="s">
        <v>51</v>
      </c>
      <c r="F17" s="9" t="s">
        <v>46</v>
      </c>
      <c r="G17" s="4">
        <v>10</v>
      </c>
      <c r="H17" s="9"/>
      <c r="I17" s="2">
        <f xml:space="preserve"> 116.200784699173 / 86400</f>
        <v>1.3449164895737616E-3</v>
      </c>
      <c r="J17" s="2">
        <f xml:space="preserve"> 357.495726624023 / 86400</f>
        <v>4.1376820211113776E-3</v>
      </c>
      <c r="K17" s="2">
        <f xml:space="preserve"> 214.118175018387 / 86400</f>
        <v>2.4782196182683682E-3</v>
      </c>
      <c r="L17" s="2">
        <f xml:space="preserve"> 75.9274183991127 / 86400</f>
        <v>8.7878956480454508E-4</v>
      </c>
      <c r="M17" s="2">
        <f t="shared" si="0"/>
        <v>0</v>
      </c>
      <c r="N17" s="3">
        <v>0</v>
      </c>
      <c r="O17" s="9"/>
      <c r="P17" s="13" t="s">
        <v>47</v>
      </c>
      <c r="Q17" s="14">
        <v>0</v>
      </c>
      <c r="R17" s="14">
        <v>0</v>
      </c>
      <c r="S17" s="3">
        <v>0</v>
      </c>
      <c r="T17" s="3">
        <v>100</v>
      </c>
      <c r="U17" s="9"/>
      <c r="V17" s="3">
        <v>0</v>
      </c>
      <c r="W17" s="3">
        <v>0</v>
      </c>
      <c r="X17" s="4" t="s">
        <v>15</v>
      </c>
    </row>
    <row r="18" spans="2:24" x14ac:dyDescent="0.25">
      <c r="B18" s="4" t="s">
        <v>43</v>
      </c>
      <c r="C18" s="9" t="s">
        <v>44</v>
      </c>
      <c r="D18" s="4">
        <v>5</v>
      </c>
      <c r="E18" s="9" t="s">
        <v>52</v>
      </c>
      <c r="F18" s="9" t="s">
        <v>46</v>
      </c>
      <c r="G18" s="4">
        <v>140</v>
      </c>
      <c r="H18" s="9"/>
      <c r="I18" s="2">
        <f xml:space="preserve"> 27.9571224222691 / 86400</f>
        <v>3.2357780581329979E-4</v>
      </c>
      <c r="J18" s="2">
        <f xml:space="preserve"> 122.6601324699 / 86400</f>
        <v>1.4196774591423611E-3</v>
      </c>
      <c r="K18" s="2">
        <f xml:space="preserve"> 69.3114536747622 / 86400</f>
        <v>8.0221589901345147E-4</v>
      </c>
      <c r="L18" s="2">
        <f xml:space="preserve"> 19.4363017008849 / 86400</f>
        <v>2.2495719561209376E-4</v>
      </c>
      <c r="M18" s="2">
        <f t="shared" si="0"/>
        <v>0</v>
      </c>
      <c r="N18" s="3">
        <v>0</v>
      </c>
      <c r="O18" s="9"/>
      <c r="P18" s="13" t="s">
        <v>47</v>
      </c>
      <c r="Q18" s="14">
        <v>0</v>
      </c>
      <c r="R18" s="14">
        <v>0</v>
      </c>
      <c r="S18" s="3">
        <v>0</v>
      </c>
      <c r="T18" s="3">
        <v>100</v>
      </c>
      <c r="U18" s="9"/>
      <c r="V18" s="3">
        <v>0</v>
      </c>
      <c r="W18" s="3">
        <v>0</v>
      </c>
      <c r="X18" s="4" t="s">
        <v>15</v>
      </c>
    </row>
    <row r="19" spans="2:24" x14ac:dyDescent="0.25">
      <c r="B19" s="4" t="s">
        <v>43</v>
      </c>
      <c r="C19" s="9" t="s">
        <v>44</v>
      </c>
      <c r="D19" s="4">
        <v>6</v>
      </c>
      <c r="E19" s="9" t="s">
        <v>53</v>
      </c>
      <c r="F19" s="9" t="s">
        <v>46</v>
      </c>
      <c r="G19" s="4">
        <v>140</v>
      </c>
      <c r="H19" s="9"/>
      <c r="I19" s="2">
        <f xml:space="preserve"> 26.8343745199099 / 86400</f>
        <v>3.1058303842488308E-4</v>
      </c>
      <c r="J19" s="2">
        <f xml:space="preserve"> 70.0028596031989 / 86400</f>
        <v>8.1021828244443169E-4</v>
      </c>
      <c r="K19" s="2">
        <f xml:space="preserve"> 48.7724263504724 / 86400</f>
        <v>5.6449567535268982E-4</v>
      </c>
      <c r="L19" s="2">
        <f xml:space="preserve"> 8.76311965835957 / 86400</f>
        <v>1.0142499604582835E-4</v>
      </c>
      <c r="M19" s="2">
        <f t="shared" si="0"/>
        <v>0</v>
      </c>
      <c r="N19" s="3">
        <v>0</v>
      </c>
      <c r="O19" s="9"/>
      <c r="P19" s="13" t="s">
        <v>47</v>
      </c>
      <c r="Q19" s="14">
        <v>0</v>
      </c>
      <c r="R19" s="14">
        <v>0</v>
      </c>
      <c r="S19" s="3">
        <v>0</v>
      </c>
      <c r="T19" s="3">
        <v>100</v>
      </c>
      <c r="U19" s="9"/>
      <c r="V19" s="3">
        <v>0</v>
      </c>
      <c r="W19" s="3">
        <v>0</v>
      </c>
      <c r="X19" s="4" t="s">
        <v>15</v>
      </c>
    </row>
    <row r="20" spans="2:24" x14ac:dyDescent="0.25">
      <c r="B20" s="4" t="s">
        <v>43</v>
      </c>
      <c r="C20" s="9" t="s">
        <v>44</v>
      </c>
      <c r="D20" s="4">
        <v>7</v>
      </c>
      <c r="E20" s="9" t="s">
        <v>54</v>
      </c>
      <c r="F20" s="9" t="s">
        <v>46</v>
      </c>
      <c r="G20" s="4">
        <v>140</v>
      </c>
      <c r="H20" s="9"/>
      <c r="I20" s="2">
        <f xml:space="preserve"> 40.0554353328989 / 86400</f>
        <v>4.6360457561225583E-4</v>
      </c>
      <c r="J20" s="2">
        <f xml:space="preserve"> 93.1189227830982 / 86400</f>
        <v>1.0777653099895625E-3</v>
      </c>
      <c r="K20" s="2">
        <f xml:space="preserve"> 69.4636509427945 / 86400</f>
        <v>8.0397744146752897E-4</v>
      </c>
      <c r="L20" s="2">
        <f xml:space="preserve"> 10.6664980028196 / 86400</f>
        <v>1.234548379955972E-4</v>
      </c>
      <c r="M20" s="2">
        <f t="shared" si="0"/>
        <v>0</v>
      </c>
      <c r="N20" s="3">
        <v>0</v>
      </c>
      <c r="O20" s="9"/>
      <c r="P20" s="13" t="s">
        <v>47</v>
      </c>
      <c r="Q20" s="14">
        <v>0</v>
      </c>
      <c r="R20" s="14">
        <v>0</v>
      </c>
      <c r="S20" s="3">
        <v>0</v>
      </c>
      <c r="T20" s="3">
        <v>100</v>
      </c>
      <c r="U20" s="9"/>
      <c r="V20" s="3">
        <v>0</v>
      </c>
      <c r="W20" s="3">
        <v>0</v>
      </c>
      <c r="X20" s="4" t="s">
        <v>15</v>
      </c>
    </row>
    <row r="21" spans="2:24" x14ac:dyDescent="0.25">
      <c r="B21" s="4" t="s">
        <v>43</v>
      </c>
      <c r="C21" s="9" t="s">
        <v>44</v>
      </c>
      <c r="D21" s="4">
        <v>8</v>
      </c>
      <c r="E21" s="9" t="s">
        <v>55</v>
      </c>
      <c r="F21" s="9" t="s">
        <v>46</v>
      </c>
      <c r="G21" s="4">
        <v>140</v>
      </c>
      <c r="H21" s="9"/>
      <c r="I21" s="2">
        <f xml:space="preserve"> 329.479575437894 / 86400</f>
        <v>3.8134210120126626E-3</v>
      </c>
      <c r="J21" s="2">
        <f xml:space="preserve"> 3321.6146846318 / 86400</f>
        <v>3.8444614405460653E-2</v>
      </c>
      <c r="K21" s="2">
        <f xml:space="preserve"> 1767.2257622935 / 86400</f>
        <v>2.0454001878396993E-2</v>
      </c>
      <c r="L21" s="2">
        <f xml:space="preserve"> 683.966426733291 / 86400</f>
        <v>7.9162780871908679E-3</v>
      </c>
      <c r="M21" s="2">
        <f t="shared" si="0"/>
        <v>0</v>
      </c>
      <c r="N21" s="3">
        <v>0</v>
      </c>
      <c r="O21" s="9"/>
      <c r="P21" s="13" t="s">
        <v>47</v>
      </c>
      <c r="Q21" s="14">
        <v>0</v>
      </c>
      <c r="R21" s="14">
        <v>0</v>
      </c>
      <c r="S21" s="3">
        <v>0</v>
      </c>
      <c r="T21" s="3">
        <v>100</v>
      </c>
      <c r="U21" s="9"/>
      <c r="V21" s="3">
        <v>0</v>
      </c>
      <c r="W21" s="3">
        <v>0</v>
      </c>
      <c r="X21" s="4" t="s">
        <v>15</v>
      </c>
    </row>
    <row r="22" spans="2:24" x14ac:dyDescent="0.25">
      <c r="B22" s="4" t="s">
        <v>43</v>
      </c>
      <c r="C22" s="9" t="s">
        <v>44</v>
      </c>
      <c r="D22" s="4">
        <v>9</v>
      </c>
      <c r="E22" s="9" t="s">
        <v>56</v>
      </c>
      <c r="F22" s="9" t="s">
        <v>46</v>
      </c>
      <c r="G22" s="4">
        <v>19</v>
      </c>
      <c r="H22" s="9"/>
      <c r="I22" s="2">
        <f xml:space="preserve"> 979.7648861794 / 86400</f>
        <v>1.1339871367817131E-2</v>
      </c>
      <c r="J22" s="2">
        <f xml:space="preserve"> 2461.61621608222 / 86400</f>
        <v>2.8490928426877546E-2</v>
      </c>
      <c r="K22" s="2">
        <f xml:space="preserve"> 1455.90565795277 / 86400</f>
        <v>1.6850759930008914E-2</v>
      </c>
      <c r="L22" s="2">
        <f xml:space="preserve"> 423.686268249794 / 86400</f>
        <v>4.9037762528911346E-3</v>
      </c>
      <c r="M22" s="2">
        <f t="shared" si="0"/>
        <v>0</v>
      </c>
      <c r="N22" s="3">
        <v>0</v>
      </c>
      <c r="O22" s="9"/>
      <c r="P22" s="13" t="s">
        <v>47</v>
      </c>
      <c r="Q22" s="14">
        <v>0</v>
      </c>
      <c r="R22" s="14">
        <v>0</v>
      </c>
      <c r="S22" s="3">
        <v>0</v>
      </c>
      <c r="T22" s="3">
        <v>100</v>
      </c>
      <c r="U22" s="9"/>
      <c r="V22" s="3">
        <v>0</v>
      </c>
      <c r="W22" s="3">
        <v>0</v>
      </c>
      <c r="X22" s="4" t="s">
        <v>15</v>
      </c>
    </row>
    <row r="23" spans="2:24" x14ac:dyDescent="0.25">
      <c r="B23" s="4" t="s">
        <v>43</v>
      </c>
      <c r="C23" s="9" t="s">
        <v>44</v>
      </c>
      <c r="D23" s="4">
        <v>10</v>
      </c>
      <c r="E23" s="9" t="s">
        <v>57</v>
      </c>
      <c r="F23" s="9" t="s">
        <v>46</v>
      </c>
      <c r="G23" s="4">
        <v>140</v>
      </c>
      <c r="H23" s="9"/>
      <c r="I23" s="2">
        <f xml:space="preserve"> 647.157986122394 / 86400</f>
        <v>7.49025446900919E-3</v>
      </c>
      <c r="J23" s="2">
        <f xml:space="preserve"> 1592.9731988009 / 86400</f>
        <v>1.8437189800936345E-2</v>
      </c>
      <c r="K23" s="2">
        <f xml:space="preserve"> 1010.88728888384 / 86400</f>
        <v>1.1700084362081482E-2</v>
      </c>
      <c r="L23" s="2">
        <f xml:space="preserve"> 195.367729798889 / 86400</f>
        <v>2.2612005763760299E-3</v>
      </c>
      <c r="M23" s="2">
        <f t="shared" si="0"/>
        <v>0</v>
      </c>
      <c r="N23" s="3">
        <v>0</v>
      </c>
      <c r="O23" s="9"/>
      <c r="P23" s="13" t="s">
        <v>47</v>
      </c>
      <c r="Q23" s="14">
        <v>0</v>
      </c>
      <c r="R23" s="14">
        <v>0</v>
      </c>
      <c r="S23" s="3">
        <v>0</v>
      </c>
      <c r="T23" s="3">
        <v>100</v>
      </c>
      <c r="U23" s="9"/>
      <c r="V23" s="3">
        <v>0</v>
      </c>
      <c r="W23" s="3">
        <v>0</v>
      </c>
      <c r="X23" s="4" t="s">
        <v>15</v>
      </c>
    </row>
    <row r="24" spans="2:24" x14ac:dyDescent="0.25">
      <c r="B24" s="4" t="s">
        <v>43</v>
      </c>
      <c r="C24" s="9" t="s">
        <v>44</v>
      </c>
      <c r="D24" s="4">
        <v>11</v>
      </c>
      <c r="E24" s="9" t="s">
        <v>58</v>
      </c>
      <c r="F24" s="9" t="s">
        <v>46</v>
      </c>
      <c r="G24" s="4">
        <v>140</v>
      </c>
      <c r="H24" s="9"/>
      <c r="I24" s="2">
        <f xml:space="preserve"> 8.95599545117011 / 86400</f>
        <v>1.0365735475891331E-4</v>
      </c>
      <c r="J24" s="2">
        <f xml:space="preserve"> 286.324041571701 / 86400</f>
        <v>3.3139356663391319E-3</v>
      </c>
      <c r="K24" s="2">
        <f xml:space="preserve"> 125.924230315404 / 86400</f>
        <v>1.45745636939125E-3</v>
      </c>
      <c r="L24" s="2">
        <f xml:space="preserve"> 78.5968386535319 / 86400</f>
        <v>9.0968563256402669E-4</v>
      </c>
      <c r="M24" s="2">
        <f t="shared" si="0"/>
        <v>0</v>
      </c>
      <c r="N24" s="3">
        <v>0</v>
      </c>
      <c r="O24" s="9"/>
      <c r="P24" s="13" t="s">
        <v>47</v>
      </c>
      <c r="Q24" s="14">
        <v>0</v>
      </c>
      <c r="R24" s="14">
        <v>0</v>
      </c>
      <c r="S24" s="3">
        <v>0</v>
      </c>
      <c r="T24" s="3">
        <v>100</v>
      </c>
      <c r="U24" s="9"/>
      <c r="V24" s="3">
        <v>0</v>
      </c>
      <c r="W24" s="3">
        <v>0</v>
      </c>
      <c r="X24" s="4" t="s">
        <v>15</v>
      </c>
    </row>
    <row r="25" spans="2:24" x14ac:dyDescent="0.25">
      <c r="B25" s="4" t="s">
        <v>43</v>
      </c>
      <c r="C25" s="9" t="s">
        <v>44</v>
      </c>
      <c r="D25" s="4">
        <v>12</v>
      </c>
      <c r="E25" s="9" t="s">
        <v>59</v>
      </c>
      <c r="F25" s="9" t="s">
        <v>46</v>
      </c>
      <c r="G25" s="4">
        <v>140</v>
      </c>
      <c r="H25" s="9"/>
      <c r="I25" s="2">
        <f xml:space="preserve"> 116.200453327059 / 86400</f>
        <v>1.3449126542483679E-3</v>
      </c>
      <c r="J25" s="2">
        <f xml:space="preserve"> 1216.16887373522 / 86400</f>
        <v>1.4076028631194675E-2</v>
      </c>
      <c r="K25" s="2">
        <f xml:space="preserve"> 556.730122550902 / 86400</f>
        <v>6.4436356776724768E-3</v>
      </c>
      <c r="L25" s="2">
        <f xml:space="preserve"> 218.47848423486 / 86400</f>
        <v>2.5286861601256944E-3</v>
      </c>
      <c r="M25" s="2">
        <f t="shared" si="0"/>
        <v>0</v>
      </c>
      <c r="N25" s="3">
        <v>0</v>
      </c>
      <c r="O25" s="9"/>
      <c r="P25" s="13" t="s">
        <v>47</v>
      </c>
      <c r="Q25" s="14">
        <v>0</v>
      </c>
      <c r="R25" s="14">
        <v>0</v>
      </c>
      <c r="S25" s="3">
        <v>0</v>
      </c>
      <c r="T25" s="3">
        <v>100</v>
      </c>
      <c r="U25" s="9"/>
      <c r="V25" s="3">
        <v>0</v>
      </c>
      <c r="W25" s="3">
        <v>0</v>
      </c>
      <c r="X25" s="4" t="s">
        <v>15</v>
      </c>
    </row>
    <row r="26" spans="2:24" x14ac:dyDescent="0.25">
      <c r="B26" s="4" t="s">
        <v>43</v>
      </c>
      <c r="C26" s="9" t="s">
        <v>44</v>
      </c>
      <c r="D26" s="4">
        <v>13</v>
      </c>
      <c r="E26" s="9" t="s">
        <v>60</v>
      </c>
      <c r="F26" s="9" t="s">
        <v>46</v>
      </c>
      <c r="G26" s="4">
        <v>10</v>
      </c>
      <c r="H26" s="9"/>
      <c r="I26" s="2">
        <f xml:space="preserve"> 419.8303093867 / 86400</f>
        <v>4.8591470993831019E-3</v>
      </c>
      <c r="J26" s="2">
        <f xml:space="preserve"> 623.669382083499 / 86400</f>
        <v>7.2183956259664244E-3</v>
      </c>
      <c r="K26" s="2">
        <f xml:space="preserve"> 538.551059491429 / 86400</f>
        <v>6.2332298552248725E-3</v>
      </c>
      <c r="L26" s="2">
        <f xml:space="preserve"> 63.0568036628805 / 86400</f>
        <v>7.2982411646852429E-4</v>
      </c>
      <c r="M26" s="2">
        <f t="shared" si="0"/>
        <v>0</v>
      </c>
      <c r="N26" s="3">
        <v>0</v>
      </c>
      <c r="O26" s="9"/>
      <c r="P26" s="13" t="s">
        <v>47</v>
      </c>
      <c r="Q26" s="14">
        <v>0</v>
      </c>
      <c r="R26" s="14">
        <v>0</v>
      </c>
      <c r="S26" s="3">
        <v>0</v>
      </c>
      <c r="T26" s="3">
        <v>100</v>
      </c>
      <c r="U26" s="9"/>
      <c r="V26" s="3">
        <v>0</v>
      </c>
      <c r="W26" s="3">
        <v>0</v>
      </c>
      <c r="X26" s="4" t="s">
        <v>15</v>
      </c>
    </row>
    <row r="27" spans="2:24" x14ac:dyDescent="0.25">
      <c r="B27" s="4" t="s">
        <v>43</v>
      </c>
      <c r="C27" s="9" t="s">
        <v>44</v>
      </c>
      <c r="D27" s="4">
        <v>14</v>
      </c>
      <c r="E27" s="9" t="s">
        <v>61</v>
      </c>
      <c r="F27" s="9" t="s">
        <v>46</v>
      </c>
      <c r="G27" s="4">
        <v>10</v>
      </c>
      <c r="H27" s="9"/>
      <c r="I27" s="2">
        <f xml:space="preserve"> 302.403377875395 / 86400</f>
        <v>3.5000390957800349E-3</v>
      </c>
      <c r="J27" s="2">
        <f xml:space="preserve"> 517.143921955605 / 86400</f>
        <v>5.9854620596713542E-3</v>
      </c>
      <c r="K27" s="2">
        <f xml:space="preserve"> 430.20350850524 / 86400</f>
        <v>4.9792072743662036E-3</v>
      </c>
      <c r="L27" s="2">
        <f xml:space="preserve"> 61.6590012281492 / 86400</f>
        <v>7.1364584754802314E-4</v>
      </c>
      <c r="M27" s="2">
        <f t="shared" si="0"/>
        <v>0</v>
      </c>
      <c r="N27" s="3">
        <v>0</v>
      </c>
      <c r="O27" s="9"/>
      <c r="P27" s="13" t="s">
        <v>47</v>
      </c>
      <c r="Q27" s="14">
        <v>0</v>
      </c>
      <c r="R27" s="14">
        <v>0</v>
      </c>
      <c r="S27" s="3">
        <v>0</v>
      </c>
      <c r="T27" s="3">
        <v>100</v>
      </c>
      <c r="U27" s="9"/>
      <c r="V27" s="3">
        <v>0</v>
      </c>
      <c r="W27" s="3">
        <v>0</v>
      </c>
      <c r="X27" s="4" t="s">
        <v>15</v>
      </c>
    </row>
    <row r="28" spans="2:24" x14ac:dyDescent="0.25">
      <c r="B28" s="4" t="s">
        <v>43</v>
      </c>
      <c r="C28" s="9" t="s">
        <v>44</v>
      </c>
      <c r="D28" s="4">
        <v>15</v>
      </c>
      <c r="E28" s="9" t="s">
        <v>62</v>
      </c>
      <c r="F28" s="9" t="s">
        <v>46</v>
      </c>
      <c r="G28" s="4">
        <v>10</v>
      </c>
      <c r="H28" s="9"/>
      <c r="I28" s="2">
        <f xml:space="preserve"> 3503.5387436354 / 86400</f>
        <v>4.0550216940224537E-2</v>
      </c>
      <c r="J28" s="2">
        <f xml:space="preserve"> 4438.492441863 / 86400</f>
        <v>5.1371440299340279E-2</v>
      </c>
      <c r="K28" s="2">
        <f xml:space="preserve"> 4107.69046689312 / 86400</f>
        <v>4.7542713737188894E-2</v>
      </c>
      <c r="L28" s="2">
        <f xml:space="preserve"> 285.822635984625 / 86400</f>
        <v>3.3081323609331593E-3</v>
      </c>
      <c r="M28" s="2">
        <f t="shared" si="0"/>
        <v>0</v>
      </c>
      <c r="N28" s="3">
        <v>0</v>
      </c>
      <c r="O28" s="9"/>
      <c r="P28" s="13" t="s">
        <v>47</v>
      </c>
      <c r="Q28" s="14">
        <v>0</v>
      </c>
      <c r="R28" s="14">
        <v>0</v>
      </c>
      <c r="S28" s="3">
        <v>0</v>
      </c>
      <c r="T28" s="3">
        <v>100</v>
      </c>
      <c r="U28" s="9"/>
      <c r="V28" s="3">
        <v>0</v>
      </c>
      <c r="W28" s="3">
        <v>0</v>
      </c>
      <c r="X28" s="4" t="s">
        <v>15</v>
      </c>
    </row>
    <row r="29" spans="2:24" x14ac:dyDescent="0.25">
      <c r="B29" s="4" t="s">
        <v>43</v>
      </c>
      <c r="C29" s="9" t="s">
        <v>44</v>
      </c>
      <c r="D29" s="4">
        <v>16</v>
      </c>
      <c r="E29" s="9" t="s">
        <v>63</v>
      </c>
      <c r="F29" s="9" t="s">
        <v>46</v>
      </c>
      <c r="G29" s="4">
        <v>10</v>
      </c>
      <c r="H29" s="9"/>
      <c r="I29" s="2">
        <f xml:space="preserve"> 404.7552004358 / 86400</f>
        <v>4.6846666717106486E-3</v>
      </c>
      <c r="J29" s="2">
        <f xml:space="preserve"> 547.338539681099 / 86400</f>
        <v>6.3349368018645715E-3</v>
      </c>
      <c r="K29" s="2">
        <f xml:space="preserve"> 479.111949269249 / 86400</f>
        <v>5.5452771906163078E-3</v>
      </c>
      <c r="L29" s="2">
        <f xml:space="preserve"> 42.5514497848781 / 86400</f>
        <v>4.9249363176942246E-4</v>
      </c>
      <c r="M29" s="2">
        <f t="shared" si="0"/>
        <v>0</v>
      </c>
      <c r="N29" s="3">
        <v>0</v>
      </c>
      <c r="O29" s="9"/>
      <c r="P29" s="13" t="s">
        <v>47</v>
      </c>
      <c r="Q29" s="14">
        <v>0</v>
      </c>
      <c r="R29" s="14">
        <v>0</v>
      </c>
      <c r="S29" s="3">
        <v>0</v>
      </c>
      <c r="T29" s="3">
        <v>100</v>
      </c>
      <c r="U29" s="9"/>
      <c r="V29" s="3">
        <v>0</v>
      </c>
      <c r="W29" s="3">
        <v>0</v>
      </c>
      <c r="X29" s="4" t="s">
        <v>15</v>
      </c>
    </row>
    <row r="30" spans="2:24" x14ac:dyDescent="0.25">
      <c r="B30" s="4" t="s">
        <v>43</v>
      </c>
      <c r="C30" s="9" t="s">
        <v>44</v>
      </c>
      <c r="D30" s="4">
        <v>17</v>
      </c>
      <c r="E30" s="9" t="s">
        <v>64</v>
      </c>
      <c r="F30" s="9" t="s">
        <v>46</v>
      </c>
      <c r="G30" s="4">
        <v>10</v>
      </c>
      <c r="H30" s="9"/>
      <c r="I30" s="2">
        <f xml:space="preserve"> 117.802837313102 / 86400</f>
        <v>1.3634587651979399E-3</v>
      </c>
      <c r="J30" s="2">
        <f xml:space="preserve"> 221.264545024009 / 86400</f>
        <v>2.5609322340741781E-3</v>
      </c>
      <c r="K30" s="2">
        <f xml:space="preserve"> 173.367951119963 / 86400</f>
        <v>2.0065735083329051E-3</v>
      </c>
      <c r="L30" s="2">
        <f xml:space="preserve"> 36.0459930155381 / 86400</f>
        <v>4.1719899323539467E-4</v>
      </c>
      <c r="M30" s="2">
        <f t="shared" si="0"/>
        <v>0</v>
      </c>
      <c r="N30" s="3">
        <v>0</v>
      </c>
      <c r="O30" s="9"/>
      <c r="P30" s="13" t="s">
        <v>47</v>
      </c>
      <c r="Q30" s="14">
        <v>0</v>
      </c>
      <c r="R30" s="14">
        <v>0</v>
      </c>
      <c r="S30" s="3">
        <v>0</v>
      </c>
      <c r="T30" s="3">
        <v>100</v>
      </c>
      <c r="U30" s="9"/>
      <c r="V30" s="3">
        <v>0</v>
      </c>
      <c r="W30" s="3">
        <v>0</v>
      </c>
      <c r="X30" s="4" t="s">
        <v>15</v>
      </c>
    </row>
    <row r="31" spans="2:24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10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  <c r="M31" s="2">
        <f t="shared" si="0"/>
        <v>0</v>
      </c>
      <c r="N31" s="3">
        <v>100</v>
      </c>
      <c r="O31" s="9"/>
      <c r="P31" s="13" t="s">
        <v>47</v>
      </c>
      <c r="Q31" s="14">
        <v>0</v>
      </c>
      <c r="R31" s="14">
        <v>0</v>
      </c>
      <c r="S31" s="3">
        <v>0</v>
      </c>
      <c r="T31" s="3">
        <v>100</v>
      </c>
      <c r="U31" s="9"/>
      <c r="V31" s="3">
        <v>0</v>
      </c>
      <c r="W31" s="3">
        <v>100</v>
      </c>
      <c r="X31" s="4" t="s">
        <v>15</v>
      </c>
    </row>
    <row r="32" spans="2:24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  <c r="M32" s="2"/>
      <c r="N32" s="3"/>
      <c r="O32" s="9"/>
      <c r="P32" s="13"/>
      <c r="Q32" s="14"/>
      <c r="R32" s="14"/>
      <c r="S32" s="3"/>
      <c r="T32" s="3"/>
      <c r="U32" s="9"/>
      <c r="V32" s="3"/>
      <c r="W32" s="3"/>
      <c r="X32" s="4"/>
    </row>
    <row r="33" spans="6:6" x14ac:dyDescent="0.25">
      <c r="F33" s="15"/>
    </row>
    <row r="34" spans="6:6" x14ac:dyDescent="0.25">
      <c r="F34" s="15"/>
    </row>
    <row r="35" spans="6:6" x14ac:dyDescent="0.25">
      <c r="F35" s="15"/>
    </row>
    <row r="36" spans="6:6" x14ac:dyDescent="0.25">
      <c r="F36" s="15"/>
    </row>
  </sheetData>
  <mergeCells count="9">
    <mergeCell ref="V11:X11"/>
    <mergeCell ref="F11:F12"/>
    <mergeCell ref="N11:N12"/>
    <mergeCell ref="T11:T12"/>
    <mergeCell ref="A1:A4"/>
    <mergeCell ref="B11:C11"/>
    <mergeCell ref="D11:E11"/>
    <mergeCell ref="I11:M11"/>
    <mergeCell ref="P11:S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67734-C87C-425F-95D3-E940CA3B073A}">
  <dimension ref="A1:L69"/>
  <sheetViews>
    <sheetView tabSelected="1" topLeftCell="A22" workbookViewId="0">
      <selection activeCell="O51" sqref="O51"/>
    </sheetView>
  </sheetViews>
  <sheetFormatPr defaultRowHeight="15" x14ac:dyDescent="0.25"/>
  <cols>
    <col min="1" max="1" width="16.7109375" customWidth="1"/>
    <col min="2" max="2" width="9.140625" bestFit="1" customWidth="1"/>
    <col min="3" max="3" width="6.5703125" bestFit="1" customWidth="1"/>
    <col min="4" max="4" width="4" bestFit="1" customWidth="1"/>
    <col min="5" max="5" width="49" bestFit="1" customWidth="1"/>
    <col min="6" max="6" width="14.85546875" bestFit="1" customWidth="1"/>
    <col min="7" max="7" width="16.42578125" bestFit="1" customWidth="1"/>
    <col min="8" max="8" width="15.140625" bestFit="1" customWidth="1"/>
    <col min="9" max="9" width="22.140625" bestFit="1" customWidth="1"/>
    <col min="10" max="12" width="10.7109375" bestFit="1" customWidth="1"/>
  </cols>
  <sheetData>
    <row r="1" spans="1:12" x14ac:dyDescent="0.25">
      <c r="A1" s="44"/>
    </row>
    <row r="2" spans="1:12" ht="18.75" x14ac:dyDescent="0.3">
      <c r="A2" s="44"/>
      <c r="B2" s="6" t="s">
        <v>16</v>
      </c>
    </row>
    <row r="3" spans="1:12" ht="17.25" x14ac:dyDescent="0.3">
      <c r="A3" s="44"/>
      <c r="B3" s="7" t="s">
        <v>66</v>
      </c>
    </row>
    <row r="4" spans="1:12" x14ac:dyDescent="0.25">
      <c r="A4" s="44"/>
      <c r="B4" s="9"/>
    </row>
    <row r="5" spans="1:12" x14ac:dyDescent="0.25">
      <c r="A5" s="5" t="s">
        <v>18</v>
      </c>
      <c r="B5" s="8" t="s">
        <v>69</v>
      </c>
    </row>
    <row r="6" spans="1:12" x14ac:dyDescent="0.25">
      <c r="A6" s="5" t="s">
        <v>19</v>
      </c>
      <c r="B6" s="8" t="s">
        <v>70</v>
      </c>
    </row>
    <row r="7" spans="1:12" x14ac:dyDescent="0.25">
      <c r="A7" s="5" t="s">
        <v>20</v>
      </c>
      <c r="B7" s="11">
        <v>25931</v>
      </c>
    </row>
    <row r="8" spans="1:12" x14ac:dyDescent="0.25">
      <c r="A8" s="5"/>
      <c r="B8" s="10"/>
    </row>
    <row r="9" spans="1:12" x14ac:dyDescent="0.25">
      <c r="A9" s="5" t="s">
        <v>67</v>
      </c>
      <c r="B9" s="9" t="s">
        <v>68</v>
      </c>
    </row>
    <row r="11" spans="1:12" s="12" customFormat="1" x14ac:dyDescent="0.25">
      <c r="B11" s="45" t="s">
        <v>22</v>
      </c>
      <c r="C11" s="46"/>
      <c r="D11" s="45" t="s">
        <v>23</v>
      </c>
      <c r="E11" s="46"/>
      <c r="F11" s="47" t="s">
        <v>24</v>
      </c>
      <c r="I11" s="45" t="s">
        <v>25</v>
      </c>
      <c r="J11" s="46"/>
      <c r="K11" s="46"/>
      <c r="L11" s="46"/>
    </row>
    <row r="12" spans="1:12" s="12" customFormat="1" x14ac:dyDescent="0.25">
      <c r="B12" s="12" t="s">
        <v>30</v>
      </c>
      <c r="C12" s="12" t="s">
        <v>31</v>
      </c>
      <c r="D12" s="12" t="s">
        <v>30</v>
      </c>
      <c r="E12" s="12" t="s">
        <v>31</v>
      </c>
      <c r="F12" s="48"/>
      <c r="G12" s="12" t="s">
        <v>32</v>
      </c>
      <c r="I12" s="12" t="s">
        <v>33</v>
      </c>
      <c r="J12" s="12" t="s">
        <v>34</v>
      </c>
      <c r="K12" s="12" t="s">
        <v>35</v>
      </c>
      <c r="L12" s="12" t="s">
        <v>36</v>
      </c>
    </row>
    <row r="13" spans="1:12" x14ac:dyDescent="0.25">
      <c r="B13" s="4" t="s">
        <v>43</v>
      </c>
      <c r="C13" s="9" t="s">
        <v>44</v>
      </c>
      <c r="D13" s="4">
        <v>0</v>
      </c>
      <c r="E13" s="9" t="s">
        <v>45</v>
      </c>
      <c r="F13" s="9" t="s">
        <v>46</v>
      </c>
      <c r="G13" s="4">
        <v>10</v>
      </c>
      <c r="H13" s="9"/>
      <c r="I13" s="2">
        <f xml:space="preserve"> 0 / 86400</f>
        <v>0</v>
      </c>
      <c r="J13" s="2">
        <f xml:space="preserve"> 0 / 86400</f>
        <v>0</v>
      </c>
      <c r="K13" s="2">
        <f xml:space="preserve"> 0 / 86400</f>
        <v>0</v>
      </c>
      <c r="L13" s="2">
        <f xml:space="preserve"> 0 / 86400</f>
        <v>0</v>
      </c>
    </row>
    <row r="14" spans="1:12" x14ac:dyDescent="0.25">
      <c r="B14" s="4" t="s">
        <v>43</v>
      </c>
      <c r="C14" s="9" t="s">
        <v>44</v>
      </c>
      <c r="D14" s="4">
        <v>1</v>
      </c>
      <c r="E14" s="24" t="s">
        <v>48</v>
      </c>
      <c r="F14" s="9" t="s">
        <v>46</v>
      </c>
      <c r="G14" s="4">
        <v>10</v>
      </c>
      <c r="H14" s="9"/>
      <c r="I14" s="2">
        <f xml:space="preserve"> 63.8272900431544 / 86400</f>
        <v>7.3874178290687963E-4</v>
      </c>
      <c r="J14" s="2">
        <f xml:space="preserve"> 273.727494553536 / 86400</f>
        <v>3.1681422980733335E-3</v>
      </c>
      <c r="K14" s="25">
        <f xml:space="preserve"> 197.352034405178 / 86400</f>
        <v>2.284167064874745E-3</v>
      </c>
      <c r="L14" s="2">
        <f xml:space="preserve"> 55.9903277535831 / 86400</f>
        <v>6.4803620085165633E-4</v>
      </c>
    </row>
    <row r="15" spans="1:12" x14ac:dyDescent="0.25">
      <c r="B15" s="4" t="s">
        <v>43</v>
      </c>
      <c r="C15" s="9" t="s">
        <v>44</v>
      </c>
      <c r="D15" s="4">
        <v>2</v>
      </c>
      <c r="E15" s="24" t="s">
        <v>49</v>
      </c>
      <c r="F15" s="9" t="s">
        <v>46</v>
      </c>
      <c r="G15" s="4">
        <v>10</v>
      </c>
      <c r="H15" s="9"/>
      <c r="I15" s="2">
        <f xml:space="preserve"> 6.36352492792702 / 86400</f>
        <v>7.3651908888044203E-5</v>
      </c>
      <c r="J15" s="2">
        <f xml:space="preserve"> 20.420971801701 / 86400</f>
        <v>2.3635384029746528E-4</v>
      </c>
      <c r="K15" s="25">
        <f xml:space="preserve"> 14.1922483648137 / 86400</f>
        <v>1.6426213385201043E-4</v>
      </c>
      <c r="L15" s="2">
        <f xml:space="preserve"> 4.89728928034723 / 86400</f>
        <v>5.6681588892907754E-5</v>
      </c>
    </row>
    <row r="16" spans="1:12" x14ac:dyDescent="0.25">
      <c r="B16" s="4" t="s">
        <v>43</v>
      </c>
      <c r="C16" s="9" t="s">
        <v>44</v>
      </c>
      <c r="D16" s="4">
        <v>3</v>
      </c>
      <c r="E16" s="24" t="s">
        <v>50</v>
      </c>
      <c r="F16" s="9" t="s">
        <v>46</v>
      </c>
      <c r="G16" s="4">
        <v>10</v>
      </c>
      <c r="H16" s="9"/>
      <c r="I16" s="2">
        <f xml:space="preserve"> 43.836764919464 / 86400</f>
        <v>5.0736996434564818E-4</v>
      </c>
      <c r="J16" s="2">
        <f xml:space="preserve"> 64.679750380887 / 86400</f>
        <v>7.4860822200100699E-4</v>
      </c>
      <c r="K16" s="25">
        <f xml:space="preserve"> 54.7790072537899 / 86400</f>
        <v>6.3401628765960528E-4</v>
      </c>
      <c r="L16" s="2">
        <f xml:space="preserve"> 7.1969991355393 / 86400</f>
        <v>8.3298601105778937E-5</v>
      </c>
    </row>
    <row r="17" spans="2:12" x14ac:dyDescent="0.25">
      <c r="B17" s="4" t="s">
        <v>43</v>
      </c>
      <c r="C17" s="9" t="s">
        <v>44</v>
      </c>
      <c r="D17" s="4">
        <v>4</v>
      </c>
      <c r="E17" s="26" t="s">
        <v>51</v>
      </c>
      <c r="F17" s="9" t="s">
        <v>46</v>
      </c>
      <c r="G17" s="4">
        <v>10</v>
      </c>
      <c r="H17" s="9"/>
      <c r="I17" s="2">
        <f xml:space="preserve"> 116.200784699173 / 86400</f>
        <v>1.3449164895737616E-3</v>
      </c>
      <c r="J17" s="2">
        <f xml:space="preserve"> 357.495726624023 / 86400</f>
        <v>4.1376820211113776E-3</v>
      </c>
      <c r="K17" s="27">
        <f xml:space="preserve"> 214.118175018387 / 86400</f>
        <v>2.4782196182683682E-3</v>
      </c>
      <c r="L17" s="2">
        <f xml:space="preserve"> 75.9274183991127 / 86400</f>
        <v>8.7878956480454508E-4</v>
      </c>
    </row>
    <row r="18" spans="2:12" x14ac:dyDescent="0.25">
      <c r="B18" s="4" t="s">
        <v>43</v>
      </c>
      <c r="C18" s="9" t="s">
        <v>44</v>
      </c>
      <c r="D18" s="4">
        <v>5</v>
      </c>
      <c r="E18" s="26" t="s">
        <v>52</v>
      </c>
      <c r="F18" s="9" t="s">
        <v>46</v>
      </c>
      <c r="G18" s="4">
        <v>140</v>
      </c>
      <c r="H18" s="9"/>
      <c r="I18" s="2">
        <f xml:space="preserve"> 27.9571224222691 / 86400</f>
        <v>3.2357780581329979E-4</v>
      </c>
      <c r="J18" s="2">
        <f xml:space="preserve"> 122.6601324699 / 86400</f>
        <v>1.4196774591423611E-3</v>
      </c>
      <c r="K18" s="27">
        <f xml:space="preserve"> 69.3114536747622 / 86400</f>
        <v>8.0221589901345147E-4</v>
      </c>
      <c r="L18" s="2">
        <f xml:space="preserve"> 19.4363017008849 / 86400</f>
        <v>2.2495719561209376E-4</v>
      </c>
    </row>
    <row r="19" spans="2:12" x14ac:dyDescent="0.25">
      <c r="B19" s="4" t="s">
        <v>43</v>
      </c>
      <c r="C19" s="9" t="s">
        <v>44</v>
      </c>
      <c r="D19" s="4">
        <v>6</v>
      </c>
      <c r="E19" s="26" t="s">
        <v>53</v>
      </c>
      <c r="F19" s="9" t="s">
        <v>46</v>
      </c>
      <c r="G19" s="4">
        <v>140</v>
      </c>
      <c r="H19" s="9"/>
      <c r="I19" s="2">
        <f xml:space="preserve"> 26.8343745199099 / 86400</f>
        <v>3.1058303842488308E-4</v>
      </c>
      <c r="J19" s="2">
        <f xml:space="preserve"> 70.0028596031989 / 86400</f>
        <v>8.1021828244443169E-4</v>
      </c>
      <c r="K19" s="27">
        <f xml:space="preserve"> 48.7724263504724 / 86400</f>
        <v>5.6449567535268982E-4</v>
      </c>
      <c r="L19" s="2">
        <f xml:space="preserve"> 8.76311965835957 / 86400</f>
        <v>1.0142499604582835E-4</v>
      </c>
    </row>
    <row r="20" spans="2:12" x14ac:dyDescent="0.25">
      <c r="B20" s="4" t="s">
        <v>43</v>
      </c>
      <c r="C20" s="9" t="s">
        <v>44</v>
      </c>
      <c r="D20" s="4">
        <v>7</v>
      </c>
      <c r="E20" s="26" t="s">
        <v>54</v>
      </c>
      <c r="F20" s="9" t="s">
        <v>46</v>
      </c>
      <c r="G20" s="4">
        <v>140</v>
      </c>
      <c r="H20" s="9"/>
      <c r="I20" s="2">
        <f xml:space="preserve"> 40.0554353328989 / 86400</f>
        <v>4.6360457561225583E-4</v>
      </c>
      <c r="J20" s="2">
        <f xml:space="preserve"> 93.1189227830982 / 86400</f>
        <v>1.0777653099895625E-3</v>
      </c>
      <c r="K20" s="27">
        <f xml:space="preserve"> 69.4636509427945 / 86400</f>
        <v>8.0397744146752897E-4</v>
      </c>
      <c r="L20" s="2">
        <f xml:space="preserve"> 10.6664980028196 / 86400</f>
        <v>1.234548379955972E-4</v>
      </c>
    </row>
    <row r="21" spans="2:12" x14ac:dyDescent="0.25">
      <c r="B21" s="4" t="s">
        <v>43</v>
      </c>
      <c r="C21" s="9" t="s">
        <v>44</v>
      </c>
      <c r="D21" s="4">
        <v>8</v>
      </c>
      <c r="E21" s="26" t="s">
        <v>55</v>
      </c>
      <c r="F21" s="9" t="s">
        <v>46</v>
      </c>
      <c r="G21" s="4">
        <v>140</v>
      </c>
      <c r="H21" s="9"/>
      <c r="I21" s="2">
        <f xml:space="preserve"> 329.479575437894 / 86400</f>
        <v>3.8134210120126626E-3</v>
      </c>
      <c r="J21" s="2">
        <f xml:space="preserve"> 3321.6146846318 / 86400</f>
        <v>3.8444614405460653E-2</v>
      </c>
      <c r="K21" s="27">
        <f xml:space="preserve"> 1767.2257622935 / 86400</f>
        <v>2.0454001878396993E-2</v>
      </c>
      <c r="L21" s="2">
        <f xml:space="preserve"> 683.966426733291 / 86400</f>
        <v>7.9162780871908679E-3</v>
      </c>
    </row>
    <row r="22" spans="2:12" x14ac:dyDescent="0.25">
      <c r="B22" s="4" t="s">
        <v>43</v>
      </c>
      <c r="C22" s="9" t="s">
        <v>44</v>
      </c>
      <c r="D22" s="4">
        <v>9</v>
      </c>
      <c r="E22" s="26" t="s">
        <v>56</v>
      </c>
      <c r="F22" s="9" t="s">
        <v>46</v>
      </c>
      <c r="G22" s="4">
        <v>19</v>
      </c>
      <c r="H22" s="9"/>
      <c r="I22" s="2">
        <f xml:space="preserve"> 979.7648861794 / 86400</f>
        <v>1.1339871367817131E-2</v>
      </c>
      <c r="J22" s="2">
        <f xml:space="preserve"> 2461.61621608222 / 86400</f>
        <v>2.8490928426877546E-2</v>
      </c>
      <c r="K22" s="27">
        <f xml:space="preserve"> 1455.90565795277 / 86400</f>
        <v>1.6850759930008914E-2</v>
      </c>
      <c r="L22" s="2">
        <f xml:space="preserve"> 423.686268249794 / 86400</f>
        <v>4.9037762528911346E-3</v>
      </c>
    </row>
    <row r="23" spans="2:12" x14ac:dyDescent="0.25">
      <c r="B23" s="4" t="s">
        <v>43</v>
      </c>
      <c r="C23" s="9" t="s">
        <v>44</v>
      </c>
      <c r="D23" s="4">
        <v>10</v>
      </c>
      <c r="E23" s="26" t="s">
        <v>57</v>
      </c>
      <c r="F23" s="9" t="s">
        <v>46</v>
      </c>
      <c r="G23" s="4">
        <v>140</v>
      </c>
      <c r="H23" s="9"/>
      <c r="I23" s="2">
        <f xml:space="preserve"> 647.157986122394 / 86400</f>
        <v>7.49025446900919E-3</v>
      </c>
      <c r="J23" s="2">
        <f xml:space="preserve"> 1592.9731988009 / 86400</f>
        <v>1.8437189800936345E-2</v>
      </c>
      <c r="K23" s="27">
        <f xml:space="preserve"> 1010.88728888384 / 86400</f>
        <v>1.1700084362081482E-2</v>
      </c>
      <c r="L23" s="2">
        <f xml:space="preserve"> 195.367729798889 / 86400</f>
        <v>2.2612005763760299E-3</v>
      </c>
    </row>
    <row r="24" spans="2:12" x14ac:dyDescent="0.25">
      <c r="B24" s="4" t="s">
        <v>43</v>
      </c>
      <c r="C24" s="9" t="s">
        <v>44</v>
      </c>
      <c r="D24" s="4">
        <v>11</v>
      </c>
      <c r="E24" s="26" t="s">
        <v>58</v>
      </c>
      <c r="F24" s="9" t="s">
        <v>46</v>
      </c>
      <c r="G24" s="4">
        <v>140</v>
      </c>
      <c r="H24" s="9"/>
      <c r="I24" s="2">
        <f xml:space="preserve"> 8.95599545117011 / 86400</f>
        <v>1.0365735475891331E-4</v>
      </c>
      <c r="J24" s="2">
        <f xml:space="preserve"> 286.324041571701 / 86400</f>
        <v>3.3139356663391319E-3</v>
      </c>
      <c r="K24" s="27">
        <f xml:space="preserve"> 125.924230315404 / 86400</f>
        <v>1.45745636939125E-3</v>
      </c>
      <c r="L24" s="2">
        <f xml:space="preserve"> 78.5968386535319 / 86400</f>
        <v>9.0968563256402669E-4</v>
      </c>
    </row>
    <row r="25" spans="2:12" x14ac:dyDescent="0.25">
      <c r="B25" s="4" t="s">
        <v>43</v>
      </c>
      <c r="C25" s="9" t="s">
        <v>44</v>
      </c>
      <c r="D25" s="4">
        <v>12</v>
      </c>
      <c r="E25" s="26" t="s">
        <v>59</v>
      </c>
      <c r="F25" s="9" t="s">
        <v>46</v>
      </c>
      <c r="G25" s="4">
        <v>140</v>
      </c>
      <c r="H25" s="9"/>
      <c r="I25" s="2">
        <f xml:space="preserve"> 116.200453327059 / 86400</f>
        <v>1.3449126542483679E-3</v>
      </c>
      <c r="J25" s="2">
        <f xml:space="preserve"> 1216.16887373522 / 86400</f>
        <v>1.4076028631194675E-2</v>
      </c>
      <c r="K25" s="27">
        <f xml:space="preserve"> 556.730122550902 / 86400</f>
        <v>6.4436356776724768E-3</v>
      </c>
      <c r="L25" s="2">
        <f xml:space="preserve"> 218.47848423486 / 86400</f>
        <v>2.5286861601256944E-3</v>
      </c>
    </row>
    <row r="26" spans="2:12" x14ac:dyDescent="0.25">
      <c r="B26" s="4" t="s">
        <v>43</v>
      </c>
      <c r="C26" s="9" t="s">
        <v>44</v>
      </c>
      <c r="D26" s="4">
        <v>13</v>
      </c>
      <c r="E26" s="22" t="s">
        <v>60</v>
      </c>
      <c r="F26" s="9" t="s">
        <v>46</v>
      </c>
      <c r="G26" s="4">
        <v>10</v>
      </c>
      <c r="H26" s="9"/>
      <c r="I26" s="2">
        <f xml:space="preserve"> 419.8303093867 / 86400</f>
        <v>4.8591470993831019E-3</v>
      </c>
      <c r="J26" s="2">
        <f xml:space="preserve"> 623.669382083499 / 86400</f>
        <v>7.2183956259664244E-3</v>
      </c>
      <c r="K26" s="23">
        <f xml:space="preserve"> 538.551059491429 / 86400</f>
        <v>6.2332298552248725E-3</v>
      </c>
      <c r="L26" s="2">
        <f xml:space="preserve"> 63.0568036628805 / 86400</f>
        <v>7.2982411646852429E-4</v>
      </c>
    </row>
    <row r="27" spans="2:12" x14ac:dyDescent="0.25">
      <c r="B27" s="4" t="s">
        <v>43</v>
      </c>
      <c r="C27" s="9" t="s">
        <v>44</v>
      </c>
      <c r="D27" s="4">
        <v>14</v>
      </c>
      <c r="E27" s="22" t="s">
        <v>61</v>
      </c>
      <c r="F27" s="9" t="s">
        <v>46</v>
      </c>
      <c r="G27" s="4">
        <v>10</v>
      </c>
      <c r="H27" s="9"/>
      <c r="I27" s="2">
        <f xml:space="preserve"> 302.403377875395 / 86400</f>
        <v>3.5000390957800349E-3</v>
      </c>
      <c r="J27" s="2">
        <f xml:space="preserve"> 517.143921955605 / 86400</f>
        <v>5.9854620596713542E-3</v>
      </c>
      <c r="K27" s="23">
        <f xml:space="preserve"> 430.20350850524 / 86400</f>
        <v>4.9792072743662036E-3</v>
      </c>
      <c r="L27" s="2">
        <f xml:space="preserve"> 61.6590012281492 / 86400</f>
        <v>7.1364584754802314E-4</v>
      </c>
    </row>
    <row r="28" spans="2:12" x14ac:dyDescent="0.25">
      <c r="B28" s="4" t="s">
        <v>43</v>
      </c>
      <c r="C28" s="9" t="s">
        <v>44</v>
      </c>
      <c r="D28" s="4">
        <v>15</v>
      </c>
      <c r="E28" s="22" t="s">
        <v>62</v>
      </c>
      <c r="F28" s="9" t="s">
        <v>46</v>
      </c>
      <c r="G28" s="4">
        <v>10</v>
      </c>
      <c r="H28" s="9"/>
      <c r="I28" s="2">
        <f xml:space="preserve"> 3503.5387436354 / 86400</f>
        <v>4.0550216940224537E-2</v>
      </c>
      <c r="J28" s="2">
        <f xml:space="preserve"> 4438.492441863 / 86400</f>
        <v>5.1371440299340279E-2</v>
      </c>
      <c r="K28" s="23">
        <f xml:space="preserve"> 4107.69046689312 / 86400</f>
        <v>4.7542713737188894E-2</v>
      </c>
      <c r="L28" s="2">
        <f xml:space="preserve"> 285.822635984625 / 86400</f>
        <v>3.3081323609331593E-3</v>
      </c>
    </row>
    <row r="29" spans="2:12" x14ac:dyDescent="0.25">
      <c r="B29" s="4" t="s">
        <v>43</v>
      </c>
      <c r="C29" s="9" t="s">
        <v>44</v>
      </c>
      <c r="D29" s="4">
        <v>16</v>
      </c>
      <c r="E29" s="22" t="s">
        <v>63</v>
      </c>
      <c r="F29" s="9" t="s">
        <v>46</v>
      </c>
      <c r="G29" s="4">
        <v>10</v>
      </c>
      <c r="H29" s="9"/>
      <c r="I29" s="2">
        <f xml:space="preserve"> 404.7552004358 / 86400</f>
        <v>4.6846666717106486E-3</v>
      </c>
      <c r="J29" s="2">
        <f xml:space="preserve"> 547.338539681099 / 86400</f>
        <v>6.3349368018645715E-3</v>
      </c>
      <c r="K29" s="23">
        <f xml:space="preserve"> 479.111949269249 / 86400</f>
        <v>5.5452771906163078E-3</v>
      </c>
      <c r="L29" s="2">
        <f xml:space="preserve"> 42.5514497848781 / 86400</f>
        <v>4.9249363176942246E-4</v>
      </c>
    </row>
    <row r="30" spans="2:12" x14ac:dyDescent="0.25">
      <c r="B30" s="4" t="s">
        <v>43</v>
      </c>
      <c r="C30" s="9" t="s">
        <v>44</v>
      </c>
      <c r="D30" s="4">
        <v>17</v>
      </c>
      <c r="E30" s="22" t="s">
        <v>64</v>
      </c>
      <c r="F30" s="9" t="s">
        <v>46</v>
      </c>
      <c r="G30" s="4">
        <v>10</v>
      </c>
      <c r="H30" s="9"/>
      <c r="I30" s="2">
        <f xml:space="preserve"> 117.802837313102 / 86400</f>
        <v>1.3634587651979399E-3</v>
      </c>
      <c r="J30" s="2">
        <f xml:space="preserve"> 221.264545024009 / 86400</f>
        <v>2.5609322340741781E-3</v>
      </c>
      <c r="K30" s="23">
        <f xml:space="preserve"> 173.367951119963 / 86400</f>
        <v>2.0065735083329051E-3</v>
      </c>
      <c r="L30" s="2">
        <f xml:space="preserve"> 36.0459930155381 / 86400</f>
        <v>4.1719899323539467E-4</v>
      </c>
    </row>
    <row r="31" spans="2:12" x14ac:dyDescent="0.25">
      <c r="B31" s="4" t="s">
        <v>43</v>
      </c>
      <c r="C31" s="9" t="s">
        <v>44</v>
      </c>
      <c r="D31" s="4">
        <v>999</v>
      </c>
      <c r="E31" s="9" t="s">
        <v>65</v>
      </c>
      <c r="F31" s="9" t="s">
        <v>46</v>
      </c>
      <c r="G31" s="4">
        <v>10</v>
      </c>
      <c r="H31" s="9"/>
      <c r="I31" s="2">
        <f xml:space="preserve"> 0 / 86400</f>
        <v>0</v>
      </c>
      <c r="J31" s="2">
        <f xml:space="preserve"> 0 / 86400</f>
        <v>0</v>
      </c>
      <c r="K31" s="2">
        <f xml:space="preserve"> 0 / 86400</f>
        <v>0</v>
      </c>
      <c r="L31" s="2">
        <f xml:space="preserve"> 0 / 86400</f>
        <v>0</v>
      </c>
    </row>
    <row r="32" spans="2:12" x14ac:dyDescent="0.25">
      <c r="B32" s="4"/>
      <c r="C32" s="9"/>
      <c r="D32" s="4"/>
      <c r="E32" s="9"/>
      <c r="F32" s="9"/>
      <c r="G32" s="4"/>
      <c r="H32" s="9"/>
      <c r="I32" s="2"/>
      <c r="J32" s="2"/>
      <c r="K32" s="2"/>
      <c r="L32" s="2"/>
    </row>
    <row r="35" spans="4:12" x14ac:dyDescent="0.25">
      <c r="E35" s="12" t="s">
        <v>81</v>
      </c>
      <c r="F35" s="20" t="s">
        <v>72</v>
      </c>
      <c r="G35" s="15" t="s">
        <v>77</v>
      </c>
      <c r="H35" s="15" t="s">
        <v>78</v>
      </c>
      <c r="I35" s="39" t="s">
        <v>79</v>
      </c>
      <c r="J35" s="15"/>
      <c r="K35" s="15"/>
      <c r="L35" s="15"/>
    </row>
    <row r="36" spans="4:12" x14ac:dyDescent="0.25">
      <c r="D36" s="30"/>
      <c r="E36" t="s">
        <v>48</v>
      </c>
      <c r="F36" s="16">
        <f>(K14*86400)/60</f>
        <v>3.2892005734196328</v>
      </c>
      <c r="G36" s="4">
        <v>10</v>
      </c>
      <c r="H36" s="40">
        <f>G36/10</f>
        <v>1</v>
      </c>
      <c r="I36" s="32">
        <f>F36*H36</f>
        <v>3.2892005734196328</v>
      </c>
      <c r="J36" s="15"/>
      <c r="K36" s="15"/>
      <c r="L36" s="15"/>
    </row>
    <row r="37" spans="4:12" x14ac:dyDescent="0.25">
      <c r="D37" s="30"/>
      <c r="E37" t="s">
        <v>49</v>
      </c>
      <c r="F37" s="16">
        <f>(K15*86400)/60</f>
        <v>0.23653747274689502</v>
      </c>
      <c r="G37" s="4">
        <v>10</v>
      </c>
      <c r="H37" s="40">
        <f>G37/10</f>
        <v>1</v>
      </c>
      <c r="I37" s="32">
        <f>F37*H37</f>
        <v>0.23653747274689502</v>
      </c>
      <c r="J37" s="15"/>
      <c r="K37" s="15"/>
      <c r="L37" s="15"/>
    </row>
    <row r="38" spans="4:12" x14ac:dyDescent="0.25">
      <c r="D38" s="30"/>
      <c r="E38" s="17" t="s">
        <v>50</v>
      </c>
      <c r="F38" s="18">
        <f>(K16*86400)/60</f>
        <v>0.91298345422983163</v>
      </c>
      <c r="G38" s="4">
        <v>10</v>
      </c>
      <c r="H38" s="40">
        <f>G38/10</f>
        <v>1</v>
      </c>
      <c r="I38" s="43">
        <f>F38*H38</f>
        <v>0.91298345422983163</v>
      </c>
      <c r="J38" s="39" t="s">
        <v>83</v>
      </c>
      <c r="K38" s="15"/>
      <c r="L38" s="15"/>
    </row>
    <row r="39" spans="4:12" x14ac:dyDescent="0.25">
      <c r="E39" s="19" t="s">
        <v>71</v>
      </c>
      <c r="F39" s="21">
        <f>SUM(F36:F38)</f>
        <v>4.43872150039636</v>
      </c>
      <c r="G39" s="40"/>
      <c r="H39" s="40"/>
      <c r="I39" s="33">
        <f>SUM(I36:I38)</f>
        <v>4.43872150039636</v>
      </c>
      <c r="J39" s="15"/>
      <c r="K39" s="15"/>
      <c r="L39" s="15"/>
    </row>
    <row r="40" spans="4:12" x14ac:dyDescent="0.25">
      <c r="F40" s="15"/>
      <c r="G40" s="40"/>
      <c r="H40" s="40"/>
      <c r="I40" s="32"/>
      <c r="J40" s="15"/>
      <c r="K40" s="15"/>
      <c r="L40" s="15"/>
    </row>
    <row r="41" spans="4:12" x14ac:dyDescent="0.25">
      <c r="F41" s="15"/>
      <c r="G41" s="40"/>
      <c r="H41" s="40"/>
      <c r="I41" s="32"/>
      <c r="J41" s="15"/>
      <c r="K41" s="15"/>
      <c r="L41" s="15"/>
    </row>
    <row r="42" spans="4:12" x14ac:dyDescent="0.25">
      <c r="E42" s="12" t="s">
        <v>82</v>
      </c>
      <c r="F42" s="20" t="s">
        <v>72</v>
      </c>
      <c r="G42" s="40"/>
      <c r="H42" s="40"/>
      <c r="I42" s="32"/>
      <c r="J42" s="15"/>
      <c r="K42" s="15"/>
      <c r="L42" s="15"/>
    </row>
    <row r="43" spans="4:12" x14ac:dyDescent="0.25">
      <c r="D43" s="29"/>
      <c r="E43" t="s">
        <v>51</v>
      </c>
      <c r="F43" s="16">
        <f t="shared" ref="F43:F49" si="0">(K17*86400)/60</f>
        <v>3.5686362503064499</v>
      </c>
      <c r="G43" s="4">
        <v>10</v>
      </c>
      <c r="H43" s="40">
        <f t="shared" ref="H43:H51" si="1">G43/10</f>
        <v>1</v>
      </c>
      <c r="I43" s="32">
        <f t="shared" ref="I43:I60" si="2">F43*H43</f>
        <v>3.5686362503064499</v>
      </c>
      <c r="J43" s="15"/>
      <c r="K43" s="15"/>
      <c r="L43" s="15"/>
    </row>
    <row r="44" spans="4:12" x14ac:dyDescent="0.25">
      <c r="D44" s="29"/>
      <c r="E44" t="s">
        <v>52</v>
      </c>
      <c r="F44" s="16">
        <f t="shared" si="0"/>
        <v>1.1551908945793701</v>
      </c>
      <c r="G44" s="4">
        <v>140</v>
      </c>
      <c r="H44" s="40">
        <f t="shared" si="1"/>
        <v>14</v>
      </c>
      <c r="I44" s="32">
        <f t="shared" si="2"/>
        <v>16.172672524111182</v>
      </c>
      <c r="J44" s="15"/>
      <c r="K44" s="15"/>
      <c r="L44" s="15"/>
    </row>
    <row r="45" spans="4:12" x14ac:dyDescent="0.25">
      <c r="D45" s="29"/>
      <c r="E45" t="s">
        <v>53</v>
      </c>
      <c r="F45" s="16">
        <f t="shared" si="0"/>
        <v>0.81287377250787329</v>
      </c>
      <c r="G45" s="4">
        <v>140</v>
      </c>
      <c r="H45" s="40">
        <f t="shared" si="1"/>
        <v>14</v>
      </c>
      <c r="I45" s="32">
        <f t="shared" si="2"/>
        <v>11.380232815110226</v>
      </c>
      <c r="J45" s="15"/>
      <c r="K45" s="15"/>
      <c r="L45" s="15"/>
    </row>
    <row r="46" spans="4:12" x14ac:dyDescent="0.25">
      <c r="D46" s="29"/>
      <c r="E46" t="s">
        <v>54</v>
      </c>
      <c r="F46" s="16">
        <f t="shared" si="0"/>
        <v>1.1577275157132416</v>
      </c>
      <c r="G46" s="4">
        <v>140</v>
      </c>
      <c r="H46" s="40">
        <f t="shared" si="1"/>
        <v>14</v>
      </c>
      <c r="I46" s="32">
        <f t="shared" si="2"/>
        <v>16.208185219985381</v>
      </c>
      <c r="J46" s="15"/>
      <c r="K46" s="15"/>
      <c r="L46" s="15"/>
    </row>
    <row r="47" spans="4:12" x14ac:dyDescent="0.25">
      <c r="D47" s="29"/>
      <c r="E47" t="s">
        <v>55</v>
      </c>
      <c r="F47" s="16">
        <f t="shared" si="0"/>
        <v>29.453762704891673</v>
      </c>
      <c r="G47" s="4">
        <v>140</v>
      </c>
      <c r="H47" s="40">
        <f t="shared" si="1"/>
        <v>14</v>
      </c>
      <c r="I47" s="32">
        <f t="shared" si="2"/>
        <v>412.3526778684834</v>
      </c>
      <c r="J47" s="15"/>
      <c r="K47" s="15"/>
      <c r="L47" s="15"/>
    </row>
    <row r="48" spans="4:12" x14ac:dyDescent="0.25">
      <c r="D48" s="29"/>
      <c r="E48" t="s">
        <v>56</v>
      </c>
      <c r="F48" s="16">
        <f t="shared" si="0"/>
        <v>24.265094299212834</v>
      </c>
      <c r="G48" s="4">
        <v>19</v>
      </c>
      <c r="H48" s="40">
        <f t="shared" si="1"/>
        <v>1.9</v>
      </c>
      <c r="I48" s="32">
        <f>F48*H48</f>
        <v>46.103679168504378</v>
      </c>
      <c r="J48" s="15"/>
      <c r="K48" s="15"/>
      <c r="L48" s="15"/>
    </row>
    <row r="49" spans="4:12" x14ac:dyDescent="0.25">
      <c r="D49" s="29"/>
      <c r="E49" t="s">
        <v>57</v>
      </c>
      <c r="F49" s="16">
        <f t="shared" si="0"/>
        <v>16.848121481397335</v>
      </c>
      <c r="G49" s="4">
        <v>140</v>
      </c>
      <c r="H49" s="40">
        <f t="shared" si="1"/>
        <v>14</v>
      </c>
      <c r="I49" s="32">
        <f t="shared" si="2"/>
        <v>235.87370073956271</v>
      </c>
      <c r="J49" s="15"/>
      <c r="K49" s="15"/>
      <c r="L49" s="15"/>
    </row>
    <row r="50" spans="4:12" x14ac:dyDescent="0.25">
      <c r="D50" s="29"/>
      <c r="E50" t="s">
        <v>58</v>
      </c>
      <c r="F50" s="16">
        <f>(K24*86400)/60</f>
        <v>2.0987371719234003</v>
      </c>
      <c r="G50" s="4">
        <v>140</v>
      </c>
      <c r="H50" s="40">
        <f t="shared" si="1"/>
        <v>14</v>
      </c>
      <c r="I50" s="32">
        <f>F50*H50</f>
        <v>29.382320406927604</v>
      </c>
      <c r="J50" s="15"/>
      <c r="K50" s="15"/>
      <c r="L50" s="15"/>
    </row>
    <row r="51" spans="4:12" x14ac:dyDescent="0.25">
      <c r="D51" s="29"/>
      <c r="E51" s="17" t="s">
        <v>59</v>
      </c>
      <c r="F51" s="18">
        <f>(K25*86400)/60</f>
        <v>9.2788353758483666</v>
      </c>
      <c r="G51" s="4">
        <v>140</v>
      </c>
      <c r="H51" s="40">
        <f t="shared" si="1"/>
        <v>14</v>
      </c>
      <c r="I51" s="41">
        <f t="shared" si="2"/>
        <v>129.90369526187715</v>
      </c>
      <c r="J51" s="15"/>
      <c r="K51" s="15"/>
      <c r="L51" s="15"/>
    </row>
    <row r="52" spans="4:12" x14ac:dyDescent="0.25">
      <c r="E52" s="19" t="s">
        <v>73</v>
      </c>
      <c r="F52" s="21">
        <f>SUM(F43:F51)</f>
        <v>88.638979466380533</v>
      </c>
      <c r="G52" s="40"/>
      <c r="H52" s="40"/>
      <c r="I52" s="33">
        <f>SUM(I43:I51)</f>
        <v>900.94580025486857</v>
      </c>
      <c r="J52" s="15"/>
      <c r="K52" s="15"/>
      <c r="L52" s="15"/>
    </row>
    <row r="53" spans="4:12" x14ac:dyDescent="0.25">
      <c r="F53" s="15"/>
      <c r="G53" s="40"/>
      <c r="H53" s="40"/>
      <c r="I53" s="32"/>
      <c r="J53" s="15"/>
      <c r="K53" s="15"/>
      <c r="L53" s="15"/>
    </row>
    <row r="54" spans="4:12" x14ac:dyDescent="0.25">
      <c r="F54" s="15"/>
      <c r="G54" s="40"/>
      <c r="H54" s="40"/>
      <c r="I54" s="32"/>
      <c r="J54" s="15"/>
      <c r="K54" s="15"/>
      <c r="L54" s="15"/>
    </row>
    <row r="55" spans="4:12" x14ac:dyDescent="0.25">
      <c r="E55" s="12" t="s">
        <v>74</v>
      </c>
      <c r="F55" s="20" t="s">
        <v>72</v>
      </c>
      <c r="G55" s="40"/>
      <c r="H55" s="40"/>
      <c r="I55" s="32"/>
      <c r="J55" s="15"/>
      <c r="K55" s="15"/>
      <c r="L55" s="15"/>
    </row>
    <row r="56" spans="4:12" x14ac:dyDescent="0.25">
      <c r="D56" s="28"/>
      <c r="E56" t="s">
        <v>60</v>
      </c>
      <c r="F56" s="16">
        <f>(K26*86400)/60</f>
        <v>8.9758509915238172</v>
      </c>
      <c r="G56" s="4">
        <v>10</v>
      </c>
      <c r="H56" s="40">
        <f>G56/10</f>
        <v>1</v>
      </c>
      <c r="I56" s="32">
        <f t="shared" si="2"/>
        <v>8.9758509915238172</v>
      </c>
      <c r="J56" s="15"/>
      <c r="K56" s="15"/>
      <c r="L56" s="15"/>
    </row>
    <row r="57" spans="4:12" x14ac:dyDescent="0.25">
      <c r="D57" s="28"/>
      <c r="E57" t="s">
        <v>61</v>
      </c>
      <c r="F57" s="16">
        <f>(K27*86400)/60</f>
        <v>7.1700584750873331</v>
      </c>
      <c r="G57" s="4">
        <v>10</v>
      </c>
      <c r="H57" s="40">
        <f>G57/10</f>
        <v>1</v>
      </c>
      <c r="I57" s="32">
        <f t="shared" si="2"/>
        <v>7.1700584750873331</v>
      </c>
      <c r="J57" s="15"/>
      <c r="K57" s="15"/>
      <c r="L57" s="15"/>
    </row>
    <row r="58" spans="4:12" x14ac:dyDescent="0.25">
      <c r="D58" s="28"/>
      <c r="E58" t="s">
        <v>62</v>
      </c>
      <c r="F58" s="16">
        <f>(K28*86400)/60</f>
        <v>68.461507781552001</v>
      </c>
      <c r="G58" s="4">
        <v>10</v>
      </c>
      <c r="H58" s="40">
        <f>G58/10</f>
        <v>1</v>
      </c>
      <c r="I58" s="32">
        <f t="shared" si="2"/>
        <v>68.461507781552001</v>
      </c>
      <c r="J58" s="15"/>
      <c r="K58" s="15"/>
      <c r="L58" s="15"/>
    </row>
    <row r="59" spans="4:12" x14ac:dyDescent="0.25">
      <c r="D59" s="28"/>
      <c r="E59" t="s">
        <v>63</v>
      </c>
      <c r="F59" s="16">
        <f>(K29*86400)/60</f>
        <v>7.9851991544874839</v>
      </c>
      <c r="G59" s="4">
        <v>10</v>
      </c>
      <c r="H59" s="40">
        <f>G59/10</f>
        <v>1</v>
      </c>
      <c r="I59" s="32">
        <f t="shared" si="2"/>
        <v>7.9851991544874839</v>
      </c>
      <c r="J59" s="15"/>
      <c r="K59" s="15"/>
      <c r="L59" s="15"/>
    </row>
    <row r="60" spans="4:12" x14ac:dyDescent="0.25">
      <c r="D60" s="28"/>
      <c r="E60" s="17" t="s">
        <v>64</v>
      </c>
      <c r="F60" s="18">
        <f>(K30*86400)/60</f>
        <v>2.8894658519993834</v>
      </c>
      <c r="G60" s="4">
        <v>10</v>
      </c>
      <c r="H60" s="40">
        <f>G60/10</f>
        <v>1</v>
      </c>
      <c r="I60" s="41">
        <f t="shared" si="2"/>
        <v>2.8894658519993834</v>
      </c>
      <c r="J60" s="15"/>
      <c r="K60" s="15"/>
      <c r="L60" s="15"/>
    </row>
    <row r="61" spans="4:12" x14ac:dyDescent="0.25">
      <c r="E61" s="19" t="s">
        <v>73</v>
      </c>
      <c r="F61" s="21">
        <f>SUM(F56:F60)</f>
        <v>95.482082254650038</v>
      </c>
      <c r="G61" s="15"/>
      <c r="H61" s="15"/>
      <c r="I61" s="33">
        <f>SUM(I56:I60)</f>
        <v>95.482082254650038</v>
      </c>
      <c r="J61" s="15"/>
      <c r="K61" s="15"/>
      <c r="L61" s="15"/>
    </row>
    <row r="62" spans="4:12" x14ac:dyDescent="0.25">
      <c r="F62" s="15"/>
      <c r="G62" s="15"/>
      <c r="H62" s="15"/>
      <c r="I62" s="32"/>
      <c r="J62" s="15"/>
      <c r="K62" s="15"/>
      <c r="L62" s="15"/>
    </row>
    <row r="63" spans="4:12" x14ac:dyDescent="0.25">
      <c r="F63" s="15"/>
      <c r="G63" s="15"/>
      <c r="H63" s="15"/>
      <c r="I63" s="32"/>
      <c r="J63" s="15"/>
      <c r="K63" s="15"/>
      <c r="L63" s="15"/>
    </row>
    <row r="64" spans="4:12" x14ac:dyDescent="0.25">
      <c r="D64" s="31"/>
      <c r="E64" s="19" t="s">
        <v>75</v>
      </c>
      <c r="F64" s="21">
        <f>I52+SUM(I56:I59)</f>
        <v>993.53841665751918</v>
      </c>
      <c r="G64" s="15"/>
      <c r="H64" s="42" t="s">
        <v>80</v>
      </c>
      <c r="I64" s="36">
        <f>I39+I52+I61</f>
        <v>1000.8666040099149</v>
      </c>
      <c r="J64" s="15"/>
      <c r="K64" s="15"/>
      <c r="L64" s="15"/>
    </row>
    <row r="65" spans="6:12" x14ac:dyDescent="0.25">
      <c r="F65" s="15"/>
      <c r="G65" s="15"/>
      <c r="H65" s="15"/>
      <c r="I65" s="15"/>
      <c r="J65" s="15"/>
      <c r="K65" s="15"/>
      <c r="L65" s="15"/>
    </row>
    <row r="66" spans="6:12" x14ac:dyDescent="0.25">
      <c r="F66" s="15"/>
    </row>
    <row r="67" spans="6:12" x14ac:dyDescent="0.25">
      <c r="F67" s="15"/>
    </row>
    <row r="68" spans="6:12" x14ac:dyDescent="0.25">
      <c r="F68" s="15"/>
    </row>
    <row r="69" spans="6:12" x14ac:dyDescent="0.25">
      <c r="F69" s="15"/>
    </row>
  </sheetData>
  <mergeCells count="5">
    <mergeCell ref="A1:A4"/>
    <mergeCell ref="B11:C11"/>
    <mergeCell ref="D11:E11"/>
    <mergeCell ref="F11:F12"/>
    <mergeCell ref="I11:L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Performance</vt:lpstr>
      <vt:lpstr>Task Performance</vt:lpstr>
      <vt:lpstr>Task Performance (Cleaned)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 Fridley</dc:creator>
  <cp:lastModifiedBy>Nila Fridley</cp:lastModifiedBy>
  <dcterms:created xsi:type="dcterms:W3CDTF">2025-05-10T02:12:12Z</dcterms:created>
  <dcterms:modified xsi:type="dcterms:W3CDTF">2025-06-03T04:43:54Z</dcterms:modified>
</cp:coreProperties>
</file>