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EE4393BD-258B-4EB6-8B7C-BBD9DD2BF03D}" xr6:coauthVersionLast="47" xr6:coauthVersionMax="47" xr10:uidLastSave="{00000000-0000-0000-0000-000000000000}"/>
  <bookViews>
    <workbookView xWindow="-120" yWindow="-120" windowWidth="51840" windowHeight="21120" activeTab="2" xr2:uid="{40B427E8-FEEC-4634-B9FB-66EFF45D998C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H60" i="3" l="1"/>
  <c r="H59" i="3"/>
  <c r="H58" i="3"/>
  <c r="H57" i="3"/>
  <c r="I57" i="3" s="1"/>
  <c r="H56" i="3"/>
  <c r="H51" i="3"/>
  <c r="H50" i="3"/>
  <c r="H49" i="3"/>
  <c r="H48" i="3"/>
  <c r="I48" i="3" s="1"/>
  <c r="H47" i="3"/>
  <c r="I47" i="3" s="1"/>
  <c r="H46" i="3"/>
  <c r="H45" i="3"/>
  <c r="H44" i="3"/>
  <c r="I44" i="3" s="1"/>
  <c r="H43" i="3"/>
  <c r="H38" i="3"/>
  <c r="H37" i="3"/>
  <c r="H36" i="3"/>
  <c r="I60" i="3"/>
  <c r="I59" i="3"/>
  <c r="I58" i="3"/>
  <c r="I56" i="3"/>
  <c r="I51" i="3"/>
  <c r="I50" i="3"/>
  <c r="I49" i="3"/>
  <c r="I46" i="3"/>
  <c r="I45" i="3"/>
  <c r="I43" i="3"/>
  <c r="I38" i="3"/>
  <c r="I37" i="3"/>
  <c r="I36" i="3"/>
  <c r="I39" i="3" s="1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52" i="3" l="1"/>
  <c r="I61" i="3"/>
  <c r="F39" i="3"/>
  <c r="F61" i="3"/>
  <c r="F52" i="3"/>
  <c r="I64" i="3" l="1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<sst xmlns="http://schemas.openxmlformats.org/spreadsheetml/2006/main" count="305" uniqueCount="84">
  <si>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</si>
  <si>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</si>
  <si>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</si>
  <si>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</si>
  <si>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</si>
  <si>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</si>
  <si>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</si>
  <si>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</si>
  <si>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</si>
  <si>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</si>
  <si>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</si>
  <si>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</si>
  <si>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</si>
  <si>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</si>
  <si>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</si>
  <si>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</si>
  <si>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</si>
  <si>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</si>
  <si>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</si>
  <si>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</si>
  <si>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</si>
  <si>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</si>
  <si>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</si>
  <si>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</si>
  <si>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</si>
  <si>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</si>
  <si>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</si>
  <si>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</si>
  <si>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</si>
  <si>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</si>
  <si>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</si>
  <si>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</si>
  <si>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</si>
  <si>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</si>
  <si>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</si>
  <si>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</si>
  <si>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</si>
  <si>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</si>
  <si>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</si>
  <si>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</si>
  <si>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</si>
  <si>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</si>
  <si>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</si>
  <si>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</si>
  <si>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</si>
  <si>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</si>
  <si>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</si>
  <si>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</si>
  <si>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</si>
  <si>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</si>
  <si>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</si>
  <si>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</si>
  <si>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</si>
  <si>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</si>
  <si>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</si>
  <si>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</si>
  <si>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</si>
  <si>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</si>
  <si>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</si>
  <si>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</si>
  <si>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</si>
  <si>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</si>
  <si>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</si>
  <si>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</si>
  <si>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</si>
  <si>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</si>
  <si>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</si>
  <si>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</si>
  <si>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</si>
  <si>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</si>
  <si>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7</t>
  </si>
  <si>
    <t>Satellite Contact Window Requirement</t>
  </si>
  <si>
    <t>Mean (Minutes)</t>
  </si>
  <si>
    <t>Image Processing and Analysis</t>
  </si>
  <si>
    <t>Group 3 - Task Name</t>
  </si>
  <si>
    <t>Analytical Tasks Requiring Accuracy - Mean (Minutes)</t>
  </si>
  <si>
    <t>(minutes)</t>
  </si>
  <si>
    <t># of Simulations</t>
  </si>
  <si>
    <t># of Repetitions</t>
  </si>
  <si>
    <t>Sum of Mean (Minutes)</t>
  </si>
  <si>
    <t>Total Sim. Time</t>
  </si>
  <si>
    <t>Group 1 - Task Name</t>
  </si>
  <si>
    <t>Group 2 - Task Name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</si>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</sst>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0" fontId="0" fillId="0" borderId="1" xfId="0" applyBorder="1"/>
    <xf numFmtId="166" fontId="0" fillId="0" borderId="1" xfId="0" applyNumberFormat="1" applyBorder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2" fontId="1" fillId="0" borderId="0" xfId="0" applyNumberFormat="1" applyFont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167" fontId="0" fillId="0" borderId="0" xfId="0" applyNumberFormat="1"/>
    <xf numFmtId="167" fontId="1" fillId="0" borderId="0" xfId="0" applyNumberFormat="1" applyFo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7" fontId="1" fillId="6" borderId="0" xfId="0" applyNumberFormat="1" applyFont="1" applyFill="1"/>
    <xf numFmtId="0" fontId="1" fillId="6" borderId="0" xfId="0" applyFont="1" applyFill="1"/>
    <xf numFmtId="1" fontId="0" fillId="0" borderId="0" xfId="0" applyNumberFormat="1"/>
    <xf numFmtId="167" fontId="0" fillId="0" borderId="1" xfId="0" applyNumberFormat="1" applyBorder="1"/>
    <xf numFmtId="2" fontId="1" fillId="6" borderId="0" xfId="0" applyNumberFormat="1" applyFont="1" applyFill="1"/>
    <xf numFmtId="167" fontId="0" fillId="6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74BA36-B541-4652-9334-32336B7810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94C6F0-6F50-CDE6-80A1-30FEC52F31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962BAF-2DBD-40F6-83ED-99B9431A48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7552-F496-40E2-8CC8-BCCA2EB0747B}">
  <dimension ref="A1:E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4.7109375" customWidth="1"/>
  </cols>
  <sheetData>
    <row r="1" spans="1:5" x14ac:dyDescent="0.25">
      <c r="A1" s="43"/>
    </row>
    <row r="2" spans="1:5" ht="18.75" x14ac:dyDescent="0.3">
      <c r="A2" s="43"/>
      <c r="B2" s="6" t="s">
        <v>16</v>
      </c>
    </row>
    <row r="3" spans="1:5" ht="17.25" x14ac:dyDescent="0.3">
      <c r="A3" s="43"/>
      <c r="B3" s="7" t="s">
        <v>17</v>
      </c>
    </row>
    <row r="4" spans="1:5" x14ac:dyDescent="0.25">
      <c r="A4" s="43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44013</v>
      </c>
    </row>
    <row r="10" spans="1:5" x14ac:dyDescent="0.25">
      <c r="A10" s="5" t="s">
        <v>21</v>
      </c>
      <c r="B10" s="8">
        <v>15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33713.1227672537 / 86400</f>
        <v>0.39019818017654745</v>
      </c>
    </row>
    <row r="15" spans="1:5" x14ac:dyDescent="0.25">
      <c r="B15" s="1" t="s">
        <v>2</v>
      </c>
      <c r="C15" s="2">
        <f xml:space="preserve"> 41756.6259743134 / 86400</f>
        <v>0.48329428211010877</v>
      </c>
    </row>
    <row r="16" spans="1:5" x14ac:dyDescent="0.25">
      <c r="B16" s="35" t="s">
        <v>3</v>
      </c>
      <c r="C16" s="36">
        <f xml:space="preserve"> 38076.7576944882 / 86400</f>
        <v>0.44070321405657642</v>
      </c>
      <c r="D16" s="37">
        <f>(C16*86400)/60</f>
        <v>634.61262824147002</v>
      </c>
      <c r="E16" s="38" t="s">
        <v>76</v>
      </c>
    </row>
    <row r="17" spans="2:3" x14ac:dyDescent="0.25">
      <c r="B17" s="1" t="s">
        <v>4</v>
      </c>
      <c r="C17" s="2">
        <f xml:space="preserve"> 2643.81065237683 / 86400</f>
        <v>3.0599660328435533E-2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A7E6-CBFE-48D2-894A-FD543B6E5F63}">
  <dimension ref="A1:X38"/>
  <sheetViews>
    <sheetView workbookViewId="0">
      <selection activeCell="F35" sqref="F35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3"/>
    </row>
    <row r="2" spans="1:24" ht="18.75" x14ac:dyDescent="0.3">
      <c r="A2" s="43"/>
      <c r="B2" s="6" t="s">
        <v>16</v>
      </c>
    </row>
    <row r="3" spans="1:24" ht="17.25" x14ac:dyDescent="0.3">
      <c r="A3" s="43"/>
      <c r="B3" s="7" t="s">
        <v>66</v>
      </c>
    </row>
    <row r="4" spans="1:24" x14ac:dyDescent="0.25">
      <c r="A4" s="43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44013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  <c r="M11" s="45"/>
      <c r="N11" s="48" t="s">
        <v>26</v>
      </c>
      <c r="P11" s="44" t="s">
        <v>27</v>
      </c>
      <c r="Q11" s="45"/>
      <c r="R11" s="45"/>
      <c r="S11" s="45"/>
      <c r="T11" s="48" t="s">
        <v>28</v>
      </c>
      <c r="V11" s="44" t="s">
        <v>29</v>
      </c>
      <c r="W11" s="45"/>
      <c r="X11" s="45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9"/>
      <c r="P12" s="12" t="s">
        <v>38</v>
      </c>
      <c r="Q12" s="12" t="s">
        <v>39</v>
      </c>
      <c r="R12" s="12" t="s">
        <v>40</v>
      </c>
      <c r="S12" s="12" t="s">
        <v>37</v>
      </c>
      <c r="T12" s="49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15</v>
      </c>
      <c r="H14" s="9"/>
      <c r="I14" s="2">
        <f xml:space="preserve"> 126.676063892281 / 86400</f>
        <v>1.4661581469014003E-3</v>
      </c>
      <c r="J14" s="2">
        <f xml:space="preserve"> 308.925552616327 / 86400</f>
        <v>3.5755272293556367E-3</v>
      </c>
      <c r="K14" s="2">
        <f xml:space="preserve"> 200.976268402662 / 86400</f>
        <v>2.3261142176234026E-3</v>
      </c>
      <c r="L14" s="2">
        <f xml:space="preserve"> 51.4685676163358 / 86400</f>
        <v>5.9570101407796061E-4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15</v>
      </c>
      <c r="H15" s="9"/>
      <c r="I15" s="2">
        <f xml:space="preserve"> 7.55170648058501 / 86400</f>
        <v>8.7404010191956131E-5</v>
      </c>
      <c r="J15" s="2">
        <f xml:space="preserve"> 23.264472111717 / 86400</f>
        <v>2.6926472351524307E-4</v>
      </c>
      <c r="K15" s="2">
        <f xml:space="preserve"> 15.760926273478 / 86400</f>
        <v>1.8241812816525464E-4</v>
      </c>
      <c r="L15" s="2">
        <f xml:space="preserve"> 4.55217911775504 / 86400</f>
        <v>5.2687258307350002E-5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15</v>
      </c>
      <c r="H16" s="9"/>
      <c r="I16" s="2">
        <f xml:space="preserve"> 34.453342596895 / 86400</f>
        <v>3.9876553931591434E-4</v>
      </c>
      <c r="J16" s="2">
        <f xml:space="preserve"> 56.945806979326 / 86400</f>
        <v>6.5909498818664356E-4</v>
      </c>
      <c r="K16" s="2">
        <f xml:space="preserve"> 46.3615117973371 / 86400</f>
        <v>5.3659157172843868E-4</v>
      </c>
      <c r="L16" s="2">
        <f xml:space="preserve"> 7.65154179441948 / 86400</f>
        <v>8.8559511509484729E-5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15</v>
      </c>
      <c r="H17" s="9"/>
      <c r="I17" s="2">
        <f xml:space="preserve"> 102.291553351732 / 86400</f>
        <v>1.1839300156450464E-3</v>
      </c>
      <c r="J17" s="2">
        <f xml:space="preserve"> 335.446262372323 / 86400</f>
        <v>3.8824798885685533E-3</v>
      </c>
      <c r="K17" s="2">
        <f xml:space="preserve"> 199.369579581684 / 86400</f>
        <v>2.3075182821954169E-3</v>
      </c>
      <c r="L17" s="2">
        <f xml:space="preserve"> 73.3776121685133 / 86400</f>
        <v>8.4927791861705206E-4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105</v>
      </c>
      <c r="H18" s="9"/>
      <c r="I18" s="2">
        <f xml:space="preserve"> 21.048417192441 / 86400</f>
        <v>2.436159397273264E-4</v>
      </c>
      <c r="J18" s="2">
        <f xml:space="preserve"> 119.769114184499 / 86400</f>
        <v>1.3862165993576273E-3</v>
      </c>
      <c r="K18" s="2">
        <f xml:space="preserve"> 68.3601103904512 / 86400</f>
        <v>7.912049813709629E-4</v>
      </c>
      <c r="L18" s="2">
        <f xml:space="preserve"> 19.5480037273137 / 86400</f>
        <v>2.2625004314020484E-4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105</v>
      </c>
      <c r="H19" s="9"/>
      <c r="I19" s="2">
        <f xml:space="preserve"> 25.652238997934 / 86400</f>
        <v>2.9690091432793981E-4</v>
      </c>
      <c r="J19" s="2">
        <f xml:space="preserve"> 67.5838539956999 / 86400</f>
        <v>7.8222053235763771E-4</v>
      </c>
      <c r="K19" s="2">
        <f xml:space="preserve"> 49.0074771087628 / 86400</f>
        <v>5.6721617024031018E-4</v>
      </c>
      <c r="L19" s="2">
        <f xml:space="preserve"> 9.08543136305016 / 86400</f>
        <v>1.0515545559085834E-4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105</v>
      </c>
      <c r="H20" s="9"/>
      <c r="I20" s="2">
        <f xml:space="preserve"> 40.2863839694 / 86400</f>
        <v>4.6627759223842591E-4</v>
      </c>
      <c r="J20" s="2">
        <f xml:space="preserve"> 96.0497134975994 / 86400</f>
        <v>1.1116864988148078E-3</v>
      </c>
      <c r="K20" s="2">
        <f xml:space="preserve"> 70.4174919296972 / 86400</f>
        <v>8.1501726770482881E-4</v>
      </c>
      <c r="L20" s="2">
        <f xml:space="preserve"> 11.2822402474927 / 86400</f>
        <v>1.3058148434598032E-4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105</v>
      </c>
      <c r="H21" s="9"/>
      <c r="I21" s="2">
        <f xml:space="preserve"> 649.941277637763 / 86400</f>
        <v>7.5224684911778129E-3</v>
      </c>
      <c r="J21" s="2">
        <f xml:space="preserve"> 4728.0715376102 / 86400</f>
        <v>5.472305020382176E-2</v>
      </c>
      <c r="K21" s="2">
        <f xml:space="preserve"> 2542.32167421547 / 86400</f>
        <v>2.9425019377493866E-2</v>
      </c>
      <c r="L21" s="2">
        <f xml:space="preserve"> 936.878045959802 / 86400</f>
        <v>1.0843495902312523E-2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13</v>
      </c>
      <c r="H22" s="9"/>
      <c r="I22" s="2">
        <f xml:space="preserve"> 830.704050415399 / 86400</f>
        <v>9.6146302131411929E-3</v>
      </c>
      <c r="J22" s="2">
        <f xml:space="preserve"> 2204.9027810279 / 86400</f>
        <v>2.5519708113748842E-2</v>
      </c>
      <c r="K22" s="2">
        <f xml:space="preserve"> 1361.26512594431 / 86400</f>
        <v>1.5755383402133217E-2</v>
      </c>
      <c r="L22" s="2">
        <f xml:space="preserve"> 378.134036422897 / 86400</f>
        <v>4.3765513474872337E-3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105</v>
      </c>
      <c r="H23" s="9"/>
      <c r="I23" s="2">
        <f xml:space="preserve"> 651.1166332543 / 86400</f>
        <v>7.5360721441469908E-3</v>
      </c>
      <c r="J23" s="2">
        <f xml:space="preserve"> 1548.7186495838 / 86400</f>
        <v>1.7924984370182872E-2</v>
      </c>
      <c r="K23" s="2">
        <f xml:space="preserve"> 1016.54207882725 / 86400</f>
        <v>1.1765533319759837E-2</v>
      </c>
      <c r="L23" s="2">
        <f xml:space="preserve"> 205.232487886339 / 86400</f>
        <v>2.3753760172029975E-3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105</v>
      </c>
      <c r="H24" s="9"/>
      <c r="I24" s="2">
        <f xml:space="preserve"> 8.07011496558016 / 86400</f>
        <v>9.3404108397918519E-5</v>
      </c>
      <c r="J24" s="2">
        <f xml:space="preserve"> 101.697584494599 / 86400</f>
        <v>1.1770553760948959E-3</v>
      </c>
      <c r="K24" s="2">
        <f xml:space="preserve"> 59.2086730201073 / 86400</f>
        <v>6.8528556736235295E-4</v>
      </c>
      <c r="L24" s="2">
        <f xml:space="preserve"> 25.6980546783182 / 86400</f>
        <v>2.9743118840646065E-4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105</v>
      </c>
      <c r="H25" s="9"/>
      <c r="I25" s="2">
        <f xml:space="preserve"> 211.809371257801 / 86400</f>
        <v>2.4514973525208449E-3</v>
      </c>
      <c r="J25" s="2">
        <f xml:space="preserve"> 1250.6534814688 / 86400</f>
        <v>1.4475156035518518E-2</v>
      </c>
      <c r="K25" s="2">
        <f xml:space="preserve"> 574.047956466572 / 86400</f>
        <v>6.6440735702149537E-3</v>
      </c>
      <c r="L25" s="2">
        <f xml:space="preserve"> 221.984554520851 / 86400</f>
        <v>2.5692656773246641E-3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15</v>
      </c>
      <c r="H26" s="9"/>
      <c r="I26" s="2">
        <f xml:space="preserve"> 362.683604173297 / 86400</f>
        <v>4.1977269001539008E-3</v>
      </c>
      <c r="J26" s="2">
        <f xml:space="preserve"> 686.725935640599 / 86400</f>
        <v>7.9482168476921189E-3</v>
      </c>
      <c r="K26" s="2">
        <f xml:space="preserve"> 537.650163261833 / 86400</f>
        <v>6.2228028155304742E-3</v>
      </c>
      <c r="L26" s="2">
        <f xml:space="preserve"> 105.599981486892 / 86400</f>
        <v>1.222222007950139E-3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15</v>
      </c>
      <c r="H27" s="9"/>
      <c r="I27" s="2">
        <f xml:space="preserve"> 320.004138324901 / 86400</f>
        <v>3.7037516009826507E-3</v>
      </c>
      <c r="J27" s="2">
        <f xml:space="preserve"> 572.6658887917 / 86400</f>
        <v>6.6280774165706022E-3</v>
      </c>
      <c r="K27" s="2">
        <f xml:space="preserve"> 424.091324190794 / 86400</f>
        <v>4.9084644003564125E-3</v>
      </c>
      <c r="L27" s="2">
        <f xml:space="preserve"> 69.9390003694606 / 86400</f>
        <v>8.0947917094283106E-4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15</v>
      </c>
      <c r="H28" s="9"/>
      <c r="I28" s="2">
        <f xml:space="preserve"> 3193.7351829008 / 86400</f>
        <v>3.6964527579870371E-2</v>
      </c>
      <c r="J28" s="2">
        <f xml:space="preserve"> 5034.2396598702 / 86400</f>
        <v>5.8266662729979164E-2</v>
      </c>
      <c r="K28" s="2">
        <f xml:space="preserve"> 4186.67504037204 / 86400</f>
        <v>4.8456887041343051E-2</v>
      </c>
      <c r="L28" s="2">
        <f xml:space="preserve"> 497.904716827878 / 86400</f>
        <v>5.7627860743967359E-3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15</v>
      </c>
      <c r="H29" s="9"/>
      <c r="I29" s="2">
        <f xml:space="preserve"> 382.552431176598 / 86400</f>
        <v>4.4276901756550701E-3</v>
      </c>
      <c r="J29" s="2">
        <f xml:space="preserve"> 515.893800619 / 86400</f>
        <v>5.9709930627199074E-3</v>
      </c>
      <c r="K29" s="2">
        <f xml:space="preserve"> 445.903685148365 / 86400</f>
        <v>5.1609222818097805E-3</v>
      </c>
      <c r="L29" s="2">
        <f xml:space="preserve"> 43.3600477232559 / 86400</f>
        <v>5.0185240420435077E-4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15</v>
      </c>
      <c r="H30" s="9"/>
      <c r="I30" s="2">
        <f xml:space="preserve"> 128.0433284436 / 86400</f>
        <v>1.4819829680972221E-3</v>
      </c>
      <c r="J30" s="2">
        <f xml:space="preserve"> 236.794184789396 / 86400</f>
        <v>2.7406734350624538E-3</v>
      </c>
      <c r="K30" s="2">
        <f xml:space="preserve"> 180.86785260008 / 86400</f>
        <v>2.0933779236120371E-3</v>
      </c>
      <c r="L30" s="2">
        <f xml:space="preserve"> 33.6809362163505 / 86400</f>
        <v>3.8982565065220491E-4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4DA4-9887-4CA7-9A78-6A2D9FE82B72}">
  <dimension ref="A1:L71"/>
  <sheetViews>
    <sheetView tabSelected="1" topLeftCell="A19" workbookViewId="0">
      <selection activeCell="N43" sqref="N43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6.14062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3"/>
    </row>
    <row r="2" spans="1:12" ht="18.75" x14ac:dyDescent="0.3">
      <c r="A2" s="43"/>
      <c r="B2" s="6" t="s">
        <v>16</v>
      </c>
    </row>
    <row r="3" spans="1:12" ht="17.25" x14ac:dyDescent="0.3">
      <c r="A3" s="43"/>
      <c r="B3" s="7" t="s">
        <v>66</v>
      </c>
    </row>
    <row r="4" spans="1:12" x14ac:dyDescent="0.25">
      <c r="A4" s="43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44013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15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6" t="s">
        <v>48</v>
      </c>
      <c r="F14" s="9" t="s">
        <v>46</v>
      </c>
      <c r="G14" s="4">
        <v>15</v>
      </c>
      <c r="H14" s="9"/>
      <c r="I14" s="2">
        <f xml:space="preserve"> 126.676063892281 / 86400</f>
        <v>1.4661581469014003E-3</v>
      </c>
      <c r="J14" s="2">
        <f xml:space="preserve"> 308.925552616327 / 86400</f>
        <v>3.5755272293556367E-3</v>
      </c>
      <c r="K14" s="27">
        <f xml:space="preserve"> 200.976268402662 / 86400</f>
        <v>2.3261142176234026E-3</v>
      </c>
      <c r="L14" s="2">
        <f xml:space="preserve"> 51.4685676163358 / 86400</f>
        <v>5.9570101407796061E-4</v>
      </c>
    </row>
    <row r="15" spans="1:12" x14ac:dyDescent="0.25">
      <c r="B15" s="4" t="s">
        <v>43</v>
      </c>
      <c r="C15" s="9" t="s">
        <v>44</v>
      </c>
      <c r="D15" s="4">
        <v>2</v>
      </c>
      <c r="E15" s="26" t="s">
        <v>49</v>
      </c>
      <c r="F15" s="9" t="s">
        <v>46</v>
      </c>
      <c r="G15" s="4">
        <v>15</v>
      </c>
      <c r="H15" s="9"/>
      <c r="I15" s="2">
        <f xml:space="preserve"> 7.55170648058501 / 86400</f>
        <v>8.7404010191956131E-5</v>
      </c>
      <c r="J15" s="2">
        <f xml:space="preserve"> 23.264472111717 / 86400</f>
        <v>2.6926472351524307E-4</v>
      </c>
      <c r="K15" s="27">
        <f xml:space="preserve"> 15.760926273478 / 86400</f>
        <v>1.8241812816525464E-4</v>
      </c>
      <c r="L15" s="2">
        <f xml:space="preserve"> 4.55217911775504 / 86400</f>
        <v>5.2687258307350002E-5</v>
      </c>
    </row>
    <row r="16" spans="1:12" x14ac:dyDescent="0.25">
      <c r="B16" s="4" t="s">
        <v>43</v>
      </c>
      <c r="C16" s="9" t="s">
        <v>44</v>
      </c>
      <c r="D16" s="4">
        <v>3</v>
      </c>
      <c r="E16" s="26" t="s">
        <v>50</v>
      </c>
      <c r="F16" s="9" t="s">
        <v>46</v>
      </c>
      <c r="G16" s="4">
        <v>15</v>
      </c>
      <c r="H16" s="9"/>
      <c r="I16" s="2">
        <f xml:space="preserve"> 34.453342596895 / 86400</f>
        <v>3.9876553931591434E-4</v>
      </c>
      <c r="J16" s="2">
        <f xml:space="preserve"> 56.945806979326 / 86400</f>
        <v>6.5909498818664356E-4</v>
      </c>
      <c r="K16" s="27">
        <f xml:space="preserve"> 46.3615117973371 / 86400</f>
        <v>5.3659157172843868E-4</v>
      </c>
      <c r="L16" s="2">
        <f xml:space="preserve"> 7.65154179441948 / 86400</f>
        <v>8.8559511509484729E-5</v>
      </c>
    </row>
    <row r="17" spans="2:12" x14ac:dyDescent="0.25">
      <c r="B17" s="4" t="s">
        <v>43</v>
      </c>
      <c r="C17" s="9" t="s">
        <v>44</v>
      </c>
      <c r="D17" s="4">
        <v>4</v>
      </c>
      <c r="E17" s="22" t="s">
        <v>51</v>
      </c>
      <c r="F17" s="9" t="s">
        <v>46</v>
      </c>
      <c r="G17" s="4">
        <v>15</v>
      </c>
      <c r="H17" s="9"/>
      <c r="I17" s="2">
        <f xml:space="preserve"> 102.291553351732 / 86400</f>
        <v>1.1839300156450464E-3</v>
      </c>
      <c r="J17" s="2">
        <f xml:space="preserve"> 335.446262372323 / 86400</f>
        <v>3.8824798885685533E-3</v>
      </c>
      <c r="K17" s="23">
        <f xml:space="preserve"> 199.369579581684 / 86400</f>
        <v>2.3075182821954169E-3</v>
      </c>
      <c r="L17" s="2">
        <f xml:space="preserve"> 73.3776121685133 / 86400</f>
        <v>8.4927791861705206E-4</v>
      </c>
    </row>
    <row r="18" spans="2:12" x14ac:dyDescent="0.25">
      <c r="B18" s="4" t="s">
        <v>43</v>
      </c>
      <c r="C18" s="9" t="s">
        <v>44</v>
      </c>
      <c r="D18" s="4">
        <v>5</v>
      </c>
      <c r="E18" s="22" t="s">
        <v>52</v>
      </c>
      <c r="F18" s="9" t="s">
        <v>46</v>
      </c>
      <c r="G18" s="4">
        <v>105</v>
      </c>
      <c r="H18" s="9"/>
      <c r="I18" s="2">
        <f xml:space="preserve"> 21.048417192441 / 86400</f>
        <v>2.436159397273264E-4</v>
      </c>
      <c r="J18" s="2">
        <f xml:space="preserve"> 119.769114184499 / 86400</f>
        <v>1.3862165993576273E-3</v>
      </c>
      <c r="K18" s="23">
        <f xml:space="preserve"> 68.3601103904512 / 86400</f>
        <v>7.912049813709629E-4</v>
      </c>
      <c r="L18" s="2">
        <f xml:space="preserve"> 19.5480037273137 / 86400</f>
        <v>2.2625004314020484E-4</v>
      </c>
    </row>
    <row r="19" spans="2:12" x14ac:dyDescent="0.25">
      <c r="B19" s="4" t="s">
        <v>43</v>
      </c>
      <c r="C19" s="9" t="s">
        <v>44</v>
      </c>
      <c r="D19" s="4">
        <v>6</v>
      </c>
      <c r="E19" s="22" t="s">
        <v>53</v>
      </c>
      <c r="F19" s="9" t="s">
        <v>46</v>
      </c>
      <c r="G19" s="4">
        <v>105</v>
      </c>
      <c r="H19" s="9"/>
      <c r="I19" s="2">
        <f xml:space="preserve"> 25.652238997934 / 86400</f>
        <v>2.9690091432793981E-4</v>
      </c>
      <c r="J19" s="2">
        <f xml:space="preserve"> 67.5838539956999 / 86400</f>
        <v>7.8222053235763771E-4</v>
      </c>
      <c r="K19" s="23">
        <f xml:space="preserve"> 49.0074771087628 / 86400</f>
        <v>5.6721617024031018E-4</v>
      </c>
      <c r="L19" s="2">
        <f xml:space="preserve"> 9.08543136305016 / 86400</f>
        <v>1.0515545559085834E-4</v>
      </c>
    </row>
    <row r="20" spans="2:12" x14ac:dyDescent="0.25">
      <c r="B20" s="4" t="s">
        <v>43</v>
      </c>
      <c r="C20" s="9" t="s">
        <v>44</v>
      </c>
      <c r="D20" s="4">
        <v>7</v>
      </c>
      <c r="E20" s="22" t="s">
        <v>54</v>
      </c>
      <c r="F20" s="9" t="s">
        <v>46</v>
      </c>
      <c r="G20" s="4">
        <v>105</v>
      </c>
      <c r="H20" s="9"/>
      <c r="I20" s="2">
        <f xml:space="preserve"> 40.2863839694 / 86400</f>
        <v>4.6627759223842591E-4</v>
      </c>
      <c r="J20" s="2">
        <f xml:space="preserve"> 96.0497134975994 / 86400</f>
        <v>1.1116864988148078E-3</v>
      </c>
      <c r="K20" s="23">
        <f xml:space="preserve"> 70.4174919296972 / 86400</f>
        <v>8.1501726770482881E-4</v>
      </c>
      <c r="L20" s="2">
        <f xml:space="preserve"> 11.2822402474927 / 86400</f>
        <v>1.3058148434598032E-4</v>
      </c>
    </row>
    <row r="21" spans="2:12" x14ac:dyDescent="0.25">
      <c r="B21" s="4" t="s">
        <v>43</v>
      </c>
      <c r="C21" s="9" t="s">
        <v>44</v>
      </c>
      <c r="D21" s="4">
        <v>8</v>
      </c>
      <c r="E21" s="22" t="s">
        <v>55</v>
      </c>
      <c r="F21" s="9" t="s">
        <v>46</v>
      </c>
      <c r="G21" s="4">
        <v>105</v>
      </c>
      <c r="H21" s="9"/>
      <c r="I21" s="2">
        <f xml:space="preserve"> 649.941277637763 / 86400</f>
        <v>7.5224684911778129E-3</v>
      </c>
      <c r="J21" s="2">
        <f xml:space="preserve"> 4728.0715376102 / 86400</f>
        <v>5.472305020382176E-2</v>
      </c>
      <c r="K21" s="23">
        <f xml:space="preserve"> 2542.32167421547 / 86400</f>
        <v>2.9425019377493866E-2</v>
      </c>
      <c r="L21" s="2">
        <f xml:space="preserve"> 936.878045959802 / 86400</f>
        <v>1.0843495902312523E-2</v>
      </c>
    </row>
    <row r="22" spans="2:12" x14ac:dyDescent="0.25">
      <c r="B22" s="4" t="s">
        <v>43</v>
      </c>
      <c r="C22" s="9" t="s">
        <v>44</v>
      </c>
      <c r="D22" s="4">
        <v>9</v>
      </c>
      <c r="E22" s="22" t="s">
        <v>56</v>
      </c>
      <c r="F22" s="9" t="s">
        <v>46</v>
      </c>
      <c r="G22" s="4">
        <v>13</v>
      </c>
      <c r="H22" s="9"/>
      <c r="I22" s="2">
        <f xml:space="preserve"> 830.704050415399 / 86400</f>
        <v>9.6146302131411929E-3</v>
      </c>
      <c r="J22" s="2">
        <f xml:space="preserve"> 2204.9027810279 / 86400</f>
        <v>2.5519708113748842E-2</v>
      </c>
      <c r="K22" s="23">
        <f xml:space="preserve"> 1361.26512594431 / 86400</f>
        <v>1.5755383402133217E-2</v>
      </c>
      <c r="L22" s="2">
        <f xml:space="preserve"> 378.134036422897 / 86400</f>
        <v>4.3765513474872337E-3</v>
      </c>
    </row>
    <row r="23" spans="2:12" x14ac:dyDescent="0.25">
      <c r="B23" s="4" t="s">
        <v>43</v>
      </c>
      <c r="C23" s="9" t="s">
        <v>44</v>
      </c>
      <c r="D23" s="4">
        <v>10</v>
      </c>
      <c r="E23" s="22" t="s">
        <v>57</v>
      </c>
      <c r="F23" s="9" t="s">
        <v>46</v>
      </c>
      <c r="G23" s="4">
        <v>105</v>
      </c>
      <c r="H23" s="9"/>
      <c r="I23" s="2">
        <f xml:space="preserve"> 651.1166332543 / 86400</f>
        <v>7.5360721441469908E-3</v>
      </c>
      <c r="J23" s="2">
        <f xml:space="preserve"> 1548.7186495838 / 86400</f>
        <v>1.7924984370182872E-2</v>
      </c>
      <c r="K23" s="23">
        <f xml:space="preserve"> 1016.54207882725 / 86400</f>
        <v>1.1765533319759837E-2</v>
      </c>
      <c r="L23" s="2">
        <f xml:space="preserve"> 205.232487886339 / 86400</f>
        <v>2.3753760172029975E-3</v>
      </c>
    </row>
    <row r="24" spans="2:12" x14ac:dyDescent="0.25">
      <c r="B24" s="4" t="s">
        <v>43</v>
      </c>
      <c r="C24" s="9" t="s">
        <v>44</v>
      </c>
      <c r="D24" s="4">
        <v>11</v>
      </c>
      <c r="E24" s="22" t="s">
        <v>58</v>
      </c>
      <c r="F24" s="9" t="s">
        <v>46</v>
      </c>
      <c r="G24" s="4">
        <v>105</v>
      </c>
      <c r="H24" s="9"/>
      <c r="I24" s="2">
        <f xml:space="preserve"> 8.07011496558016 / 86400</f>
        <v>9.3404108397918519E-5</v>
      </c>
      <c r="J24" s="2">
        <f xml:space="preserve"> 101.697584494599 / 86400</f>
        <v>1.1770553760948959E-3</v>
      </c>
      <c r="K24" s="23">
        <f xml:space="preserve"> 59.2086730201073 / 86400</f>
        <v>6.8528556736235295E-4</v>
      </c>
      <c r="L24" s="2">
        <f xml:space="preserve"> 25.6980546783182 / 86400</f>
        <v>2.9743118840646065E-4</v>
      </c>
    </row>
    <row r="25" spans="2:12" x14ac:dyDescent="0.25">
      <c r="B25" s="4" t="s">
        <v>43</v>
      </c>
      <c r="C25" s="9" t="s">
        <v>44</v>
      </c>
      <c r="D25" s="4">
        <v>12</v>
      </c>
      <c r="E25" s="22" t="s">
        <v>59</v>
      </c>
      <c r="F25" s="9" t="s">
        <v>46</v>
      </c>
      <c r="G25" s="4">
        <v>105</v>
      </c>
      <c r="H25" s="9"/>
      <c r="I25" s="2">
        <f xml:space="preserve"> 211.809371257801 / 86400</f>
        <v>2.4514973525208449E-3</v>
      </c>
      <c r="J25" s="2">
        <f xml:space="preserve"> 1250.6534814688 / 86400</f>
        <v>1.4475156035518518E-2</v>
      </c>
      <c r="K25" s="23">
        <f xml:space="preserve"> 574.047956466572 / 86400</f>
        <v>6.6440735702149537E-3</v>
      </c>
      <c r="L25" s="2">
        <f xml:space="preserve"> 221.984554520851 / 86400</f>
        <v>2.5692656773246641E-3</v>
      </c>
    </row>
    <row r="26" spans="2:12" x14ac:dyDescent="0.25">
      <c r="B26" s="4" t="s">
        <v>43</v>
      </c>
      <c r="C26" s="9" t="s">
        <v>44</v>
      </c>
      <c r="D26" s="4">
        <v>13</v>
      </c>
      <c r="E26" s="24" t="s">
        <v>60</v>
      </c>
      <c r="F26" s="9" t="s">
        <v>46</v>
      </c>
      <c r="G26" s="4">
        <v>15</v>
      </c>
      <c r="H26" s="9"/>
      <c r="I26" s="2">
        <f xml:space="preserve"> 362.683604173297 / 86400</f>
        <v>4.1977269001539008E-3</v>
      </c>
      <c r="J26" s="2">
        <f xml:space="preserve"> 686.725935640599 / 86400</f>
        <v>7.9482168476921189E-3</v>
      </c>
      <c r="K26" s="25">
        <f xml:space="preserve"> 537.650163261833 / 86400</f>
        <v>6.2228028155304742E-3</v>
      </c>
      <c r="L26" s="2">
        <f xml:space="preserve"> 105.599981486892 / 86400</f>
        <v>1.222222007950139E-3</v>
      </c>
    </row>
    <row r="27" spans="2:12" x14ac:dyDescent="0.25">
      <c r="B27" s="4" t="s">
        <v>43</v>
      </c>
      <c r="C27" s="9" t="s">
        <v>44</v>
      </c>
      <c r="D27" s="4">
        <v>14</v>
      </c>
      <c r="E27" s="24" t="s">
        <v>61</v>
      </c>
      <c r="F27" s="9" t="s">
        <v>46</v>
      </c>
      <c r="G27" s="4">
        <v>15</v>
      </c>
      <c r="H27" s="9"/>
      <c r="I27" s="2">
        <f xml:space="preserve"> 320.004138324901 / 86400</f>
        <v>3.7037516009826507E-3</v>
      </c>
      <c r="J27" s="2">
        <f xml:space="preserve"> 572.6658887917 / 86400</f>
        <v>6.6280774165706022E-3</v>
      </c>
      <c r="K27" s="25">
        <f xml:space="preserve"> 424.091324190794 / 86400</f>
        <v>4.9084644003564125E-3</v>
      </c>
      <c r="L27" s="2">
        <f xml:space="preserve"> 69.9390003694606 / 86400</f>
        <v>8.0947917094283106E-4</v>
      </c>
    </row>
    <row r="28" spans="2:12" x14ac:dyDescent="0.25">
      <c r="B28" s="4" t="s">
        <v>43</v>
      </c>
      <c r="C28" s="9" t="s">
        <v>44</v>
      </c>
      <c r="D28" s="4">
        <v>15</v>
      </c>
      <c r="E28" s="24" t="s">
        <v>62</v>
      </c>
      <c r="F28" s="9" t="s">
        <v>46</v>
      </c>
      <c r="G28" s="4">
        <v>15</v>
      </c>
      <c r="H28" s="9"/>
      <c r="I28" s="2">
        <f xml:space="preserve"> 3193.7351829008 / 86400</f>
        <v>3.6964527579870371E-2</v>
      </c>
      <c r="J28" s="2">
        <f xml:space="preserve"> 5034.2396598702 / 86400</f>
        <v>5.8266662729979164E-2</v>
      </c>
      <c r="K28" s="25">
        <f xml:space="preserve"> 4186.67504037204 / 86400</f>
        <v>4.8456887041343051E-2</v>
      </c>
      <c r="L28" s="2">
        <f xml:space="preserve"> 497.904716827878 / 86400</f>
        <v>5.7627860743967359E-3</v>
      </c>
    </row>
    <row r="29" spans="2:12" x14ac:dyDescent="0.25">
      <c r="B29" s="4" t="s">
        <v>43</v>
      </c>
      <c r="C29" s="9" t="s">
        <v>44</v>
      </c>
      <c r="D29" s="4">
        <v>16</v>
      </c>
      <c r="E29" s="24" t="s">
        <v>63</v>
      </c>
      <c r="F29" s="9" t="s">
        <v>46</v>
      </c>
      <c r="G29" s="4">
        <v>15</v>
      </c>
      <c r="H29" s="9"/>
      <c r="I29" s="2">
        <f xml:space="preserve"> 382.552431176598 / 86400</f>
        <v>4.4276901756550701E-3</v>
      </c>
      <c r="J29" s="2">
        <f xml:space="preserve"> 515.893800619 / 86400</f>
        <v>5.9709930627199074E-3</v>
      </c>
      <c r="K29" s="25">
        <f xml:space="preserve"> 445.903685148365 / 86400</f>
        <v>5.1609222818097805E-3</v>
      </c>
      <c r="L29" s="2">
        <f xml:space="preserve"> 43.3600477232559 / 86400</f>
        <v>5.0185240420435077E-4</v>
      </c>
    </row>
    <row r="30" spans="2:12" x14ac:dyDescent="0.25">
      <c r="B30" s="4" t="s">
        <v>43</v>
      </c>
      <c r="C30" s="9" t="s">
        <v>44</v>
      </c>
      <c r="D30" s="4">
        <v>17</v>
      </c>
      <c r="E30" s="24" t="s">
        <v>64</v>
      </c>
      <c r="F30" s="9" t="s">
        <v>46</v>
      </c>
      <c r="G30" s="4">
        <v>15</v>
      </c>
      <c r="H30" s="9"/>
      <c r="I30" s="2">
        <f xml:space="preserve"> 128.0433284436 / 86400</f>
        <v>1.4819829680972221E-3</v>
      </c>
      <c r="J30" s="2">
        <f xml:space="preserve"> 236.794184789396 / 86400</f>
        <v>2.7406734350624538E-3</v>
      </c>
      <c r="K30" s="25">
        <f xml:space="preserve"> 180.86785260008 / 86400</f>
        <v>2.0933779236120371E-3</v>
      </c>
      <c r="L30" s="2">
        <f xml:space="preserve"> 33.6809362163505 / 86400</f>
        <v>3.8982565065220491E-4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15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81</v>
      </c>
      <c r="F35" s="17" t="s">
        <v>72</v>
      </c>
      <c r="G35" s="15" t="s">
        <v>77</v>
      </c>
      <c r="H35" s="15" t="s">
        <v>78</v>
      </c>
      <c r="I35" s="28" t="s">
        <v>79</v>
      </c>
      <c r="J35" s="15"/>
      <c r="K35" s="15"/>
      <c r="L35" s="15"/>
    </row>
    <row r="36" spans="4:12" x14ac:dyDescent="0.25">
      <c r="D36" s="29"/>
      <c r="E36" t="s">
        <v>48</v>
      </c>
      <c r="F36" s="18">
        <f>(K14*86400)/60</f>
        <v>3.3496044733777</v>
      </c>
      <c r="G36" s="4">
        <v>15</v>
      </c>
      <c r="H36" s="39">
        <f>G36/15</f>
        <v>1</v>
      </c>
      <c r="I36" s="33">
        <f>F36*H36</f>
        <v>3.3496044733777</v>
      </c>
      <c r="J36" s="15"/>
      <c r="K36" s="15"/>
      <c r="L36" s="15"/>
    </row>
    <row r="37" spans="4:12" x14ac:dyDescent="0.25">
      <c r="D37" s="29"/>
      <c r="E37" t="s">
        <v>49</v>
      </c>
      <c r="F37" s="18">
        <f>(K15*86400)/60</f>
        <v>0.2626821045579667</v>
      </c>
      <c r="G37" s="4">
        <v>15</v>
      </c>
      <c r="H37" s="39">
        <f>G37/15</f>
        <v>1</v>
      </c>
      <c r="I37" s="33">
        <f>F37*H37</f>
        <v>0.2626821045579667</v>
      </c>
      <c r="J37" s="15"/>
      <c r="K37" s="15"/>
      <c r="L37" s="15"/>
    </row>
    <row r="38" spans="4:12" x14ac:dyDescent="0.25">
      <c r="D38" s="29"/>
      <c r="E38" s="20" t="s">
        <v>50</v>
      </c>
      <c r="F38" s="21">
        <f>(K16*86400)/60</f>
        <v>0.77269186328895167</v>
      </c>
      <c r="G38" s="4">
        <v>15</v>
      </c>
      <c r="H38" s="39">
        <f>G38/15</f>
        <v>1</v>
      </c>
      <c r="I38" s="42">
        <f>F38*H38</f>
        <v>0.77269186328895167</v>
      </c>
      <c r="J38" s="28" t="s">
        <v>83</v>
      </c>
      <c r="K38" s="15"/>
      <c r="L38" s="15"/>
    </row>
    <row r="39" spans="4:12" x14ac:dyDescent="0.25">
      <c r="E39" s="16" t="s">
        <v>71</v>
      </c>
      <c r="F39" s="19">
        <f>SUM(F36:F38)</f>
        <v>4.384978441224618</v>
      </c>
      <c r="G39" s="39"/>
      <c r="H39" s="39"/>
      <c r="I39" s="34">
        <f>SUM(I36:I38)</f>
        <v>4.384978441224618</v>
      </c>
      <c r="J39" s="15"/>
      <c r="K39" s="15"/>
      <c r="L39" s="15"/>
    </row>
    <row r="40" spans="4:12" x14ac:dyDescent="0.25">
      <c r="F40" s="15"/>
      <c r="G40" s="39"/>
      <c r="H40" s="39"/>
      <c r="I40" s="33"/>
      <c r="J40" s="15"/>
      <c r="K40" s="15"/>
      <c r="L40" s="15"/>
    </row>
    <row r="41" spans="4:12" x14ac:dyDescent="0.25">
      <c r="F41" s="15"/>
      <c r="G41" s="39"/>
      <c r="H41" s="39"/>
      <c r="I41" s="33"/>
      <c r="J41" s="15"/>
      <c r="K41" s="15"/>
      <c r="L41" s="15"/>
    </row>
    <row r="42" spans="4:12" x14ac:dyDescent="0.25">
      <c r="E42" s="12" t="s">
        <v>82</v>
      </c>
      <c r="F42" s="17" t="s">
        <v>72</v>
      </c>
      <c r="G42" s="39"/>
      <c r="H42" s="39"/>
      <c r="I42" s="33"/>
      <c r="J42" s="15"/>
      <c r="K42" s="15"/>
      <c r="L42" s="15"/>
    </row>
    <row r="43" spans="4:12" x14ac:dyDescent="0.25">
      <c r="D43" s="30"/>
      <c r="E43" t="s">
        <v>51</v>
      </c>
      <c r="F43" s="18">
        <f t="shared" ref="F43:F49" si="0">(K17*86400)/60</f>
        <v>3.3228263263614006</v>
      </c>
      <c r="G43" s="4">
        <v>15</v>
      </c>
      <c r="H43" s="39">
        <f t="shared" ref="H43:H51" si="1">G43/15</f>
        <v>1</v>
      </c>
      <c r="I43" s="33">
        <f t="shared" ref="I43:I60" si="2">F43*H43</f>
        <v>3.3228263263614006</v>
      </c>
      <c r="J43" s="15"/>
      <c r="K43" s="15"/>
      <c r="L43" s="15"/>
    </row>
    <row r="44" spans="4:12" x14ac:dyDescent="0.25">
      <c r="D44" s="30"/>
      <c r="E44" t="s">
        <v>52</v>
      </c>
      <c r="F44" s="18">
        <f t="shared" si="0"/>
        <v>1.1393351731741865</v>
      </c>
      <c r="G44" s="4">
        <v>105</v>
      </c>
      <c r="H44" s="39">
        <f t="shared" si="1"/>
        <v>7</v>
      </c>
      <c r="I44" s="33">
        <f t="shared" si="2"/>
        <v>7.9753462122193053</v>
      </c>
      <c r="J44" s="15"/>
      <c r="K44" s="15"/>
      <c r="L44" s="15"/>
    </row>
    <row r="45" spans="4:12" x14ac:dyDescent="0.25">
      <c r="D45" s="30"/>
      <c r="E45" t="s">
        <v>53</v>
      </c>
      <c r="F45" s="18">
        <f t="shared" si="0"/>
        <v>0.81679128514604671</v>
      </c>
      <c r="G45" s="4">
        <v>105</v>
      </c>
      <c r="H45" s="39">
        <f t="shared" si="1"/>
        <v>7</v>
      </c>
      <c r="I45" s="33">
        <f t="shared" si="2"/>
        <v>5.7175389960223271</v>
      </c>
      <c r="J45" s="15"/>
      <c r="K45" s="15"/>
      <c r="L45" s="15"/>
    </row>
    <row r="46" spans="4:12" x14ac:dyDescent="0.25">
      <c r="D46" s="30"/>
      <c r="E46" t="s">
        <v>54</v>
      </c>
      <c r="F46" s="18">
        <f t="shared" si="0"/>
        <v>1.1736248654949535</v>
      </c>
      <c r="G46" s="4">
        <v>105</v>
      </c>
      <c r="H46" s="39">
        <f t="shared" si="1"/>
        <v>7</v>
      </c>
      <c r="I46" s="33">
        <f t="shared" si="2"/>
        <v>8.2153740584646737</v>
      </c>
      <c r="J46" s="15"/>
      <c r="K46" s="15"/>
      <c r="L46" s="15"/>
    </row>
    <row r="47" spans="4:12" x14ac:dyDescent="0.25">
      <c r="D47" s="30"/>
      <c r="E47" t="s">
        <v>55</v>
      </c>
      <c r="F47" s="18">
        <f t="shared" si="0"/>
        <v>42.372027903591167</v>
      </c>
      <c r="G47" s="4">
        <v>105</v>
      </c>
      <c r="H47" s="39">
        <f t="shared" si="1"/>
        <v>7</v>
      </c>
      <c r="I47" s="33">
        <f t="shared" si="2"/>
        <v>296.60419532513816</v>
      </c>
      <c r="J47" s="15"/>
      <c r="K47" s="15"/>
      <c r="L47" s="15"/>
    </row>
    <row r="48" spans="4:12" x14ac:dyDescent="0.25">
      <c r="D48" s="30"/>
      <c r="E48" t="s">
        <v>56</v>
      </c>
      <c r="F48" s="18">
        <f t="shared" si="0"/>
        <v>22.68775209907183</v>
      </c>
      <c r="G48" s="4">
        <v>13</v>
      </c>
      <c r="H48" s="39">
        <f t="shared" si="1"/>
        <v>0.8666666666666667</v>
      </c>
      <c r="I48" s="33">
        <f>F48*H48</f>
        <v>19.662718485862253</v>
      </c>
      <c r="J48" s="15"/>
      <c r="K48" s="15"/>
      <c r="L48" s="15"/>
    </row>
    <row r="49" spans="4:12" x14ac:dyDescent="0.25">
      <c r="D49" s="30"/>
      <c r="E49" t="s">
        <v>57</v>
      </c>
      <c r="F49" s="18">
        <f t="shared" si="0"/>
        <v>16.942367980454165</v>
      </c>
      <c r="G49" s="4">
        <v>105</v>
      </c>
      <c r="H49" s="39">
        <f t="shared" si="1"/>
        <v>7</v>
      </c>
      <c r="I49" s="33">
        <f t="shared" si="2"/>
        <v>118.59657586317915</v>
      </c>
      <c r="J49" s="15"/>
      <c r="K49" s="15"/>
      <c r="L49" s="15"/>
    </row>
    <row r="50" spans="4:12" x14ac:dyDescent="0.25">
      <c r="D50" s="30"/>
      <c r="E50" t="s">
        <v>58</v>
      </c>
      <c r="F50" s="18">
        <f>(K24*86400)/60</f>
        <v>0.98681121700178831</v>
      </c>
      <c r="G50" s="4">
        <v>105</v>
      </c>
      <c r="H50" s="39">
        <f t="shared" si="1"/>
        <v>7</v>
      </c>
      <c r="I50" s="33">
        <f>F50*H50</f>
        <v>6.9076785190125181</v>
      </c>
      <c r="J50" s="15"/>
      <c r="K50" s="15"/>
      <c r="L50" s="15"/>
    </row>
    <row r="51" spans="4:12" x14ac:dyDescent="0.25">
      <c r="D51" s="30"/>
      <c r="E51" s="20" t="s">
        <v>59</v>
      </c>
      <c r="F51" s="21">
        <f>(K25*86400)/60</f>
        <v>9.5674659411095337</v>
      </c>
      <c r="G51" s="4">
        <v>105</v>
      </c>
      <c r="H51" s="39">
        <f t="shared" si="1"/>
        <v>7</v>
      </c>
      <c r="I51" s="40">
        <f t="shared" si="2"/>
        <v>66.972261587766738</v>
      </c>
      <c r="J51" s="15"/>
      <c r="K51" s="15"/>
      <c r="L51" s="15"/>
    </row>
    <row r="52" spans="4:12" x14ac:dyDescent="0.25">
      <c r="E52" s="16" t="s">
        <v>73</v>
      </c>
      <c r="F52" s="19">
        <f>SUM(F43:F51)</f>
        <v>99.009002791405067</v>
      </c>
      <c r="G52" s="39"/>
      <c r="H52" s="39"/>
      <c r="I52" s="34">
        <f>SUM(I43:I51)</f>
        <v>533.97451537402651</v>
      </c>
      <c r="J52" s="15"/>
      <c r="K52" s="15"/>
      <c r="L52" s="15"/>
    </row>
    <row r="53" spans="4:12" x14ac:dyDescent="0.25">
      <c r="F53" s="15"/>
      <c r="G53" s="39"/>
      <c r="H53" s="39"/>
      <c r="I53" s="33"/>
      <c r="J53" s="15"/>
      <c r="K53" s="15"/>
      <c r="L53" s="15"/>
    </row>
    <row r="54" spans="4:12" x14ac:dyDescent="0.25">
      <c r="F54" s="15"/>
      <c r="G54" s="39"/>
      <c r="H54" s="39"/>
      <c r="I54" s="33"/>
      <c r="J54" s="15"/>
      <c r="K54" s="15"/>
      <c r="L54" s="15"/>
    </row>
    <row r="55" spans="4:12" x14ac:dyDescent="0.25">
      <c r="E55" s="12" t="s">
        <v>74</v>
      </c>
      <c r="F55" s="17" t="s">
        <v>72</v>
      </c>
      <c r="G55" s="39"/>
      <c r="H55" s="39"/>
      <c r="I55" s="33"/>
      <c r="J55" s="15"/>
      <c r="K55" s="15"/>
      <c r="L55" s="15"/>
    </row>
    <row r="56" spans="4:12" x14ac:dyDescent="0.25">
      <c r="D56" s="31"/>
      <c r="E56" t="s">
        <v>60</v>
      </c>
      <c r="F56" s="18">
        <f>(K26*86400)/60</f>
        <v>8.9608360543638828</v>
      </c>
      <c r="G56" s="4">
        <v>15</v>
      </c>
      <c r="H56" s="39">
        <f>G56/15</f>
        <v>1</v>
      </c>
      <c r="I56" s="33">
        <f t="shared" si="2"/>
        <v>8.9608360543638828</v>
      </c>
      <c r="J56" s="15"/>
      <c r="K56" s="15"/>
      <c r="L56" s="15"/>
    </row>
    <row r="57" spans="4:12" x14ac:dyDescent="0.25">
      <c r="D57" s="31"/>
      <c r="E57" t="s">
        <v>61</v>
      </c>
      <c r="F57" s="18">
        <f>(K27*86400)/60</f>
        <v>7.0681887365132336</v>
      </c>
      <c r="G57" s="4">
        <v>15</v>
      </c>
      <c r="H57" s="39">
        <f>G57/15</f>
        <v>1</v>
      </c>
      <c r="I57" s="33">
        <f t="shared" si="2"/>
        <v>7.0681887365132336</v>
      </c>
      <c r="J57" s="15"/>
      <c r="K57" s="15"/>
      <c r="L57" s="15"/>
    </row>
    <row r="58" spans="4:12" x14ac:dyDescent="0.25">
      <c r="D58" s="31"/>
      <c r="E58" t="s">
        <v>62</v>
      </c>
      <c r="F58" s="18">
        <f>(K28*86400)/60</f>
        <v>69.777917339534</v>
      </c>
      <c r="G58" s="4">
        <v>15</v>
      </c>
      <c r="H58" s="39">
        <f>G58/15</f>
        <v>1</v>
      </c>
      <c r="I58" s="33">
        <f t="shared" si="2"/>
        <v>69.777917339534</v>
      </c>
      <c r="J58" s="15"/>
      <c r="K58" s="15"/>
      <c r="L58" s="15"/>
    </row>
    <row r="59" spans="4:12" x14ac:dyDescent="0.25">
      <c r="D59" s="31"/>
      <c r="E59" t="s">
        <v>63</v>
      </c>
      <c r="F59" s="18">
        <f>(K29*86400)/60</f>
        <v>7.4317280858060837</v>
      </c>
      <c r="G59" s="4">
        <v>15</v>
      </c>
      <c r="H59" s="39">
        <f>G59/15</f>
        <v>1</v>
      </c>
      <c r="I59" s="33">
        <f t="shared" si="2"/>
        <v>7.4317280858060837</v>
      </c>
      <c r="J59" s="15"/>
      <c r="K59" s="15"/>
      <c r="L59" s="15"/>
    </row>
    <row r="60" spans="4:12" x14ac:dyDescent="0.25">
      <c r="D60" s="31"/>
      <c r="E60" s="20" t="s">
        <v>64</v>
      </c>
      <c r="F60" s="21">
        <f>(K30*86400)/60</f>
        <v>3.0144642100013335</v>
      </c>
      <c r="G60" s="4">
        <v>15</v>
      </c>
      <c r="H60" s="39">
        <f>G60/15</f>
        <v>1</v>
      </c>
      <c r="I60" s="40">
        <f t="shared" si="2"/>
        <v>3.0144642100013335</v>
      </c>
      <c r="J60" s="15"/>
      <c r="K60" s="15"/>
      <c r="L60" s="15"/>
    </row>
    <row r="61" spans="4:12" x14ac:dyDescent="0.25">
      <c r="E61" s="16" t="s">
        <v>73</v>
      </c>
      <c r="F61" s="19">
        <f>SUM(F56:F60)</f>
        <v>96.253134426218537</v>
      </c>
      <c r="G61" s="15"/>
      <c r="H61" s="15"/>
      <c r="I61" s="34">
        <f>SUM(I56:I60)</f>
        <v>96.253134426218537</v>
      </c>
      <c r="J61" s="15"/>
      <c r="K61" s="15"/>
      <c r="L61" s="15"/>
    </row>
    <row r="62" spans="4:12" x14ac:dyDescent="0.25">
      <c r="F62" s="15"/>
      <c r="G62" s="15"/>
      <c r="H62" s="15"/>
      <c r="I62" s="33"/>
      <c r="J62" s="15"/>
      <c r="K62" s="15"/>
      <c r="L62" s="15"/>
    </row>
    <row r="63" spans="4:12" x14ac:dyDescent="0.25">
      <c r="F63" s="15"/>
      <c r="G63" s="15"/>
      <c r="H63" s="15"/>
      <c r="I63" s="33"/>
      <c r="J63" s="15"/>
      <c r="K63" s="15"/>
      <c r="L63" s="15"/>
    </row>
    <row r="64" spans="4:12" x14ac:dyDescent="0.25">
      <c r="D64" s="32"/>
      <c r="E64" s="16" t="s">
        <v>75</v>
      </c>
      <c r="F64" s="19">
        <f>I52+SUM(I56:I59)</f>
        <v>627.21318559024371</v>
      </c>
      <c r="G64" s="15"/>
      <c r="H64" s="41" t="s">
        <v>80</v>
      </c>
      <c r="I64" s="37">
        <f>I39+I52+I61</f>
        <v>634.61262824146957</v>
      </c>
      <c r="J64" s="15"/>
      <c r="K64" s="15"/>
      <c r="L64" s="15"/>
    </row>
    <row r="65" spans="6:12" x14ac:dyDescent="0.25">
      <c r="F65" s="15"/>
      <c r="G65" s="15"/>
      <c r="H65" s="15"/>
      <c r="I65" s="15"/>
      <c r="J65" s="15"/>
      <c r="K65" s="15"/>
      <c r="L65" s="15"/>
    </row>
    <row r="66" spans="6:12" x14ac:dyDescent="0.25">
      <c r="F66" s="15"/>
      <c r="G66" s="15"/>
      <c r="H66" s="15"/>
      <c r="I66" s="15"/>
      <c r="J66" s="15"/>
      <c r="K66" s="15"/>
      <c r="L66" s="15"/>
    </row>
    <row r="67" spans="6:12" x14ac:dyDescent="0.25">
      <c r="F67" s="15"/>
    </row>
    <row r="68" spans="6:12" x14ac:dyDescent="0.25">
      <c r="F68" s="15"/>
    </row>
    <row r="69" spans="6:12" x14ac:dyDescent="0.25">
      <c r="F69" s="15"/>
    </row>
    <row r="70" spans="6:12" x14ac:dyDescent="0.25">
      <c r="F70" s="15"/>
    </row>
    <row r="71" spans="6:12" x14ac:dyDescent="0.25">
      <c r="F71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2025-05-10T02:14:25Z</dcterms:created>
  <dcterms:modified xsi:type="dcterms:W3CDTF">2025-06-03T04:44:06Z</dcterms:modified>
</cp:coreProperties>
</file>