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422B6EF4-B0C9-42CE-BC61-A4436F4DED9E}" xr6:coauthVersionLast="47" xr6:coauthVersionMax="47" xr10:uidLastSave="{00000000-0000-0000-0000-000000000000}"/>
  <bookViews>
    <workbookView xWindow="-120" yWindow="-120" windowWidth="51840" windowHeight="21120" activeTab="2" xr2:uid="{074941BE-DE1D-42A7-800E-05D8C7CAF6B0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3" l="1"/>
  <c r="F64" i="3"/>
  <c r="H60" i="3"/>
  <c r="I60" i="3" s="1"/>
  <c r="H59" i="3"/>
  <c r="H58" i="3"/>
  <c r="H57" i="3"/>
  <c r="I57" i="3" s="1"/>
  <c r="H56" i="3"/>
  <c r="H51" i="3"/>
  <c r="H50" i="3"/>
  <c r="H49" i="3"/>
  <c r="H48" i="3"/>
  <c r="H47" i="3"/>
  <c r="H46" i="3"/>
  <c r="I46" i="3" s="1"/>
  <c r="H45" i="3"/>
  <c r="I45" i="3" s="1"/>
  <c r="H44" i="3"/>
  <c r="H43" i="3"/>
  <c r="H38" i="3"/>
  <c r="H37" i="3"/>
  <c r="H36" i="3"/>
  <c r="I59" i="3"/>
  <c r="I58" i="3"/>
  <c r="I56" i="3"/>
  <c r="I51" i="3"/>
  <c r="I50" i="3"/>
  <c r="I49" i="3"/>
  <c r="I48" i="3"/>
  <c r="I47" i="3"/>
  <c r="I44" i="3"/>
  <c r="I43" i="3"/>
  <c r="I38" i="3"/>
  <c r="I37" i="3"/>
  <c r="I36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F64" i="2"/>
  <c r="F60" i="2"/>
  <c r="F59" i="2"/>
  <c r="F58" i="2"/>
  <c r="F57" i="2"/>
  <c r="F56" i="2"/>
  <c r="F61" i="2" s="1"/>
  <c r="F51" i="2"/>
  <c r="F43" i="2"/>
  <c r="F38" i="2"/>
  <c r="F37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F36" i="2" s="1"/>
  <c r="F39" i="2" s="1"/>
  <c r="K15" i="2"/>
  <c r="K16" i="2"/>
  <c r="K17" i="2"/>
  <c r="K18" i="2"/>
  <c r="F44" i="2" s="1"/>
  <c r="K19" i="2"/>
  <c r="F45" i="2" s="1"/>
  <c r="K20" i="2"/>
  <c r="F46" i="2" s="1"/>
  <c r="K21" i="2"/>
  <c r="F47" i="2" s="1"/>
  <c r="K22" i="2"/>
  <c r="F48" i="2" s="1"/>
  <c r="K23" i="2"/>
  <c r="F49" i="2" s="1"/>
  <c r="K24" i="2"/>
  <c r="F50" i="2" s="1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39" i="3"/>
  <c r="I52" i="3"/>
  <c r="F39" i="3"/>
  <c r="F52" i="3"/>
  <c r="F61" i="3"/>
  <c r="F52" i="2"/>
  <c r="I64" i="3" l="1"/>
</calcChain>
</file>

<file path=xl/sharedStrings.xml><?xml version="1.0" encoding="utf-8"?>
<sst xmlns="http://schemas.openxmlformats.org/spreadsheetml/2006/main" count="334" uniqueCount="87">
  <si>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</si>
  <si>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</si>
  <si>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</si>
  <si>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</si>
  <si>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</si>
  <si>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</si>
  <si>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</si>
  <si>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</si>
  <si>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</si>
  <si>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</si>
  <si>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</si>
  <si>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</si>
  <si>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</si>
  <si>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</si>
  <si>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</si>
  <si>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</si>
  <si>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</si>
  <si>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</si>
  <si>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</si>
  <si>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</si>
  <si>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</si>
  <si>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</si>
  <si>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</si>
  <si>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</si>
  <si>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</si>
  <si>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</si>
  <si>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</si>
  <si>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</si>
  <si>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</si>
  <si>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</si>
  <si>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</si>
  <si>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</si>
  <si>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</si>
  <si>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</si>
  <si>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</si>
  <si>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</si>
  <si>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</si>
  <si>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</si>
  <si>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</si>
  <si>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</si>
  <si>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</si>
  <si>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</si>
  <si>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</si>
  <si>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</si>
  <si>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</si>
  <si>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</si>
  <si>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</si>
  <si>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</si>
  <si>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</si>
  <si>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</si>
  <si>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</si>
  <si>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</si>
  <si>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</si>
  <si>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</si>
  <si>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</si>
  <si>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</si>
  <si>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</si>
  <si>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</si>
  <si>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</si>
  <si>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</si>
  <si>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</si>
  <si>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</si>
  <si>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</si>
  <si>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</si>
  <si>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</si>
  <si>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</si>
  <si>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</si>
  <si>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</si>
  <si>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</si>
  <si>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</si>
  <si>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8</t>
  </si>
  <si>
    <t>Task Name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</si>
  <si>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</si>
  <si>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</si>
  <si>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</si>
  <si>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</si>
  <si>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</si>
  <si>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</si>
  <si>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</si>
  <si>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</si>
  <si>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</si>
  <si>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</si>
  <si>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*2 failed logins</t>
  </si>
  <si>
    <t>Group 1 - Task Name</t>
  </si>
  <si>
    <t>Group 2 - Task Name</t>
  </si>
  <si>
    <t>Group 2 and Group 3 Tasks Combined (Hyp. 2)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</si>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</sst>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h]:mm:ss.00"/>
    <numFmt numFmtId="165" formatCode="0\ "/>
    <numFmt numFmtId="166" formatCode="0.000000"/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C3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2" fontId="1" fillId="0" borderId="0" xfId="0" applyNumberFormat="1" applyFont="1"/>
    <xf numFmtId="168" fontId="0" fillId="0" borderId="0" xfId="0" applyNumberFormat="1"/>
    <xf numFmtId="1" fontId="0" fillId="0" borderId="0" xfId="0" applyNumberFormat="1"/>
    <xf numFmtId="167" fontId="0" fillId="0" borderId="1" xfId="0" applyNumberFormat="1" applyBorder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30FCA-2E46-29A6-6E0B-57995C332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C8747E-6D4B-0BBB-CB34-35DC525F1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5FFC3C-8580-4321-8504-D4ECB10C8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A73A-094E-409F-824D-9ABA88F3DEE1}">
  <dimension ref="A1:E30"/>
  <sheetViews>
    <sheetView workbookViewId="0">
      <selection activeCell="H25" sqref="H25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1.85546875" customWidth="1"/>
  </cols>
  <sheetData>
    <row r="1" spans="1:5" x14ac:dyDescent="0.25">
      <c r="A1" s="47"/>
    </row>
    <row r="2" spans="1:5" ht="18.75" x14ac:dyDescent="0.3">
      <c r="A2" s="47"/>
      <c r="B2" s="6" t="s">
        <v>16</v>
      </c>
    </row>
    <row r="3" spans="1:5" ht="17.25" x14ac:dyDescent="0.3">
      <c r="A3" s="47"/>
      <c r="B3" s="7" t="s">
        <v>17</v>
      </c>
    </row>
    <row r="4" spans="1:5" x14ac:dyDescent="0.25">
      <c r="A4" s="47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30305</v>
      </c>
    </row>
    <row r="10" spans="1:5" x14ac:dyDescent="0.25">
      <c r="A10" s="5" t="s">
        <v>21</v>
      </c>
      <c r="B10" s="8">
        <v>100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12030.4587134946 / 86400</f>
        <v>0.13924142029507638</v>
      </c>
    </row>
    <row r="15" spans="1:5" x14ac:dyDescent="0.25">
      <c r="B15" s="1" t="s">
        <v>2</v>
      </c>
      <c r="C15" s="2">
        <f xml:space="preserve"> 25425.5936407196 / 86400</f>
        <v>0.29427770417499538</v>
      </c>
    </row>
    <row r="16" spans="1:5" x14ac:dyDescent="0.25">
      <c r="B16" s="36" t="s">
        <v>3</v>
      </c>
      <c r="C16" s="37">
        <f xml:space="preserve"> 18306.1480248497 / 86400</f>
        <v>0.21187671325057522</v>
      </c>
      <c r="D16" s="38">
        <f>(C16*86400)/60</f>
        <v>305.10246708082832</v>
      </c>
      <c r="E16" s="39" t="s">
        <v>77</v>
      </c>
    </row>
    <row r="17" spans="2:3" x14ac:dyDescent="0.25">
      <c r="B17" s="1" t="s">
        <v>4</v>
      </c>
      <c r="C17" s="2">
        <f xml:space="preserve"> 2663.13692895134 / 86400</f>
        <v>3.0823344085084952E-2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F9EC-94C8-4C32-BF46-740FB965C764}">
  <dimension ref="A1:X70"/>
  <sheetViews>
    <sheetView topLeftCell="A22" workbookViewId="0">
      <selection activeCell="H51" sqref="H51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7"/>
    </row>
    <row r="2" spans="1:24" ht="18.75" x14ac:dyDescent="0.3">
      <c r="A2" s="47"/>
      <c r="B2" s="6" t="s">
        <v>16</v>
      </c>
    </row>
    <row r="3" spans="1:24" ht="17.25" x14ac:dyDescent="0.3">
      <c r="A3" s="47"/>
      <c r="B3" s="7" t="s">
        <v>66</v>
      </c>
    </row>
    <row r="4" spans="1:24" x14ac:dyDescent="0.25">
      <c r="A4" s="47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30305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8" t="s">
        <v>22</v>
      </c>
      <c r="C11" s="49"/>
      <c r="D11" s="48" t="s">
        <v>23</v>
      </c>
      <c r="E11" s="49"/>
      <c r="F11" s="50" t="s">
        <v>24</v>
      </c>
      <c r="I11" s="48" t="s">
        <v>25</v>
      </c>
      <c r="J11" s="49"/>
      <c r="K11" s="49"/>
      <c r="L11" s="49"/>
      <c r="M11" s="49"/>
      <c r="N11" s="52" t="s">
        <v>26</v>
      </c>
      <c r="P11" s="48" t="s">
        <v>27</v>
      </c>
      <c r="Q11" s="49"/>
      <c r="R11" s="49"/>
      <c r="S11" s="49"/>
      <c r="T11" s="52" t="s">
        <v>28</v>
      </c>
      <c r="V11" s="48" t="s">
        <v>29</v>
      </c>
      <c r="W11" s="49"/>
      <c r="X11" s="49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51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3"/>
      <c r="P12" s="12" t="s">
        <v>38</v>
      </c>
      <c r="Q12" s="12" t="s">
        <v>39</v>
      </c>
      <c r="R12" s="12" t="s">
        <v>40</v>
      </c>
      <c r="S12" s="12" t="s">
        <v>37</v>
      </c>
      <c r="T12" s="53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102</v>
      </c>
      <c r="H14" s="9"/>
      <c r="I14" s="2">
        <f xml:space="preserve"> 77.6244519923928 / 86400</f>
        <v>8.984311573193612E-4</v>
      </c>
      <c r="J14" s="2">
        <f xml:space="preserve"> 324.726292585827 / 86400</f>
        <v>3.7584061641878128E-3</v>
      </c>
      <c r="K14" s="23">
        <f xml:space="preserve"> 198.523194201151 / 86400</f>
        <v>2.2977221551059145E-3</v>
      </c>
      <c r="L14" s="2">
        <f xml:space="preserve"> 42.3534934427663 / 86400</f>
        <v>4.9020247040238774E-4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2</v>
      </c>
      <c r="R14" s="14">
        <v>0</v>
      </c>
      <c r="S14" s="3">
        <v>0</v>
      </c>
      <c r="T14" s="3">
        <v>98.039215686274503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100</v>
      </c>
      <c r="H15" s="9"/>
      <c r="I15" s="2">
        <f xml:space="preserve"> 6.286642809532 / 86400</f>
        <v>7.2762069554768526E-5</v>
      </c>
      <c r="J15" s="2">
        <f xml:space="preserve"> 25.090899042362 / 86400</f>
        <v>2.9040392410141204E-4</v>
      </c>
      <c r="K15" s="23">
        <f xml:space="preserve"> 15.219311241144 / 86400</f>
        <v>1.7614943566138889E-4</v>
      </c>
      <c r="L15" s="2">
        <f xml:space="preserve"> 4.31989102904539 / 86400</f>
        <v>4.9998738762099426E-5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100</v>
      </c>
      <c r="H16" s="9"/>
      <c r="I16" s="2">
        <f xml:space="preserve"> 16.703936153489 / 86400</f>
        <v>1.9333259436908566E-4</v>
      </c>
      <c r="J16" s="2">
        <f xml:space="preserve"> 42.052875663915 / 86400</f>
        <v>4.8672309796197918E-4</v>
      </c>
      <c r="K16" s="23">
        <f xml:space="preserve"> 29.6768325296398 / 86400</f>
        <v>3.4348185798194214E-4</v>
      </c>
      <c r="L16" s="2">
        <f xml:space="preserve"> 7.56726796377025 / 86400</f>
        <v>8.758411995104456E-5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100</v>
      </c>
      <c r="H17" s="9"/>
      <c r="I17" s="2">
        <f xml:space="preserve"> 75.638797998526 / 86400</f>
        <v>8.7544905090886581E-4</v>
      </c>
      <c r="J17" s="2">
        <f xml:space="preserve"> 395.417726779461 / 86400</f>
        <v>4.5765940599474652E-3</v>
      </c>
      <c r="K17" s="25">
        <f xml:space="preserve"> 192.708104115646 / 86400</f>
        <v>2.2304178717088658E-3</v>
      </c>
      <c r="L17" s="2">
        <f xml:space="preserve"> 71.6660381825045 / 86400</f>
        <v>8.2946803451972799E-4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200</v>
      </c>
      <c r="H18" s="9"/>
      <c r="I18" s="2">
        <f xml:space="preserve"> 12.8643458540901 / 86400</f>
        <v>1.4889289182974652E-4</v>
      </c>
      <c r="J18" s="2">
        <f xml:space="preserve"> 112.299511283401 / 86400</f>
        <v>1.2997628620764006E-3</v>
      </c>
      <c r="K18" s="25">
        <f xml:space="preserve"> 66.3407240356864 / 86400</f>
        <v>7.6783245411674082E-4</v>
      </c>
      <c r="L18" s="2">
        <f xml:space="preserve"> 19.394774082813 / 86400</f>
        <v>2.2447655188440974E-4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200</v>
      </c>
      <c r="H19" s="9"/>
      <c r="I19" s="2">
        <f xml:space="preserve"> 25.8922038455003 / 86400</f>
        <v>2.9967828524884608E-4</v>
      </c>
      <c r="J19" s="2">
        <f xml:space="preserve"> 74.4175017864519 / 86400</f>
        <v>8.61313678083934E-4</v>
      </c>
      <c r="K19" s="25">
        <f xml:space="preserve"> 49.0014299498686 / 86400</f>
        <v>5.6714617997533101E-4</v>
      </c>
      <c r="L19" s="2">
        <f xml:space="preserve"> 8.96284140536611 / 86400</f>
        <v>1.0373659033988553E-4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200</v>
      </c>
      <c r="H20" s="9"/>
      <c r="I20" s="2">
        <f xml:space="preserve"> 39.7641889232971 / 86400</f>
        <v>4.6023366809371641E-4</v>
      </c>
      <c r="J20" s="2">
        <f xml:space="preserve"> 97.559203422889 / 86400</f>
        <v>1.1291574470241783E-3</v>
      </c>
      <c r="K20" s="25">
        <f xml:space="preserve"> 69.6770936276239 / 86400</f>
        <v>8.0644784291231369E-4</v>
      </c>
      <c r="L20" s="2">
        <f xml:space="preserve"> 10.8386734561264 / 86400</f>
        <v>1.2544760944590742E-4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200</v>
      </c>
      <c r="H21" s="9"/>
      <c r="I21" s="2">
        <f xml:space="preserve"> 611.844696682144 / 86400</f>
        <v>7.0815358412285182E-3</v>
      </c>
      <c r="J21" s="2">
        <f xml:space="preserve"> 9137.31875900517 / 86400</f>
        <v>0.10575600415515242</v>
      </c>
      <c r="K21" s="25">
        <f xml:space="preserve"> 4081.24044399229 / 86400</f>
        <v>4.7236579212873726E-2</v>
      </c>
      <c r="L21" s="2">
        <f xml:space="preserve"> 1716.58737684552 / 86400</f>
        <v>1.9867909454230556E-2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30</v>
      </c>
      <c r="H22" s="9"/>
      <c r="I22" s="2">
        <f xml:space="preserve"> 813.21398256761 / 86400</f>
        <v>9.4121988723103005E-3</v>
      </c>
      <c r="J22" s="2">
        <f xml:space="preserve"> 2278.90968509375 / 86400</f>
        <v>2.6376269503399882E-2</v>
      </c>
      <c r="K22" s="25">
        <f xml:space="preserve"> 1463.13834815501 / 86400</f>
        <v>1.6934471622164465E-2</v>
      </c>
      <c r="L22" s="2">
        <f xml:space="preserve"> 413.598595135171 / 86400</f>
        <v>4.7870207770274427E-3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200</v>
      </c>
      <c r="H23" s="9"/>
      <c r="I23" s="2">
        <f xml:space="preserve"> 632.498270776201 / 86400</f>
        <v>7.3205818376875119E-3</v>
      </c>
      <c r="J23" s="2">
        <f xml:space="preserve"> 1632.0320264748 / 86400</f>
        <v>1.8889259565680556E-2</v>
      </c>
      <c r="K23" s="25">
        <f xml:space="preserve"> 1008.02355328782 / 86400</f>
        <v>1.1666939274164585E-2</v>
      </c>
      <c r="L23" s="2">
        <f xml:space="preserve"> 222.413936000716 / 86400</f>
        <v>2.5742353703786577E-3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200</v>
      </c>
      <c r="H24" s="9"/>
      <c r="I24" s="2">
        <f xml:space="preserve"> 8.1963294438101 / 86400</f>
        <v>9.4864924118172453E-5</v>
      </c>
      <c r="J24" s="2">
        <f xml:space="preserve"> 50.4625991303983 / 86400</f>
        <v>5.8405786030553593E-4</v>
      </c>
      <c r="K24" s="25">
        <f xml:space="preserve"> 28.957055692967 / 86400</f>
        <v>3.3515110755748842E-4</v>
      </c>
      <c r="L24" s="2">
        <f xml:space="preserve"> 14.7238792254488 / 86400</f>
        <v>1.7041526881306481E-4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200</v>
      </c>
      <c r="H25" s="9"/>
      <c r="I25" s="2">
        <f xml:space="preserve"> 154.315094128539 / 86400</f>
        <v>1.7860543301914235E-3</v>
      </c>
      <c r="J25" s="2">
        <f xml:space="preserve"> 1193.97389621636 / 86400</f>
        <v>1.381914231731898E-2</v>
      </c>
      <c r="K25" s="25">
        <f xml:space="preserve"> 544.139284056182 / 86400</f>
        <v>6.2979083802798836E-3</v>
      </c>
      <c r="L25" s="2">
        <f xml:space="preserve"> 219.295390461164 / 86400</f>
        <v>2.5381410933005095E-3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100</v>
      </c>
      <c r="H26" s="9"/>
      <c r="I26" s="2">
        <f xml:space="preserve"> 292.9266052516 / 86400</f>
        <v>3.3903542274490738E-3</v>
      </c>
      <c r="J26" s="2">
        <f xml:space="preserve"> 888.380052246801 / 86400</f>
        <v>1.0282176530634271E-2</v>
      </c>
      <c r="K26" s="27">
        <f xml:space="preserve"> 590.13438746133 / 86400</f>
        <v>6.8302591141357642E-3</v>
      </c>
      <c r="L26" s="2">
        <f xml:space="preserve"> 121.672127860191 / 86400</f>
        <v>1.4082422206040624E-3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100</v>
      </c>
      <c r="H27" s="9"/>
      <c r="I27" s="2">
        <f xml:space="preserve"> 232.692195441401 / 86400</f>
        <v>2.6931967064976968E-3</v>
      </c>
      <c r="J27" s="2">
        <f xml:space="preserve"> 564.361521065901 / 86400</f>
        <v>6.5319620493738545E-3</v>
      </c>
      <c r="K27" s="27">
        <f xml:space="preserve"> 391.877807384714 / 86400</f>
        <v>4.5356227706564124E-3</v>
      </c>
      <c r="L27" s="2">
        <f xml:space="preserve"> 70.2203439220965 / 86400</f>
        <v>8.1273546206130217E-4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100</v>
      </c>
      <c r="H28" s="9"/>
      <c r="I28" s="2">
        <f xml:space="preserve"> 3102.7455170084 / 86400</f>
        <v>3.5911406446856482E-2</v>
      </c>
      <c r="J28" s="2">
        <f xml:space="preserve"> 5215.8998979041 / 86400</f>
        <v>6.0369211781297449E-2</v>
      </c>
      <c r="K28" s="27">
        <f xml:space="preserve"> 4115.62664288888 / 86400</f>
        <v>4.7634567626028704E-2</v>
      </c>
      <c r="L28" s="2">
        <f xml:space="preserve"> 466.98694820877 / 86400</f>
        <v>5.4049415301940969E-3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100</v>
      </c>
      <c r="H29" s="9"/>
      <c r="I29" s="2">
        <f xml:space="preserve"> 324.502540218 / 86400</f>
        <v>3.755816437708333E-3</v>
      </c>
      <c r="J29" s="2">
        <f xml:space="preserve"> 571.102067783999 / 86400</f>
        <v>6.6099776363888777E-3</v>
      </c>
      <c r="K29" s="27">
        <f xml:space="preserve"> 454.909654224043 / 86400</f>
        <v>5.2651580350004971E-3</v>
      </c>
      <c r="L29" s="2">
        <f xml:space="preserve"> 52.2877199538653 / 86400</f>
        <v>6.0518194391047798E-4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100</v>
      </c>
      <c r="H30" s="9"/>
      <c r="I30" s="2">
        <f xml:space="preserve"> 80.3840604705983 / 86400</f>
        <v>9.3037107026155443E-4</v>
      </c>
      <c r="J30" s="2">
        <f xml:space="preserve"> 267.520678326302 / 86400</f>
        <v>3.096304147295162E-3</v>
      </c>
      <c r="K30" s="27">
        <f xml:space="preserve"> 179.800953187705 / 86400</f>
        <v>2.0810295507836226E-3</v>
      </c>
      <c r="L30" s="2">
        <f xml:space="preserve"> 37.7603956336739 / 86400</f>
        <v>4.3704161613048495E-4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4:6" x14ac:dyDescent="0.25">
      <c r="E35" s="12" t="s">
        <v>71</v>
      </c>
      <c r="F35" s="18" t="s">
        <v>73</v>
      </c>
    </row>
    <row r="36" spans="4:6" x14ac:dyDescent="0.25">
      <c r="D36" s="31"/>
      <c r="E36" t="s">
        <v>48</v>
      </c>
      <c r="F36" s="16">
        <f>(K14*86400)/60</f>
        <v>3.3087199033525172</v>
      </c>
    </row>
    <row r="37" spans="4:6" x14ac:dyDescent="0.25">
      <c r="D37" s="31"/>
      <c r="E37" t="s">
        <v>49</v>
      </c>
      <c r="F37" s="16">
        <f>(K15*86400)/60</f>
        <v>0.2536551873524</v>
      </c>
    </row>
    <row r="38" spans="4:6" x14ac:dyDescent="0.25">
      <c r="D38" s="31"/>
      <c r="E38" s="19" t="s">
        <v>50</v>
      </c>
      <c r="F38" s="20">
        <f>(K16*86400)/60</f>
        <v>0.49461387549399666</v>
      </c>
    </row>
    <row r="39" spans="4:6" x14ac:dyDescent="0.25">
      <c r="E39" s="17" t="s">
        <v>72</v>
      </c>
      <c r="F39" s="21">
        <f>SUM(F36:F38)</f>
        <v>4.0569889661989142</v>
      </c>
    </row>
    <row r="40" spans="4:6" x14ac:dyDescent="0.25">
      <c r="F40" s="15"/>
    </row>
    <row r="41" spans="4:6" x14ac:dyDescent="0.25">
      <c r="F41" s="15"/>
    </row>
    <row r="42" spans="4:6" x14ac:dyDescent="0.25">
      <c r="E42" s="12" t="s">
        <v>71</v>
      </c>
      <c r="F42" s="18" t="s">
        <v>73</v>
      </c>
    </row>
    <row r="43" spans="4:6" x14ac:dyDescent="0.25">
      <c r="D43" s="32"/>
      <c r="E43" t="s">
        <v>51</v>
      </c>
      <c r="F43" s="16">
        <f t="shared" ref="F43:F48" si="1">(K17*86400)/60</f>
        <v>3.2118017352607668</v>
      </c>
    </row>
    <row r="44" spans="4:6" x14ac:dyDescent="0.25">
      <c r="D44" s="32"/>
      <c r="E44" t="s">
        <v>52</v>
      </c>
      <c r="F44" s="16">
        <f t="shared" si="1"/>
        <v>1.1056787339281067</v>
      </c>
    </row>
    <row r="45" spans="4:6" x14ac:dyDescent="0.25">
      <c r="D45" s="32"/>
      <c r="E45" t="s">
        <v>53</v>
      </c>
      <c r="F45" s="16">
        <f t="shared" si="1"/>
        <v>0.81669049916447667</v>
      </c>
    </row>
    <row r="46" spans="4:6" x14ac:dyDescent="0.25">
      <c r="D46" s="32"/>
      <c r="E46" t="s">
        <v>54</v>
      </c>
      <c r="F46" s="16">
        <f t="shared" si="1"/>
        <v>1.1612848937937317</v>
      </c>
    </row>
    <row r="47" spans="4:6" x14ac:dyDescent="0.25">
      <c r="D47" s="32"/>
      <c r="E47" t="s">
        <v>55</v>
      </c>
      <c r="F47" s="16">
        <f t="shared" si="1"/>
        <v>68.020674066538163</v>
      </c>
    </row>
    <row r="48" spans="4:6" x14ac:dyDescent="0.25">
      <c r="D48" s="32"/>
      <c r="E48" t="s">
        <v>56</v>
      </c>
      <c r="F48" s="16">
        <f t="shared" si="1"/>
        <v>24.385639135916833</v>
      </c>
    </row>
    <row r="49" spans="4:6" x14ac:dyDescent="0.25">
      <c r="D49" s="32"/>
      <c r="E49" t="s">
        <v>57</v>
      </c>
      <c r="F49" s="16">
        <f t="shared" ref="F49" si="2">(K23*86400)/60</f>
        <v>16.800392554797</v>
      </c>
    </row>
    <row r="50" spans="4:6" x14ac:dyDescent="0.25">
      <c r="D50" s="32"/>
      <c r="E50" t="s">
        <v>58</v>
      </c>
      <c r="F50" s="16">
        <f>(K24*86400)/60</f>
        <v>0.48261759488278333</v>
      </c>
    </row>
    <row r="51" spans="4:6" x14ac:dyDescent="0.25">
      <c r="D51" s="32"/>
      <c r="E51" s="19" t="s">
        <v>59</v>
      </c>
      <c r="F51" s="20">
        <f>(K25*86400)/60</f>
        <v>9.0689880676030334</v>
      </c>
    </row>
    <row r="52" spans="4:6" x14ac:dyDescent="0.25">
      <c r="E52" s="17" t="s">
        <v>74</v>
      </c>
      <c r="F52" s="21">
        <f>SUM(F43:F51)</f>
        <v>125.05376728188489</v>
      </c>
    </row>
    <row r="53" spans="4:6" x14ac:dyDescent="0.25">
      <c r="F53" s="15"/>
    </row>
    <row r="54" spans="4:6" x14ac:dyDescent="0.25">
      <c r="F54" s="15"/>
    </row>
    <row r="55" spans="4:6" x14ac:dyDescent="0.25">
      <c r="E55" s="28" t="s">
        <v>75</v>
      </c>
      <c r="F55" s="29" t="s">
        <v>73</v>
      </c>
    </row>
    <row r="56" spans="4:6" x14ac:dyDescent="0.25">
      <c r="D56" s="30"/>
      <c r="E56" t="s">
        <v>60</v>
      </c>
      <c r="F56" s="16">
        <f>(K26*86400)/60</f>
        <v>9.8355731243555002</v>
      </c>
    </row>
    <row r="57" spans="4:6" x14ac:dyDescent="0.25">
      <c r="D57" s="30"/>
      <c r="E57" t="s">
        <v>61</v>
      </c>
      <c r="F57" s="16">
        <f>(K27*86400)/60</f>
        <v>6.531296789745233</v>
      </c>
    </row>
    <row r="58" spans="4:6" x14ac:dyDescent="0.25">
      <c r="D58" s="30"/>
      <c r="E58" t="s">
        <v>62</v>
      </c>
      <c r="F58" s="16">
        <f>(K28*86400)/60</f>
        <v>68.593777381481331</v>
      </c>
    </row>
    <row r="59" spans="4:6" x14ac:dyDescent="0.25">
      <c r="D59" s="30"/>
      <c r="E59" t="s">
        <v>63</v>
      </c>
      <c r="F59" s="16">
        <f>(K29*86400)/60</f>
        <v>7.5818275704007156</v>
      </c>
    </row>
    <row r="60" spans="4:6" x14ac:dyDescent="0.25">
      <c r="D60" s="30"/>
      <c r="E60" s="19" t="s">
        <v>64</v>
      </c>
      <c r="F60" s="20">
        <f>(K30*86400)/60</f>
        <v>2.9966825531284162</v>
      </c>
    </row>
    <row r="61" spans="4:6" x14ac:dyDescent="0.25">
      <c r="E61" s="17" t="s">
        <v>74</v>
      </c>
      <c r="F61" s="21">
        <f>SUM(F56:F60)</f>
        <v>95.539157419111206</v>
      </c>
    </row>
    <row r="62" spans="4:6" x14ac:dyDescent="0.25">
      <c r="F62" s="15"/>
    </row>
    <row r="63" spans="4:6" x14ac:dyDescent="0.25">
      <c r="F63" s="15"/>
    </row>
    <row r="64" spans="4:6" x14ac:dyDescent="0.25">
      <c r="D64" s="33"/>
      <c r="E64" s="17" t="s">
        <v>76</v>
      </c>
      <c r="F64" s="21">
        <f>F52+SUM(F56:F59)</f>
        <v>217.59624214786766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C40E-B31E-4745-92B2-64E1570A57E9}">
  <dimension ref="A1:L70"/>
  <sheetViews>
    <sheetView tabSelected="1" topLeftCell="A25" workbookViewId="0">
      <selection activeCell="R57" sqref="R5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7"/>
    </row>
    <row r="2" spans="1:12" ht="18.75" x14ac:dyDescent="0.3">
      <c r="A2" s="47"/>
      <c r="B2" s="6" t="s">
        <v>16</v>
      </c>
    </row>
    <row r="3" spans="1:12" ht="17.25" x14ac:dyDescent="0.3">
      <c r="A3" s="47"/>
      <c r="B3" s="7" t="s">
        <v>66</v>
      </c>
    </row>
    <row r="4" spans="1:12" x14ac:dyDescent="0.25">
      <c r="A4" s="47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30305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8" t="s">
        <v>22</v>
      </c>
      <c r="C11" s="49"/>
      <c r="D11" s="48" t="s">
        <v>23</v>
      </c>
      <c r="E11" s="49"/>
      <c r="F11" s="50" t="s">
        <v>24</v>
      </c>
      <c r="I11" s="48" t="s">
        <v>25</v>
      </c>
      <c r="J11" s="49"/>
      <c r="K11" s="49"/>
      <c r="L11" s="49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51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102</v>
      </c>
      <c r="H14" s="9" t="s">
        <v>82</v>
      </c>
      <c r="I14" s="2">
        <f xml:space="preserve"> 77.6244519923928 / 86400</f>
        <v>8.984311573193612E-4</v>
      </c>
      <c r="J14" s="2">
        <f xml:space="preserve"> 324.726292585827 / 86400</f>
        <v>3.7584061641878128E-3</v>
      </c>
      <c r="K14" s="23">
        <f xml:space="preserve"> 198.523194201151 / 86400</f>
        <v>2.2977221551059145E-3</v>
      </c>
      <c r="L14" s="2">
        <f xml:space="preserve"> 42.3534934427663 / 86400</f>
        <v>4.9020247040238774E-4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100</v>
      </c>
      <c r="H15" s="9"/>
      <c r="I15" s="2">
        <f xml:space="preserve"> 6.286642809532 / 86400</f>
        <v>7.2762069554768526E-5</v>
      </c>
      <c r="J15" s="2">
        <f xml:space="preserve"> 25.090899042362 / 86400</f>
        <v>2.9040392410141204E-4</v>
      </c>
      <c r="K15" s="23">
        <f xml:space="preserve"> 15.219311241144 / 86400</f>
        <v>1.7614943566138889E-4</v>
      </c>
      <c r="L15" s="2">
        <f xml:space="preserve"> 4.31989102904539 / 86400</f>
        <v>4.9998738762099426E-5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100</v>
      </c>
      <c r="H16" s="9"/>
      <c r="I16" s="2">
        <f xml:space="preserve"> 16.703936153489 / 86400</f>
        <v>1.9333259436908566E-4</v>
      </c>
      <c r="J16" s="2">
        <f xml:space="preserve"> 42.052875663915 / 86400</f>
        <v>4.8672309796197918E-4</v>
      </c>
      <c r="K16" s="23">
        <f xml:space="preserve"> 29.6768325296398 / 86400</f>
        <v>3.4348185798194214E-4</v>
      </c>
      <c r="L16" s="2">
        <f xml:space="preserve"> 7.56726796377025 / 86400</f>
        <v>8.758411995104456E-5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100</v>
      </c>
      <c r="H17" s="9"/>
      <c r="I17" s="2">
        <f xml:space="preserve"> 75.638797998526 / 86400</f>
        <v>8.7544905090886581E-4</v>
      </c>
      <c r="J17" s="2">
        <f xml:space="preserve"> 395.417726779461 / 86400</f>
        <v>4.5765940599474652E-3</v>
      </c>
      <c r="K17" s="25">
        <f xml:space="preserve"> 192.708104115646 / 86400</f>
        <v>2.2304178717088658E-3</v>
      </c>
      <c r="L17" s="2">
        <f xml:space="preserve"> 71.6660381825045 / 86400</f>
        <v>8.2946803451972799E-4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200</v>
      </c>
      <c r="H18" s="9"/>
      <c r="I18" s="2">
        <f xml:space="preserve"> 12.8643458540901 / 86400</f>
        <v>1.4889289182974652E-4</v>
      </c>
      <c r="J18" s="2">
        <f xml:space="preserve"> 112.299511283401 / 86400</f>
        <v>1.2997628620764006E-3</v>
      </c>
      <c r="K18" s="25">
        <f xml:space="preserve"> 66.3407240356864 / 86400</f>
        <v>7.6783245411674082E-4</v>
      </c>
      <c r="L18" s="2">
        <f xml:space="preserve"> 19.394774082813 / 86400</f>
        <v>2.2447655188440974E-4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200</v>
      </c>
      <c r="H19" s="9"/>
      <c r="I19" s="2">
        <f xml:space="preserve"> 25.8922038455003 / 86400</f>
        <v>2.9967828524884608E-4</v>
      </c>
      <c r="J19" s="2">
        <f xml:space="preserve"> 74.4175017864519 / 86400</f>
        <v>8.61313678083934E-4</v>
      </c>
      <c r="K19" s="25">
        <f xml:space="preserve"> 49.0014299498686 / 86400</f>
        <v>5.6714617997533101E-4</v>
      </c>
      <c r="L19" s="2">
        <f xml:space="preserve"> 8.96284140536611 / 86400</f>
        <v>1.0373659033988553E-4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200</v>
      </c>
      <c r="H20" s="9"/>
      <c r="I20" s="2">
        <f xml:space="preserve"> 39.7641889232971 / 86400</f>
        <v>4.6023366809371641E-4</v>
      </c>
      <c r="J20" s="2">
        <f xml:space="preserve"> 97.559203422889 / 86400</f>
        <v>1.1291574470241783E-3</v>
      </c>
      <c r="K20" s="25">
        <f xml:space="preserve"> 69.6770936276239 / 86400</f>
        <v>8.0644784291231369E-4</v>
      </c>
      <c r="L20" s="2">
        <f xml:space="preserve"> 10.8386734561264 / 86400</f>
        <v>1.2544760944590742E-4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200</v>
      </c>
      <c r="H21" s="9"/>
      <c r="I21" s="2">
        <f xml:space="preserve"> 611.844696682144 / 86400</f>
        <v>7.0815358412285182E-3</v>
      </c>
      <c r="J21" s="2">
        <f xml:space="preserve"> 9137.31875900517 / 86400</f>
        <v>0.10575600415515242</v>
      </c>
      <c r="K21" s="25">
        <f xml:space="preserve"> 4081.24044399229 / 86400</f>
        <v>4.7236579212873726E-2</v>
      </c>
      <c r="L21" s="2">
        <f xml:space="preserve"> 1716.58737684552 / 86400</f>
        <v>1.9867909454230556E-2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30</v>
      </c>
      <c r="H22" s="9"/>
      <c r="I22" s="2">
        <f xml:space="preserve"> 813.21398256761 / 86400</f>
        <v>9.4121988723103005E-3</v>
      </c>
      <c r="J22" s="2">
        <f xml:space="preserve"> 2278.90968509375 / 86400</f>
        <v>2.6376269503399882E-2</v>
      </c>
      <c r="K22" s="25">
        <f xml:space="preserve"> 1463.13834815501 / 86400</f>
        <v>1.6934471622164465E-2</v>
      </c>
      <c r="L22" s="2">
        <f xml:space="preserve"> 413.598595135171 / 86400</f>
        <v>4.7870207770274427E-3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200</v>
      </c>
      <c r="H23" s="9"/>
      <c r="I23" s="2">
        <f xml:space="preserve"> 632.498270776201 / 86400</f>
        <v>7.3205818376875119E-3</v>
      </c>
      <c r="J23" s="2">
        <f xml:space="preserve"> 1632.0320264748 / 86400</f>
        <v>1.8889259565680556E-2</v>
      </c>
      <c r="K23" s="25">
        <f xml:space="preserve"> 1008.02355328782 / 86400</f>
        <v>1.1666939274164585E-2</v>
      </c>
      <c r="L23" s="2">
        <f xml:space="preserve"> 222.413936000716 / 86400</f>
        <v>2.5742353703786577E-3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200</v>
      </c>
      <c r="H24" s="9"/>
      <c r="I24" s="2">
        <f xml:space="preserve"> 8.1963294438101 / 86400</f>
        <v>9.4864924118172453E-5</v>
      </c>
      <c r="J24" s="2">
        <f xml:space="preserve"> 50.4625991303983 / 86400</f>
        <v>5.8405786030553593E-4</v>
      </c>
      <c r="K24" s="25">
        <f xml:space="preserve"> 28.957055692967 / 86400</f>
        <v>3.3515110755748842E-4</v>
      </c>
      <c r="L24" s="2">
        <f xml:space="preserve"> 14.7238792254488 / 86400</f>
        <v>1.7041526881306481E-4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200</v>
      </c>
      <c r="H25" s="9"/>
      <c r="I25" s="2">
        <f xml:space="preserve"> 154.315094128539 / 86400</f>
        <v>1.7860543301914235E-3</v>
      </c>
      <c r="J25" s="2">
        <f xml:space="preserve"> 1193.97389621636 / 86400</f>
        <v>1.381914231731898E-2</v>
      </c>
      <c r="K25" s="25">
        <f xml:space="preserve"> 544.139284056182 / 86400</f>
        <v>6.2979083802798836E-3</v>
      </c>
      <c r="L25" s="2">
        <f xml:space="preserve"> 219.295390461164 / 86400</f>
        <v>2.5381410933005095E-3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100</v>
      </c>
      <c r="H26" s="9"/>
      <c r="I26" s="2">
        <f xml:space="preserve"> 292.9266052516 / 86400</f>
        <v>3.3903542274490738E-3</v>
      </c>
      <c r="J26" s="2">
        <f xml:space="preserve"> 888.380052246801 / 86400</f>
        <v>1.0282176530634271E-2</v>
      </c>
      <c r="K26" s="27">
        <f xml:space="preserve"> 590.13438746133 / 86400</f>
        <v>6.8302591141357642E-3</v>
      </c>
      <c r="L26" s="2">
        <f xml:space="preserve"> 121.672127860191 / 86400</f>
        <v>1.4082422206040624E-3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100</v>
      </c>
      <c r="H27" s="9"/>
      <c r="I27" s="2">
        <f xml:space="preserve"> 232.692195441401 / 86400</f>
        <v>2.6931967064976968E-3</v>
      </c>
      <c r="J27" s="2">
        <f xml:space="preserve"> 564.361521065901 / 86400</f>
        <v>6.5319620493738545E-3</v>
      </c>
      <c r="K27" s="27">
        <f xml:space="preserve"> 391.877807384714 / 86400</f>
        <v>4.5356227706564124E-3</v>
      </c>
      <c r="L27" s="2">
        <f xml:space="preserve"> 70.2203439220965 / 86400</f>
        <v>8.1273546206130217E-4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100</v>
      </c>
      <c r="H28" s="9"/>
      <c r="I28" s="2">
        <f xml:space="preserve"> 3102.7455170084 / 86400</f>
        <v>3.5911406446856482E-2</v>
      </c>
      <c r="J28" s="2">
        <f xml:space="preserve"> 5215.8998979041 / 86400</f>
        <v>6.0369211781297449E-2</v>
      </c>
      <c r="K28" s="27">
        <f xml:space="preserve"> 4115.62664288888 / 86400</f>
        <v>4.7634567626028704E-2</v>
      </c>
      <c r="L28" s="2">
        <f xml:space="preserve"> 466.98694820877 / 86400</f>
        <v>5.4049415301940969E-3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100</v>
      </c>
      <c r="H29" s="9"/>
      <c r="I29" s="2">
        <f xml:space="preserve"> 324.502540218 / 86400</f>
        <v>3.755816437708333E-3</v>
      </c>
      <c r="J29" s="2">
        <f xml:space="preserve"> 571.102067783999 / 86400</f>
        <v>6.6099776363888777E-3</v>
      </c>
      <c r="K29" s="27">
        <f xml:space="preserve"> 454.909654224043 / 86400</f>
        <v>5.2651580350004971E-3</v>
      </c>
      <c r="L29" s="2">
        <f xml:space="preserve"> 52.2877199538653 / 86400</f>
        <v>6.0518194391047798E-4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100</v>
      </c>
      <c r="H30" s="9"/>
      <c r="I30" s="2">
        <f xml:space="preserve"> 80.3840604705983 / 86400</f>
        <v>9.3037107026155443E-4</v>
      </c>
      <c r="J30" s="2">
        <f xml:space="preserve"> 267.520678326302 / 86400</f>
        <v>3.096304147295162E-3</v>
      </c>
      <c r="K30" s="27">
        <f xml:space="preserve"> 179.800953187705 / 86400</f>
        <v>2.0810295507836226E-3</v>
      </c>
      <c r="L30" s="2">
        <f xml:space="preserve"> 37.7603956336739 / 86400</f>
        <v>4.3704161613048495E-4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83</v>
      </c>
      <c r="F35" s="18" t="s">
        <v>73</v>
      </c>
      <c r="G35" s="15" t="s">
        <v>78</v>
      </c>
      <c r="H35" s="15" t="s">
        <v>79</v>
      </c>
      <c r="I35" s="40" t="s">
        <v>80</v>
      </c>
      <c r="J35" s="15"/>
      <c r="K35" s="15"/>
      <c r="L35" s="15"/>
    </row>
    <row r="36" spans="4:12" x14ac:dyDescent="0.25">
      <c r="D36" s="31"/>
      <c r="E36" t="s">
        <v>48</v>
      </c>
      <c r="F36" s="16">
        <f>(K14*86400)/60</f>
        <v>3.3087199033525172</v>
      </c>
      <c r="G36" s="4">
        <v>102</v>
      </c>
      <c r="H36" s="42">
        <f>G36/100</f>
        <v>1.02</v>
      </c>
      <c r="I36" s="34">
        <f>F36*H36</f>
        <v>3.3748943014195678</v>
      </c>
      <c r="J36" s="15"/>
      <c r="K36" s="15"/>
      <c r="L36" s="15"/>
    </row>
    <row r="37" spans="4:12" x14ac:dyDescent="0.25">
      <c r="D37" s="31"/>
      <c r="E37" t="s">
        <v>49</v>
      </c>
      <c r="F37" s="16">
        <f>(K15*86400)/60</f>
        <v>0.2536551873524</v>
      </c>
      <c r="G37" s="4">
        <v>100</v>
      </c>
      <c r="H37" s="42">
        <f>G37/100</f>
        <v>1</v>
      </c>
      <c r="I37" s="34">
        <f>F37*H37</f>
        <v>0.2536551873524</v>
      </c>
      <c r="J37" s="15"/>
      <c r="K37" s="15"/>
      <c r="L37" s="15"/>
    </row>
    <row r="38" spans="4:12" x14ac:dyDescent="0.25">
      <c r="D38" s="31"/>
      <c r="E38" s="19" t="s">
        <v>50</v>
      </c>
      <c r="F38" s="20">
        <f>(K16*86400)/60</f>
        <v>0.49461387549399666</v>
      </c>
      <c r="G38" s="4">
        <v>100</v>
      </c>
      <c r="H38" s="42">
        <f>G38/100</f>
        <v>1</v>
      </c>
      <c r="I38" s="45">
        <f>F38*H38</f>
        <v>0.49461387549399666</v>
      </c>
      <c r="J38" s="40" t="s">
        <v>86</v>
      </c>
      <c r="K38" s="15"/>
      <c r="L38" s="15"/>
    </row>
    <row r="39" spans="4:12" x14ac:dyDescent="0.25">
      <c r="E39" s="17" t="s">
        <v>72</v>
      </c>
      <c r="F39" s="21">
        <f>SUM(F36:F38)</f>
        <v>4.0569889661989142</v>
      </c>
      <c r="G39" s="42"/>
      <c r="H39" s="42"/>
      <c r="I39" s="35">
        <f>SUM(I36:I38)</f>
        <v>4.1231633642659649</v>
      </c>
      <c r="J39" s="15"/>
      <c r="K39" s="15"/>
      <c r="L39" s="15"/>
    </row>
    <row r="40" spans="4:12" x14ac:dyDescent="0.25">
      <c r="F40" s="15"/>
      <c r="G40" s="42"/>
      <c r="H40" s="42"/>
      <c r="I40" s="34"/>
      <c r="J40" s="15"/>
      <c r="K40" s="15"/>
      <c r="L40" s="15"/>
    </row>
    <row r="41" spans="4:12" x14ac:dyDescent="0.25">
      <c r="F41" s="15"/>
      <c r="G41" s="42"/>
      <c r="H41" s="42"/>
      <c r="I41" s="34"/>
      <c r="J41" s="15"/>
      <c r="K41" s="15"/>
      <c r="L41" s="15"/>
    </row>
    <row r="42" spans="4:12" x14ac:dyDescent="0.25">
      <c r="E42" s="12" t="s">
        <v>84</v>
      </c>
      <c r="F42" s="18" t="s">
        <v>73</v>
      </c>
      <c r="G42" s="42"/>
      <c r="H42" s="42"/>
      <c r="I42" s="34"/>
      <c r="J42" s="15"/>
      <c r="K42" s="15"/>
      <c r="L42" s="15"/>
    </row>
    <row r="43" spans="4:12" x14ac:dyDescent="0.25">
      <c r="D43" s="32"/>
      <c r="E43" t="s">
        <v>51</v>
      </c>
      <c r="F43" s="16">
        <f t="shared" ref="F43:F49" si="0">(K17*86400)/60</f>
        <v>3.2118017352607668</v>
      </c>
      <c r="G43" s="4">
        <v>100</v>
      </c>
      <c r="H43" s="42">
        <f t="shared" ref="H43:H51" si="1">G43/100</f>
        <v>1</v>
      </c>
      <c r="I43" s="34">
        <f t="shared" ref="I43:I60" si="2">F43*H43</f>
        <v>3.2118017352607668</v>
      </c>
      <c r="J43" s="15"/>
      <c r="K43" s="15"/>
      <c r="L43" s="15"/>
    </row>
    <row r="44" spans="4:12" x14ac:dyDescent="0.25">
      <c r="D44" s="32"/>
      <c r="E44" t="s">
        <v>52</v>
      </c>
      <c r="F44" s="16">
        <f t="shared" si="0"/>
        <v>1.1056787339281067</v>
      </c>
      <c r="G44" s="4">
        <v>200</v>
      </c>
      <c r="H44" s="42">
        <f t="shared" si="1"/>
        <v>2</v>
      </c>
      <c r="I44" s="34">
        <f t="shared" si="2"/>
        <v>2.2113574678562133</v>
      </c>
      <c r="J44" s="15"/>
      <c r="K44" s="15"/>
      <c r="L44" s="15"/>
    </row>
    <row r="45" spans="4:12" x14ac:dyDescent="0.25">
      <c r="D45" s="32"/>
      <c r="E45" t="s">
        <v>53</v>
      </c>
      <c r="F45" s="16">
        <f t="shared" si="0"/>
        <v>0.81669049916447667</v>
      </c>
      <c r="G45" s="4">
        <v>200</v>
      </c>
      <c r="H45" s="42">
        <f t="shared" si="1"/>
        <v>2</v>
      </c>
      <c r="I45" s="34">
        <f t="shared" si="2"/>
        <v>1.6333809983289533</v>
      </c>
      <c r="J45" s="15"/>
      <c r="K45" s="15"/>
      <c r="L45" s="15"/>
    </row>
    <row r="46" spans="4:12" x14ac:dyDescent="0.25">
      <c r="D46" s="32"/>
      <c r="E46" t="s">
        <v>54</v>
      </c>
      <c r="F46" s="16">
        <f t="shared" si="0"/>
        <v>1.1612848937937317</v>
      </c>
      <c r="G46" s="4">
        <v>200</v>
      </c>
      <c r="H46" s="42">
        <f t="shared" si="1"/>
        <v>2</v>
      </c>
      <c r="I46" s="34">
        <f t="shared" si="2"/>
        <v>2.3225697875874634</v>
      </c>
      <c r="J46" s="15"/>
      <c r="K46" s="15"/>
      <c r="L46" s="15"/>
    </row>
    <row r="47" spans="4:12" x14ac:dyDescent="0.25">
      <c r="D47" s="32"/>
      <c r="E47" t="s">
        <v>55</v>
      </c>
      <c r="F47" s="16">
        <f t="shared" si="0"/>
        <v>68.020674066538163</v>
      </c>
      <c r="G47" s="4">
        <v>200</v>
      </c>
      <c r="H47" s="42">
        <f t="shared" si="1"/>
        <v>2</v>
      </c>
      <c r="I47" s="34">
        <f t="shared" si="2"/>
        <v>136.04134813307633</v>
      </c>
      <c r="J47" s="15"/>
      <c r="K47" s="15"/>
      <c r="L47" s="15"/>
    </row>
    <row r="48" spans="4:12" x14ac:dyDescent="0.25">
      <c r="D48" s="32"/>
      <c r="E48" t="s">
        <v>56</v>
      </c>
      <c r="F48" s="16">
        <f t="shared" si="0"/>
        <v>24.385639135916833</v>
      </c>
      <c r="G48" s="4">
        <v>30</v>
      </c>
      <c r="H48" s="41">
        <f t="shared" si="1"/>
        <v>0.3</v>
      </c>
      <c r="I48" s="34">
        <f>F48*H48</f>
        <v>7.3156917407750495</v>
      </c>
      <c r="J48" s="15"/>
      <c r="K48" s="15"/>
      <c r="L48" s="15"/>
    </row>
    <row r="49" spans="4:12" x14ac:dyDescent="0.25">
      <c r="D49" s="32"/>
      <c r="E49" t="s">
        <v>57</v>
      </c>
      <c r="F49" s="16">
        <f t="shared" si="0"/>
        <v>16.800392554797</v>
      </c>
      <c r="G49" s="4">
        <v>200</v>
      </c>
      <c r="H49" s="42">
        <f t="shared" si="1"/>
        <v>2</v>
      </c>
      <c r="I49" s="34">
        <f t="shared" si="2"/>
        <v>33.600785109594</v>
      </c>
      <c r="J49" s="15"/>
      <c r="K49" s="15"/>
      <c r="L49" s="15"/>
    </row>
    <row r="50" spans="4:12" x14ac:dyDescent="0.25">
      <c r="D50" s="32"/>
      <c r="E50" t="s">
        <v>58</v>
      </c>
      <c r="F50" s="16">
        <f>(K24*86400)/60</f>
        <v>0.48261759488278333</v>
      </c>
      <c r="G50" s="4">
        <v>200</v>
      </c>
      <c r="H50" s="42">
        <f t="shared" si="1"/>
        <v>2</v>
      </c>
      <c r="I50" s="34">
        <f>F50*H50</f>
        <v>0.96523518976556666</v>
      </c>
      <c r="J50" s="15"/>
      <c r="K50" s="15"/>
      <c r="L50" s="15"/>
    </row>
    <row r="51" spans="4:12" x14ac:dyDescent="0.25">
      <c r="D51" s="32"/>
      <c r="E51" s="19" t="s">
        <v>59</v>
      </c>
      <c r="F51" s="20">
        <f>(K25*86400)/60</f>
        <v>9.0689880676030334</v>
      </c>
      <c r="G51" s="4">
        <v>200</v>
      </c>
      <c r="H51" s="42">
        <f t="shared" si="1"/>
        <v>2</v>
      </c>
      <c r="I51" s="43">
        <f t="shared" si="2"/>
        <v>18.137976135206067</v>
      </c>
      <c r="J51" s="15"/>
      <c r="K51" s="15"/>
      <c r="L51" s="15"/>
    </row>
    <row r="52" spans="4:12" x14ac:dyDescent="0.25">
      <c r="E52" s="17" t="s">
        <v>74</v>
      </c>
      <c r="F52" s="21">
        <f>SUM(F43:F51)</f>
        <v>125.05376728188489</v>
      </c>
      <c r="G52" s="42"/>
      <c r="H52" s="42"/>
      <c r="I52" s="35">
        <f>SUM(I43:I51)</f>
        <v>205.44014629745038</v>
      </c>
      <c r="J52" s="15"/>
      <c r="K52" s="15"/>
      <c r="L52" s="15"/>
    </row>
    <row r="53" spans="4:12" x14ac:dyDescent="0.25">
      <c r="F53" s="15"/>
      <c r="G53" s="42"/>
      <c r="H53" s="42"/>
      <c r="I53" s="34"/>
      <c r="J53" s="15"/>
      <c r="K53" s="15"/>
      <c r="L53" s="15"/>
    </row>
    <row r="54" spans="4:12" x14ac:dyDescent="0.25">
      <c r="F54" s="15"/>
      <c r="G54" s="42"/>
      <c r="H54" s="42"/>
      <c r="I54" s="34"/>
      <c r="J54" s="15"/>
      <c r="K54" s="15"/>
      <c r="L54" s="15"/>
    </row>
    <row r="55" spans="4:12" x14ac:dyDescent="0.25">
      <c r="E55" s="12" t="s">
        <v>75</v>
      </c>
      <c r="F55" s="18" t="s">
        <v>73</v>
      </c>
      <c r="G55" s="42"/>
      <c r="H55" s="42"/>
      <c r="I55" s="34"/>
      <c r="J55" s="15"/>
      <c r="K55" s="15"/>
      <c r="L55" s="15"/>
    </row>
    <row r="56" spans="4:12" x14ac:dyDescent="0.25">
      <c r="D56" s="30"/>
      <c r="E56" t="s">
        <v>60</v>
      </c>
      <c r="F56" s="16">
        <f>(K26*86400)/60</f>
        <v>9.8355731243555002</v>
      </c>
      <c r="G56" s="4">
        <v>100</v>
      </c>
      <c r="H56" s="42">
        <f>G56/100</f>
        <v>1</v>
      </c>
      <c r="I56" s="34">
        <f t="shared" si="2"/>
        <v>9.8355731243555002</v>
      </c>
      <c r="J56" s="15"/>
      <c r="K56" s="15"/>
      <c r="L56" s="15"/>
    </row>
    <row r="57" spans="4:12" x14ac:dyDescent="0.25">
      <c r="D57" s="30"/>
      <c r="E57" t="s">
        <v>61</v>
      </c>
      <c r="F57" s="16">
        <f>(K27*86400)/60</f>
        <v>6.531296789745233</v>
      </c>
      <c r="G57" s="4">
        <v>100</v>
      </c>
      <c r="H57" s="42">
        <f>G57/100</f>
        <v>1</v>
      </c>
      <c r="I57" s="34">
        <f t="shared" si="2"/>
        <v>6.531296789745233</v>
      </c>
      <c r="J57" s="15"/>
      <c r="K57" s="15"/>
      <c r="L57" s="15"/>
    </row>
    <row r="58" spans="4:12" x14ac:dyDescent="0.25">
      <c r="D58" s="30"/>
      <c r="E58" t="s">
        <v>62</v>
      </c>
      <c r="F58" s="16">
        <f>(K28*86400)/60</f>
        <v>68.593777381481331</v>
      </c>
      <c r="G58" s="4">
        <v>100</v>
      </c>
      <c r="H58" s="42">
        <f>G58/100</f>
        <v>1</v>
      </c>
      <c r="I58" s="34">
        <f t="shared" si="2"/>
        <v>68.593777381481331</v>
      </c>
      <c r="J58" s="15"/>
      <c r="K58" s="15"/>
      <c r="L58" s="15"/>
    </row>
    <row r="59" spans="4:12" x14ac:dyDescent="0.25">
      <c r="D59" s="30"/>
      <c r="E59" t="s">
        <v>63</v>
      </c>
      <c r="F59" s="16">
        <f>(K29*86400)/60</f>
        <v>7.5818275704007156</v>
      </c>
      <c r="G59" s="4">
        <v>100</v>
      </c>
      <c r="H59" s="42">
        <f>G59/100</f>
        <v>1</v>
      </c>
      <c r="I59" s="34">
        <f t="shared" si="2"/>
        <v>7.5818275704007156</v>
      </c>
      <c r="J59" s="15"/>
      <c r="K59" s="15"/>
      <c r="L59" s="15"/>
    </row>
    <row r="60" spans="4:12" x14ac:dyDescent="0.25">
      <c r="D60" s="30"/>
      <c r="E60" s="19" t="s">
        <v>64</v>
      </c>
      <c r="F60" s="20">
        <f>(K30*86400)/60</f>
        <v>2.9966825531284162</v>
      </c>
      <c r="G60" s="4">
        <v>100</v>
      </c>
      <c r="H60" s="42">
        <f>G60/100</f>
        <v>1</v>
      </c>
      <c r="I60" s="43">
        <f t="shared" si="2"/>
        <v>2.9966825531284162</v>
      </c>
      <c r="J60" s="15"/>
      <c r="K60" s="15"/>
      <c r="L60" s="15"/>
    </row>
    <row r="61" spans="4:12" x14ac:dyDescent="0.25">
      <c r="E61" s="17" t="s">
        <v>74</v>
      </c>
      <c r="F61" s="21">
        <f>SUM(F56:F60)</f>
        <v>95.539157419111206</v>
      </c>
      <c r="G61" s="15"/>
      <c r="H61" s="15"/>
      <c r="I61" s="35">
        <f>SUM(I56:I60)</f>
        <v>95.539157419111206</v>
      </c>
      <c r="J61" s="15"/>
      <c r="K61" s="15"/>
      <c r="L61" s="15"/>
    </row>
    <row r="62" spans="4:12" x14ac:dyDescent="0.25">
      <c r="F62" s="15"/>
      <c r="G62" s="15"/>
      <c r="H62" s="15"/>
      <c r="I62" s="34"/>
      <c r="J62" s="15"/>
      <c r="K62" s="15"/>
      <c r="L62" s="15"/>
    </row>
    <row r="63" spans="4:12" x14ac:dyDescent="0.25">
      <c r="F63" s="15"/>
      <c r="G63" s="15"/>
      <c r="H63" s="15"/>
      <c r="I63" s="34"/>
      <c r="J63" s="15"/>
      <c r="K63" s="15"/>
      <c r="L63" s="15"/>
    </row>
    <row r="64" spans="4:12" x14ac:dyDescent="0.25">
      <c r="D64" s="33"/>
      <c r="E64" s="17" t="s">
        <v>76</v>
      </c>
      <c r="F64" s="21">
        <f>I52+SUM(I56:I59)</f>
        <v>297.98262116343318</v>
      </c>
      <c r="G64" s="15"/>
      <c r="H64" s="44" t="s">
        <v>81</v>
      </c>
      <c r="I64" s="38">
        <f>I39+I52+I61</f>
        <v>305.10246708082752</v>
      </c>
      <c r="J64" s="15"/>
      <c r="K64" s="15"/>
      <c r="L64" s="15"/>
    </row>
    <row r="65" spans="4:12" x14ac:dyDescent="0.25">
      <c r="F65" s="15"/>
      <c r="G65" s="15"/>
      <c r="H65" s="15"/>
      <c r="I65" s="15"/>
      <c r="J65" s="15"/>
      <c r="K65" s="15"/>
      <c r="L65" s="15"/>
    </row>
    <row r="66" spans="4:12" x14ac:dyDescent="0.25">
      <c r="D66" s="46"/>
      <c r="E66" s="17" t="s">
        <v>85</v>
      </c>
      <c r="F66" s="35">
        <f>I52+I61</f>
        <v>300.97930371656162</v>
      </c>
    </row>
    <row r="67" spans="4:12" x14ac:dyDescent="0.25">
      <c r="F67" s="15"/>
    </row>
    <row r="68" spans="4:12" x14ac:dyDescent="0.25">
      <c r="F68" s="15"/>
    </row>
    <row r="69" spans="4:12" x14ac:dyDescent="0.25">
      <c r="F69" s="15"/>
    </row>
    <row r="70" spans="4:12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2025-05-10T03:09:07Z</dcterms:created>
  <dcterms:modified xsi:type="dcterms:W3CDTF">2025-06-03T04:45:01Z</dcterms:modified>
</cp:coreProperties>
</file>