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dl\Documents\MSWA - Human Operator\"/>
    </mc:Choice>
  </mc:AlternateContent>
  <xr:revisionPtr revIDLastSave="0" documentId="13_ncr:1_{8717B9E4-F4E3-45E2-AD06-9AA0926E0A66}" xr6:coauthVersionLast="47" xr6:coauthVersionMax="47" xr10:uidLastSave="{00000000-0000-0000-0000-000000000000}"/>
  <bookViews>
    <workbookView xWindow="-120" yWindow="-120" windowWidth="51840" windowHeight="21120" activeTab="2" xr2:uid="{3496117C-1158-4D1C-9312-3CE286C2E29D}"/>
  </bookViews>
  <sheets>
    <sheet name="Scenario Performance" sheetId="1" r:id="rId1"/>
    <sheet name="Task Performance" sheetId="2" r:id="rId2"/>
    <sheet name="Task Performance (Cleaned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6" i="3" l="1"/>
  <c r="F64" i="3"/>
  <c r="I64" i="3" l="1"/>
  <c r="H44" i="3"/>
  <c r="I37" i="3"/>
  <c r="H60" i="3"/>
  <c r="I60" i="3" s="1"/>
  <c r="H59" i="3"/>
  <c r="I59" i="3" s="1"/>
  <c r="H58" i="3"/>
  <c r="H57" i="3"/>
  <c r="H56" i="3"/>
  <c r="H51" i="3"/>
  <c r="H50" i="3"/>
  <c r="H49" i="3"/>
  <c r="H48" i="3"/>
  <c r="H47" i="3"/>
  <c r="H46" i="3"/>
  <c r="I46" i="3" s="1"/>
  <c r="H45" i="3"/>
  <c r="I44" i="3"/>
  <c r="H43" i="3"/>
  <c r="H38" i="3"/>
  <c r="H37" i="3"/>
  <c r="H36" i="3"/>
  <c r="I36" i="3" s="1"/>
  <c r="I58" i="3"/>
  <c r="I57" i="3"/>
  <c r="I56" i="3"/>
  <c r="I51" i="3"/>
  <c r="I50" i="3"/>
  <c r="I49" i="3"/>
  <c r="I48" i="3"/>
  <c r="I47" i="3"/>
  <c r="I45" i="3"/>
  <c r="I43" i="3"/>
  <c r="I38" i="3"/>
  <c r="D16" i="1"/>
  <c r="L31" i="3"/>
  <c r="K31" i="3"/>
  <c r="J31" i="3"/>
  <c r="I31" i="3"/>
  <c r="L30" i="3"/>
  <c r="K30" i="3"/>
  <c r="F60" i="3" s="1"/>
  <c r="J30" i="3"/>
  <c r="I30" i="3"/>
  <c r="L29" i="3"/>
  <c r="K29" i="3"/>
  <c r="F59" i="3" s="1"/>
  <c r="J29" i="3"/>
  <c r="I29" i="3"/>
  <c r="L28" i="3"/>
  <c r="K28" i="3"/>
  <c r="F58" i="3" s="1"/>
  <c r="J28" i="3"/>
  <c r="I28" i="3"/>
  <c r="L27" i="3"/>
  <c r="K27" i="3"/>
  <c r="F57" i="3" s="1"/>
  <c r="J27" i="3"/>
  <c r="I27" i="3"/>
  <c r="L26" i="3"/>
  <c r="K26" i="3"/>
  <c r="F56" i="3" s="1"/>
  <c r="J26" i="3"/>
  <c r="I26" i="3"/>
  <c r="L25" i="3"/>
  <c r="K25" i="3"/>
  <c r="F51" i="3" s="1"/>
  <c r="J25" i="3"/>
  <c r="I25" i="3"/>
  <c r="L24" i="3"/>
  <c r="K24" i="3"/>
  <c r="F50" i="3" s="1"/>
  <c r="J24" i="3"/>
  <c r="I24" i="3"/>
  <c r="L23" i="3"/>
  <c r="K23" i="3"/>
  <c r="F49" i="3" s="1"/>
  <c r="J23" i="3"/>
  <c r="I23" i="3"/>
  <c r="L22" i="3"/>
  <c r="K22" i="3"/>
  <c r="F48" i="3" s="1"/>
  <c r="J22" i="3"/>
  <c r="I22" i="3"/>
  <c r="L21" i="3"/>
  <c r="K21" i="3"/>
  <c r="F47" i="3" s="1"/>
  <c r="J21" i="3"/>
  <c r="I21" i="3"/>
  <c r="L20" i="3"/>
  <c r="K20" i="3"/>
  <c r="F46" i="3" s="1"/>
  <c r="J20" i="3"/>
  <c r="I20" i="3"/>
  <c r="L19" i="3"/>
  <c r="K19" i="3"/>
  <c r="F45" i="3" s="1"/>
  <c r="J19" i="3"/>
  <c r="I19" i="3"/>
  <c r="L18" i="3"/>
  <c r="K18" i="3"/>
  <c r="F44" i="3" s="1"/>
  <c r="J18" i="3"/>
  <c r="I18" i="3"/>
  <c r="L17" i="3"/>
  <c r="K17" i="3"/>
  <c r="F43" i="3" s="1"/>
  <c r="J17" i="3"/>
  <c r="I17" i="3"/>
  <c r="L16" i="3"/>
  <c r="K16" i="3"/>
  <c r="F38" i="3" s="1"/>
  <c r="J16" i="3"/>
  <c r="I16" i="3"/>
  <c r="L15" i="3"/>
  <c r="K15" i="3"/>
  <c r="F37" i="3" s="1"/>
  <c r="J15" i="3"/>
  <c r="I15" i="3"/>
  <c r="L14" i="3"/>
  <c r="K14" i="3"/>
  <c r="F36" i="3" s="1"/>
  <c r="J14" i="3"/>
  <c r="I14" i="3"/>
  <c r="L13" i="3"/>
  <c r="K13" i="3"/>
  <c r="J13" i="3"/>
  <c r="I13" i="3"/>
  <c r="F56" i="2"/>
  <c r="F64" i="2"/>
  <c r="F60" i="2"/>
  <c r="F59" i="2"/>
  <c r="F58" i="2"/>
  <c r="F57" i="2"/>
  <c r="F61" i="2"/>
  <c r="F50" i="2"/>
  <c r="F49" i="2"/>
  <c r="F43" i="2"/>
  <c r="F38" i="2"/>
  <c r="F37" i="2"/>
  <c r="F36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K13" i="2"/>
  <c r="K14" i="2"/>
  <c r="K15" i="2"/>
  <c r="K16" i="2"/>
  <c r="K17" i="2"/>
  <c r="K18" i="2"/>
  <c r="F44" i="2" s="1"/>
  <c r="K19" i="2"/>
  <c r="F45" i="2" s="1"/>
  <c r="K20" i="2"/>
  <c r="F46" i="2" s="1"/>
  <c r="K21" i="2"/>
  <c r="F47" i="2" s="1"/>
  <c r="K22" i="2"/>
  <c r="F48" i="2" s="1"/>
  <c r="K23" i="2"/>
  <c r="K24" i="2"/>
  <c r="K25" i="2"/>
  <c r="F51" i="2" s="1"/>
  <c r="K26" i="2"/>
  <c r="K27" i="2"/>
  <c r="K28" i="2"/>
  <c r="K29" i="2"/>
  <c r="K30" i="2"/>
  <c r="K31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C13" i="1"/>
  <c r="C14" i="1"/>
  <c r="C15" i="1"/>
  <c r="C16" i="1"/>
  <c r="C17" i="1"/>
  <c r="I39" i="3" l="1"/>
  <c r="I61" i="3"/>
  <c r="I52" i="3"/>
  <c r="F39" i="3"/>
  <c r="F52" i="3"/>
  <c r="F61" i="3"/>
  <c r="F52" i="2"/>
  <c r="F39" i="2"/>
</calcChain>
</file>

<file path=xl/sharedStrings.xml><?xml version="1.0" encoding="utf-8"?>
<sst xmlns="http://schemas.openxmlformats.org/spreadsheetml/2006/main" count="334" uniqueCount="87">
  <si>
    <t>Time Requirement:</t>
  </si>
  <si>
    <t>Minimum Duration:</t>
  </si>
  <si>
    <t>Maximum Duration:</t>
  </si>
  <si>
    <t>Mean Duration:</t>
  </si>
  <si>
    <t>Standard Deviation:</t>
  </si>
  <si>
    <t>% Met Time Requirement:</t>
  </si>
  <si>
    <t>Time Criterion:</t>
  </si>
  <si>
    <t>Time Result:</t>
  </si>
  <si>
    <t>% Scenario Successful:</t>
  </si>
  <si>
    <t>Accuracy Criterion:</t>
  </si>
  <si>
    <t>Accuracy Result:</t>
  </si>
  <si>
    <t>% Met Time Req AND Successful:</t>
  </si>
  <si>
    <t>Scenario Criterion:</t>
  </si>
  <si>
    <t>Scenario Result:</t>
  </si>
  <si>
    <t>HH:MM:SS.mm</t>
  </si>
  <si>
    <t>PASS</t>
  </si>
  <si>
    <t>MSWA Report</t>
  </si>
  <si>
    <t>Scenario Performance</t>
  </si>
  <si>
    <t>Analysis Name:</t>
  </si>
  <si>
    <t>Scenario:</t>
  </si>
  <si>
    <t>Initial RNS:</t>
  </si>
  <si>
    <t>Times Performed:</t>
  </si>
  <si>
    <t>Function</t>
  </si>
  <si>
    <t>Task</t>
  </si>
  <si>
    <t>Primary
Operator</t>
  </si>
  <si>
    <t>Time (HH:MM:SS.mm)</t>
  </si>
  <si>
    <t>% Met</t>
  </si>
  <si>
    <t>Accuracy</t>
  </si>
  <si>
    <t>% Successful</t>
  </si>
  <si>
    <t>Both Time and Accuracy</t>
  </si>
  <si>
    <t>ID</t>
  </si>
  <si>
    <t>Name</t>
  </si>
  <si>
    <t>Times Performed</t>
  </si>
  <si>
    <t>Minimum</t>
  </si>
  <si>
    <t>Maximum</t>
  </si>
  <si>
    <t>Mean</t>
  </si>
  <si>
    <t>Std. Dev.</t>
  </si>
  <si>
    <t>Requirement</t>
  </si>
  <si>
    <t>Accuracy Measure</t>
  </si>
  <si>
    <t>Failures</t>
  </si>
  <si>
    <t>Scenario Aborts</t>
  </si>
  <si>
    <t>Criterion</t>
  </si>
  <si>
    <t>Results</t>
  </si>
  <si>
    <t>Root</t>
  </si>
  <si>
    <t>(Root)</t>
  </si>
  <si>
    <t>Model START</t>
  </si>
  <si>
    <t>Operator</t>
  </si>
  <si>
    <t>Percent Steps Correct</t>
  </si>
  <si>
    <t>AccessSatellite</t>
  </si>
  <si>
    <t>Select Sensor Type</t>
  </si>
  <si>
    <t>Download Images</t>
  </si>
  <si>
    <t>Validate Data</t>
  </si>
  <si>
    <t>Prepare For Analysis</t>
  </si>
  <si>
    <t>Scan for Features</t>
  </si>
  <si>
    <t>Identify Regions of Interest</t>
  </si>
  <si>
    <t>Object Cluster Identification and Classification</t>
  </si>
  <si>
    <t>Response to Anomaly</t>
  </si>
  <si>
    <t>Contextual and Temporal Analysis</t>
  </si>
  <si>
    <t>Cross Referencing</t>
  </si>
  <si>
    <t>Hypothesis Formation</t>
  </si>
  <si>
    <t>Data Synthesis</t>
  </si>
  <si>
    <t>Intelligence Verification</t>
  </si>
  <si>
    <t>Report Compilation</t>
  </si>
  <si>
    <t>Review and Edit Report</t>
  </si>
  <si>
    <t>Report Submission</t>
  </si>
  <si>
    <t>Model END</t>
  </si>
  <si>
    <t>Task Performance</t>
  </si>
  <si>
    <t>Notes:</t>
  </si>
  <si>
    <t>Report combines data from all runs of this scenario.</t>
  </si>
  <si>
    <t>ISR Human Operator</t>
  </si>
  <si>
    <t>Mission Case 9</t>
  </si>
  <si>
    <t>Task Name</t>
  </si>
  <si>
    <t>Satellite Contact Window Requirement</t>
  </si>
  <si>
    <t>Mean (Minutes)</t>
  </si>
  <si>
    <t>Image Processing and Analysis</t>
  </si>
  <si>
    <t>Group 3 - Task Name</t>
  </si>
  <si>
    <t>Analytical Tasks Requiring Accuracy - Mean (Minutes)</t>
  </si>
  <si>
    <t>(minutes)</t>
  </si>
  <si>
    <t>Group 1 - Task Name</t>
  </si>
  <si>
    <t>Group 2 - Task Name</t>
  </si>
  <si>
    <t># of Simulations</t>
  </si>
  <si>
    <t># of Repetitions</t>
  </si>
  <si>
    <t>Sum of Mean (Minutes)</t>
  </si>
  <si>
    <t>Total Sim. Time</t>
  </si>
  <si>
    <t>*1 failed login</t>
  </si>
  <si>
    <t>Group 2 and Group 3 Tasks Combined (Hyp. 2)</t>
  </si>
  <si>
    <t xml:space="preserve"> ← Downlink time is used for both human operator and AI operator simulations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</si>
</sst>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hh]:mm:ss.00"/>
    <numFmt numFmtId="165" formatCode="0\ "/>
    <numFmt numFmtId="166" formatCode="0.000000"/>
    <numFmt numFmtId="167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CC3F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49" fontId="1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5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2" fontId="0" fillId="0" borderId="0" xfId="0" applyNumberFormat="1"/>
    <xf numFmtId="0" fontId="1" fillId="0" borderId="0" xfId="0" applyFont="1"/>
    <xf numFmtId="2" fontId="1" fillId="0" borderId="0" xfId="0" applyNumberFormat="1" applyFont="1" applyAlignment="1">
      <alignment horizontal="center"/>
    </xf>
    <xf numFmtId="0" fontId="0" fillId="0" borderId="1" xfId="0" applyBorder="1"/>
    <xf numFmtId="166" fontId="0" fillId="0" borderId="0" xfId="0" applyNumberFormat="1"/>
    <xf numFmtId="166" fontId="0" fillId="0" borderId="1" xfId="0" applyNumberFormat="1" applyBorder="1"/>
    <xf numFmtId="166" fontId="1" fillId="0" borderId="0" xfId="0" applyNumberFormat="1" applyFont="1"/>
    <xf numFmtId="49" fontId="0" fillId="2" borderId="0" xfId="0" applyNumberFormat="1" applyFill="1" applyAlignment="1">
      <alignment horizontal="left"/>
    </xf>
    <xf numFmtId="164" fontId="0" fillId="2" borderId="0" xfId="0" applyNumberFormat="1" applyFill="1" applyAlignment="1">
      <alignment horizontal="right"/>
    </xf>
    <xf numFmtId="49" fontId="0" fillId="3" borderId="0" xfId="0" applyNumberFormat="1" applyFill="1" applyAlignment="1">
      <alignment horizontal="left"/>
    </xf>
    <xf numFmtId="164" fontId="0" fillId="3" borderId="0" xfId="0" applyNumberFormat="1" applyFill="1" applyAlignment="1">
      <alignment horizontal="right"/>
    </xf>
    <xf numFmtId="49" fontId="0" fillId="4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1" fillId="0" borderId="0" xfId="0" applyNumberFormat="1" applyFont="1"/>
    <xf numFmtId="49" fontId="1" fillId="6" borderId="0" xfId="0" applyNumberFormat="1" applyFont="1" applyFill="1" applyAlignment="1">
      <alignment horizontal="right"/>
    </xf>
    <xf numFmtId="164" fontId="1" fillId="6" borderId="0" xfId="0" applyNumberFormat="1" applyFont="1" applyFill="1" applyAlignment="1">
      <alignment horizontal="right"/>
    </xf>
    <xf numFmtId="2" fontId="1" fillId="6" borderId="0" xfId="0" applyNumberFormat="1" applyFont="1" applyFill="1"/>
    <xf numFmtId="0" fontId="1" fillId="6" borderId="0" xfId="0" applyFont="1" applyFill="1"/>
    <xf numFmtId="1" fontId="0" fillId="0" borderId="0" xfId="0" applyNumberFormat="1"/>
    <xf numFmtId="167" fontId="0" fillId="0" borderId="0" xfId="0" applyNumberFormat="1"/>
    <xf numFmtId="167" fontId="0" fillId="0" borderId="1" xfId="0" applyNumberFormat="1" applyBorder="1"/>
    <xf numFmtId="167" fontId="1" fillId="0" borderId="0" xfId="0" applyNumberFormat="1" applyFont="1"/>
    <xf numFmtId="167" fontId="1" fillId="6" borderId="0" xfId="0" applyNumberFormat="1" applyFont="1" applyFill="1"/>
    <xf numFmtId="167" fontId="0" fillId="6" borderId="1" xfId="0" applyNumberFormat="1" applyFill="1" applyBorder="1"/>
    <xf numFmtId="0" fontId="0" fillId="7" borderId="0" xfId="0" applyFill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10FF.tmp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10FF.tmp" TargetMode="Externa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10FF.tmp" TargetMode="Externa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1041400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1705C4-7407-71FC-2B00-DD1BE859A1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3500"/>
          <a:ext cx="977900" cy="584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1038225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4E9619-E2F4-CE2C-E69C-6F04979B99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3500"/>
          <a:ext cx="977900" cy="584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1038225</xdr:colOff>
      <xdr:row>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4A3C3F-F692-4974-BF09-4FFCBEF43D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3500"/>
          <a:ext cx="974725" cy="584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96D10-2AE3-43C9-B7CA-5DF0E3A67537}">
  <dimension ref="A1:E30"/>
  <sheetViews>
    <sheetView workbookViewId="0">
      <selection activeCell="D8" sqref="D8"/>
    </sheetView>
  </sheetViews>
  <sheetFormatPr defaultRowHeight="15" x14ac:dyDescent="0.25"/>
  <cols>
    <col min="1" max="1" width="17" bestFit="1" customWidth="1"/>
    <col min="2" max="2" width="30.7109375" customWidth="1"/>
    <col min="3" max="3" width="14.5703125" bestFit="1" customWidth="1"/>
  </cols>
  <sheetData>
    <row r="1" spans="1:5" x14ac:dyDescent="0.25">
      <c r="A1" s="44"/>
    </row>
    <row r="2" spans="1:5" ht="18.75" x14ac:dyDescent="0.3">
      <c r="A2" s="44"/>
      <c r="B2" s="6" t="s">
        <v>16</v>
      </c>
    </row>
    <row r="3" spans="1:5" ht="17.25" x14ac:dyDescent="0.3">
      <c r="A3" s="44"/>
      <c r="B3" s="7" t="s">
        <v>17</v>
      </c>
    </row>
    <row r="4" spans="1:5" x14ac:dyDescent="0.25">
      <c r="A4" s="44"/>
      <c r="B4" s="9"/>
    </row>
    <row r="5" spans="1:5" x14ac:dyDescent="0.25">
      <c r="A5" s="5" t="s">
        <v>18</v>
      </c>
      <c r="B5" s="8" t="s">
        <v>69</v>
      </c>
    </row>
    <row r="6" spans="1:5" x14ac:dyDescent="0.25">
      <c r="A6" s="5" t="s">
        <v>19</v>
      </c>
      <c r="B6" s="8" t="s">
        <v>70</v>
      </c>
    </row>
    <row r="7" spans="1:5" x14ac:dyDescent="0.25">
      <c r="A7" s="5"/>
      <c r="B7" s="10"/>
    </row>
    <row r="8" spans="1:5" x14ac:dyDescent="0.25">
      <c r="A8" s="5"/>
      <c r="B8" s="9"/>
    </row>
    <row r="9" spans="1:5" x14ac:dyDescent="0.25">
      <c r="A9" s="5" t="s">
        <v>20</v>
      </c>
      <c r="B9" s="11">
        <v>54983</v>
      </c>
    </row>
    <row r="10" spans="1:5" x14ac:dyDescent="0.25">
      <c r="A10" s="5" t="s">
        <v>21</v>
      </c>
      <c r="B10" s="8">
        <v>24</v>
      </c>
    </row>
    <row r="12" spans="1:5" x14ac:dyDescent="0.25">
      <c r="C12" s="1" t="s">
        <v>14</v>
      </c>
    </row>
    <row r="13" spans="1:5" x14ac:dyDescent="0.25">
      <c r="B13" s="1" t="s">
        <v>0</v>
      </c>
      <c r="C13" s="2">
        <f xml:space="preserve"> 0 / 86400</f>
        <v>0</v>
      </c>
    </row>
    <row r="14" spans="1:5" x14ac:dyDescent="0.25">
      <c r="B14" s="1" t="s">
        <v>1</v>
      </c>
      <c r="C14" s="2">
        <f xml:space="preserve"> 79429.9636302976 / 86400</f>
        <v>0.9193282827580741</v>
      </c>
    </row>
    <row r="15" spans="1:5" x14ac:dyDescent="0.25">
      <c r="B15" s="1" t="s">
        <v>2</v>
      </c>
      <c r="C15" s="2">
        <f xml:space="preserve"> 110587.959012703 / 86400</f>
        <v>1.2799532293136922</v>
      </c>
    </row>
    <row r="16" spans="1:5" x14ac:dyDescent="0.25">
      <c r="B16" s="33" t="s">
        <v>3</v>
      </c>
      <c r="C16" s="34">
        <f xml:space="preserve"> 95227.8055318568 / 86400</f>
        <v>1.1021736751372313</v>
      </c>
      <c r="D16" s="35">
        <f>(C16*86400)/60</f>
        <v>1587.1300921976131</v>
      </c>
      <c r="E16" s="36" t="s">
        <v>77</v>
      </c>
    </row>
    <row r="17" spans="2:3" x14ac:dyDescent="0.25">
      <c r="B17" s="1" t="s">
        <v>4</v>
      </c>
      <c r="C17" s="2">
        <f xml:space="preserve"> 7794.77169472165 / 86400</f>
        <v>9.0217264985204285E-2</v>
      </c>
    </row>
    <row r="19" spans="2:3" x14ac:dyDescent="0.25">
      <c r="C19" s="3"/>
    </row>
    <row r="20" spans="2:3" x14ac:dyDescent="0.25">
      <c r="B20" s="1" t="s">
        <v>5</v>
      </c>
      <c r="C20" s="3">
        <v>0</v>
      </c>
    </row>
    <row r="21" spans="2:3" x14ac:dyDescent="0.25">
      <c r="B21" s="1" t="s">
        <v>6</v>
      </c>
      <c r="C21" s="3">
        <v>0</v>
      </c>
    </row>
    <row r="22" spans="2:3" x14ac:dyDescent="0.25">
      <c r="B22" s="1" t="s">
        <v>7</v>
      </c>
      <c r="C22" s="4" t="s">
        <v>15</v>
      </c>
    </row>
    <row r="24" spans="2:3" x14ac:dyDescent="0.25">
      <c r="B24" s="1" t="s">
        <v>8</v>
      </c>
      <c r="C24" s="3">
        <v>100</v>
      </c>
    </row>
    <row r="25" spans="2:3" x14ac:dyDescent="0.25">
      <c r="B25" s="1" t="s">
        <v>9</v>
      </c>
      <c r="C25" s="3">
        <v>0</v>
      </c>
    </row>
    <row r="26" spans="2:3" x14ac:dyDescent="0.25">
      <c r="B26" s="1" t="s">
        <v>10</v>
      </c>
      <c r="C26" s="4" t="s">
        <v>15</v>
      </c>
    </row>
    <row r="28" spans="2:3" x14ac:dyDescent="0.25">
      <c r="B28" s="1" t="s">
        <v>11</v>
      </c>
      <c r="C28" s="3">
        <v>0</v>
      </c>
    </row>
    <row r="29" spans="2:3" x14ac:dyDescent="0.25">
      <c r="B29" s="1" t="s">
        <v>12</v>
      </c>
      <c r="C29" s="3">
        <v>0</v>
      </c>
    </row>
    <row r="30" spans="2:3" x14ac:dyDescent="0.25">
      <c r="B30" s="1" t="s">
        <v>13</v>
      </c>
      <c r="C30" s="4" t="s">
        <v>15</v>
      </c>
    </row>
  </sheetData>
  <mergeCells count="1">
    <mergeCell ref="A1:A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397A7-15C2-4F52-954C-B69E4408C7CE}">
  <dimension ref="A1:X70"/>
  <sheetViews>
    <sheetView topLeftCell="A25" workbookViewId="0">
      <selection activeCell="M50" sqref="M50"/>
    </sheetView>
  </sheetViews>
  <sheetFormatPr defaultRowHeight="15" x14ac:dyDescent="0.25"/>
  <cols>
    <col min="1" max="1" width="16.7109375" customWidth="1"/>
    <col min="2" max="2" width="9.140625" bestFit="1" customWidth="1"/>
    <col min="3" max="3" width="6.5703125" bestFit="1" customWidth="1"/>
    <col min="4" max="4" width="4" bestFit="1" customWidth="1"/>
    <col min="5" max="5" width="49.28515625" bestFit="1" customWidth="1"/>
    <col min="6" max="6" width="16.140625" bestFit="1" customWidth="1"/>
    <col min="7" max="7" width="16.42578125" bestFit="1" customWidth="1"/>
    <col min="9" max="12" width="10.7109375" bestFit="1" customWidth="1"/>
    <col min="13" max="13" width="12.7109375" bestFit="1" customWidth="1"/>
    <col min="14" max="14" width="6.7109375" bestFit="1" customWidth="1"/>
    <col min="16" max="16" width="20.28515625" bestFit="1" customWidth="1"/>
    <col min="17" max="17" width="8" bestFit="1" customWidth="1"/>
    <col min="18" max="18" width="15" bestFit="1" customWidth="1"/>
    <col min="19" max="19" width="12.7109375" bestFit="1" customWidth="1"/>
    <col min="20" max="20" width="12.140625" bestFit="1" customWidth="1"/>
    <col min="22" max="22" width="8.85546875" bestFit="1" customWidth="1"/>
    <col min="23" max="23" width="12.140625" bestFit="1" customWidth="1"/>
    <col min="24" max="24" width="7.42578125" bestFit="1" customWidth="1"/>
  </cols>
  <sheetData>
    <row r="1" spans="1:24" x14ac:dyDescent="0.25">
      <c r="A1" s="44"/>
    </row>
    <row r="2" spans="1:24" ht="18.75" x14ac:dyDescent="0.3">
      <c r="A2" s="44"/>
      <c r="B2" s="6" t="s">
        <v>16</v>
      </c>
    </row>
    <row r="3" spans="1:24" ht="17.25" x14ac:dyDescent="0.3">
      <c r="A3" s="44"/>
      <c r="B3" s="7" t="s">
        <v>66</v>
      </c>
    </row>
    <row r="4" spans="1:24" x14ac:dyDescent="0.25">
      <c r="A4" s="44"/>
      <c r="B4" s="9"/>
    </row>
    <row r="5" spans="1:24" x14ac:dyDescent="0.25">
      <c r="A5" s="5" t="s">
        <v>18</v>
      </c>
      <c r="B5" s="8" t="s">
        <v>69</v>
      </c>
    </row>
    <row r="6" spans="1:24" x14ac:dyDescent="0.25">
      <c r="A6" s="5" t="s">
        <v>19</v>
      </c>
      <c r="B6" s="8" t="s">
        <v>70</v>
      </c>
    </row>
    <row r="7" spans="1:24" x14ac:dyDescent="0.25">
      <c r="A7" s="5" t="s">
        <v>20</v>
      </c>
      <c r="B7" s="11">
        <v>54983</v>
      </c>
    </row>
    <row r="8" spans="1:24" x14ac:dyDescent="0.25">
      <c r="A8" s="5"/>
      <c r="B8" s="10"/>
    </row>
    <row r="9" spans="1:24" x14ac:dyDescent="0.25">
      <c r="A9" s="5" t="s">
        <v>67</v>
      </c>
      <c r="B9" s="9" t="s">
        <v>68</v>
      </c>
    </row>
    <row r="11" spans="1:24" s="12" customFormat="1" x14ac:dyDescent="0.25">
      <c r="B11" s="45" t="s">
        <v>22</v>
      </c>
      <c r="C11" s="46"/>
      <c r="D11" s="45" t="s">
        <v>23</v>
      </c>
      <c r="E11" s="46"/>
      <c r="F11" s="47" t="s">
        <v>24</v>
      </c>
      <c r="I11" s="45" t="s">
        <v>25</v>
      </c>
      <c r="J11" s="46"/>
      <c r="K11" s="46"/>
      <c r="L11" s="46"/>
      <c r="M11" s="46"/>
      <c r="N11" s="49" t="s">
        <v>26</v>
      </c>
      <c r="P11" s="45" t="s">
        <v>27</v>
      </c>
      <c r="Q11" s="46"/>
      <c r="R11" s="46"/>
      <c r="S11" s="46"/>
      <c r="T11" s="49" t="s">
        <v>28</v>
      </c>
      <c r="V11" s="45" t="s">
        <v>29</v>
      </c>
      <c r="W11" s="46"/>
      <c r="X11" s="46"/>
    </row>
    <row r="12" spans="1:24" s="12" customFormat="1" x14ac:dyDescent="0.25">
      <c r="B12" s="12" t="s">
        <v>30</v>
      </c>
      <c r="C12" s="12" t="s">
        <v>31</v>
      </c>
      <c r="D12" s="12" t="s">
        <v>30</v>
      </c>
      <c r="E12" s="12" t="s">
        <v>31</v>
      </c>
      <c r="F12" s="48"/>
      <c r="G12" s="12" t="s">
        <v>32</v>
      </c>
      <c r="I12" s="12" t="s">
        <v>33</v>
      </c>
      <c r="J12" s="12" t="s">
        <v>34</v>
      </c>
      <c r="K12" s="12" t="s">
        <v>35</v>
      </c>
      <c r="L12" s="12" t="s">
        <v>36</v>
      </c>
      <c r="M12" s="12" t="s">
        <v>37</v>
      </c>
      <c r="N12" s="50"/>
      <c r="P12" s="12" t="s">
        <v>38</v>
      </c>
      <c r="Q12" s="12" t="s">
        <v>39</v>
      </c>
      <c r="R12" s="12" t="s">
        <v>40</v>
      </c>
      <c r="S12" s="12" t="s">
        <v>37</v>
      </c>
      <c r="T12" s="50"/>
      <c r="V12" s="12" t="s">
        <v>41</v>
      </c>
      <c r="W12" s="12" t="s">
        <v>28</v>
      </c>
      <c r="X12" s="12" t="s">
        <v>42</v>
      </c>
    </row>
    <row r="13" spans="1:24" x14ac:dyDescent="0.25">
      <c r="B13" s="4" t="s">
        <v>43</v>
      </c>
      <c r="C13" s="9" t="s">
        <v>44</v>
      </c>
      <c r="D13" s="4">
        <v>0</v>
      </c>
      <c r="E13" s="9" t="s">
        <v>45</v>
      </c>
      <c r="F13" s="9" t="s">
        <v>46</v>
      </c>
      <c r="G13" s="4">
        <v>24</v>
      </c>
      <c r="H13" s="9"/>
      <c r="I13" s="2">
        <f xml:space="preserve"> 0 / 86400</f>
        <v>0</v>
      </c>
      <c r="J13" s="2">
        <f xml:space="preserve"> 0 / 86400</f>
        <v>0</v>
      </c>
      <c r="K13" s="2">
        <f xml:space="preserve"> 0 / 86400</f>
        <v>0</v>
      </c>
      <c r="L13" s="2">
        <f xml:space="preserve"> 0 / 86400</f>
        <v>0</v>
      </c>
      <c r="M13" s="2">
        <f xml:space="preserve"> 0 / 86400</f>
        <v>0</v>
      </c>
      <c r="N13" s="3">
        <v>100</v>
      </c>
      <c r="O13" s="9"/>
      <c r="P13" s="13" t="s">
        <v>47</v>
      </c>
      <c r="Q13" s="14">
        <v>0</v>
      </c>
      <c r="R13" s="14">
        <v>0</v>
      </c>
      <c r="S13" s="3">
        <v>0</v>
      </c>
      <c r="T13" s="3">
        <v>100</v>
      </c>
      <c r="U13" s="9"/>
      <c r="V13" s="3">
        <v>0</v>
      </c>
      <c r="W13" s="3">
        <v>100</v>
      </c>
      <c r="X13" s="4" t="s">
        <v>15</v>
      </c>
    </row>
    <row r="14" spans="1:24" x14ac:dyDescent="0.25">
      <c r="B14" s="4" t="s">
        <v>43</v>
      </c>
      <c r="C14" s="9" t="s">
        <v>44</v>
      </c>
      <c r="D14" s="4">
        <v>1</v>
      </c>
      <c r="E14" s="26" t="s">
        <v>48</v>
      </c>
      <c r="F14" s="9" t="s">
        <v>46</v>
      </c>
      <c r="G14" s="4">
        <v>25</v>
      </c>
      <c r="H14" s="9"/>
      <c r="I14" s="2">
        <f xml:space="preserve"> 94.9485191213659 / 86400</f>
        <v>1.0989411935343277E-3</v>
      </c>
      <c r="J14" s="2">
        <f xml:space="preserve"> 303.798825886938 / 86400</f>
        <v>3.5161901144321528E-3</v>
      </c>
      <c r="K14" s="27">
        <f xml:space="preserve"> 202.725265784303 / 86400</f>
        <v>2.3463572428738771E-3</v>
      </c>
      <c r="L14" s="2">
        <f xml:space="preserve"> 49.4001677175089 / 86400</f>
        <v>5.7176120043413083E-4</v>
      </c>
      <c r="M14" s="2">
        <f t="shared" ref="M14:M31" si="0" xml:space="preserve"> 0 / 86400</f>
        <v>0</v>
      </c>
      <c r="N14" s="3">
        <v>0</v>
      </c>
      <c r="O14" s="9"/>
      <c r="P14" s="13" t="s">
        <v>47</v>
      </c>
      <c r="Q14" s="14">
        <v>1</v>
      </c>
      <c r="R14" s="14">
        <v>0</v>
      </c>
      <c r="S14" s="3">
        <v>0</v>
      </c>
      <c r="T14" s="3">
        <v>96</v>
      </c>
      <c r="U14" s="9"/>
      <c r="V14" s="3">
        <v>0</v>
      </c>
      <c r="W14" s="3">
        <v>0</v>
      </c>
      <c r="X14" s="4" t="s">
        <v>15</v>
      </c>
    </row>
    <row r="15" spans="1:24" x14ac:dyDescent="0.25">
      <c r="B15" s="4" t="s">
        <v>43</v>
      </c>
      <c r="C15" s="9" t="s">
        <v>44</v>
      </c>
      <c r="D15" s="4">
        <v>2</v>
      </c>
      <c r="E15" s="26" t="s">
        <v>49</v>
      </c>
      <c r="F15" s="9" t="s">
        <v>46</v>
      </c>
      <c r="G15" s="4">
        <v>24</v>
      </c>
      <c r="H15" s="9"/>
      <c r="I15" s="2">
        <f xml:space="preserve"> 8.38290433044699 / 86400</f>
        <v>9.7024355676469801E-5</v>
      </c>
      <c r="J15" s="2">
        <f xml:space="preserve"> 24.727585573088 / 86400</f>
        <v>2.8619890709592592E-4</v>
      </c>
      <c r="K15" s="27">
        <f xml:space="preserve"> 15.1413010212009 / 86400</f>
        <v>1.7524653959723264E-4</v>
      </c>
      <c r="L15" s="2">
        <f xml:space="preserve"> 4.57008977319018 / 86400</f>
        <v>5.2894557560071523E-5</v>
      </c>
      <c r="M15" s="2">
        <f t="shared" si="0"/>
        <v>0</v>
      </c>
      <c r="N15" s="3">
        <v>0</v>
      </c>
      <c r="O15" s="9"/>
      <c r="P15" s="13" t="s">
        <v>47</v>
      </c>
      <c r="Q15" s="14">
        <v>0</v>
      </c>
      <c r="R15" s="14">
        <v>0</v>
      </c>
      <c r="S15" s="3">
        <v>0</v>
      </c>
      <c r="T15" s="3">
        <v>100</v>
      </c>
      <c r="U15" s="9"/>
      <c r="V15" s="3">
        <v>0</v>
      </c>
      <c r="W15" s="3">
        <v>0</v>
      </c>
      <c r="X15" s="4" t="s">
        <v>15</v>
      </c>
    </row>
    <row r="16" spans="1:24" x14ac:dyDescent="0.25">
      <c r="B16" s="4" t="s">
        <v>43</v>
      </c>
      <c r="C16" s="9" t="s">
        <v>44</v>
      </c>
      <c r="D16" s="4">
        <v>3</v>
      </c>
      <c r="E16" s="26" t="s">
        <v>50</v>
      </c>
      <c r="F16" s="9" t="s">
        <v>46</v>
      </c>
      <c r="G16" s="4">
        <v>24</v>
      </c>
      <c r="H16" s="9"/>
      <c r="I16" s="2">
        <f xml:space="preserve"> 35.167268775383 / 86400</f>
        <v>4.0702857378915511E-4</v>
      </c>
      <c r="J16" s="2">
        <f xml:space="preserve"> 61.065947707022 / 86400</f>
        <v>7.0678180216460641E-4</v>
      </c>
      <c r="K16" s="27">
        <f xml:space="preserve"> 47.7592057746662 / 86400</f>
        <v>5.5276858535493285E-4</v>
      </c>
      <c r="L16" s="2">
        <f xml:space="preserve"> 8.14514911958291 / 86400</f>
        <v>9.4272559254431835E-5</v>
      </c>
      <c r="M16" s="2">
        <f t="shared" si="0"/>
        <v>0</v>
      </c>
      <c r="N16" s="3">
        <v>0</v>
      </c>
      <c r="O16" s="9"/>
      <c r="P16" s="13" t="s">
        <v>47</v>
      </c>
      <c r="Q16" s="14">
        <v>0</v>
      </c>
      <c r="R16" s="14">
        <v>0</v>
      </c>
      <c r="S16" s="3">
        <v>0</v>
      </c>
      <c r="T16" s="3">
        <v>100</v>
      </c>
      <c r="U16" s="9"/>
      <c r="V16" s="3">
        <v>0</v>
      </c>
      <c r="W16" s="3">
        <v>0</v>
      </c>
      <c r="X16" s="4" t="s">
        <v>15</v>
      </c>
    </row>
    <row r="17" spans="2:24" x14ac:dyDescent="0.25">
      <c r="B17" s="4" t="s">
        <v>43</v>
      </c>
      <c r="C17" s="9" t="s">
        <v>44</v>
      </c>
      <c r="D17" s="4">
        <v>4</v>
      </c>
      <c r="E17" s="24" t="s">
        <v>51</v>
      </c>
      <c r="F17" s="9" t="s">
        <v>46</v>
      </c>
      <c r="G17" s="4">
        <v>24</v>
      </c>
      <c r="H17" s="9"/>
      <c r="I17" s="2">
        <f xml:space="preserve"> 92.991071428089 / 86400</f>
        <v>1.0762855489362152E-3</v>
      </c>
      <c r="J17" s="2">
        <f xml:space="preserve"> 368.059650053768 / 86400</f>
        <v>4.2599496534000926E-3</v>
      </c>
      <c r="K17" s="25">
        <f xml:space="preserve"> 195.766161786593 / 86400</f>
        <v>2.2658120577151966E-3</v>
      </c>
      <c r="L17" s="2">
        <f xml:space="preserve"> 83.1437766456471 / 86400</f>
        <v>9.6231222969498948E-4</v>
      </c>
      <c r="M17" s="2">
        <f t="shared" si="0"/>
        <v>0</v>
      </c>
      <c r="N17" s="3">
        <v>0</v>
      </c>
      <c r="O17" s="9"/>
      <c r="P17" s="13" t="s">
        <v>47</v>
      </c>
      <c r="Q17" s="14">
        <v>0</v>
      </c>
      <c r="R17" s="14">
        <v>0</v>
      </c>
      <c r="S17" s="3">
        <v>0</v>
      </c>
      <c r="T17" s="3">
        <v>100</v>
      </c>
      <c r="U17" s="9"/>
      <c r="V17" s="3">
        <v>0</v>
      </c>
      <c r="W17" s="3">
        <v>0</v>
      </c>
      <c r="X17" s="4" t="s">
        <v>15</v>
      </c>
    </row>
    <row r="18" spans="2:24" x14ac:dyDescent="0.25">
      <c r="B18" s="4" t="s">
        <v>43</v>
      </c>
      <c r="C18" s="9" t="s">
        <v>44</v>
      </c>
      <c r="D18" s="4">
        <v>5</v>
      </c>
      <c r="E18" s="24" t="s">
        <v>52</v>
      </c>
      <c r="F18" s="9" t="s">
        <v>46</v>
      </c>
      <c r="G18" s="4">
        <v>336</v>
      </c>
      <c r="H18" s="9"/>
      <c r="I18" s="2">
        <f xml:space="preserve"> 3.02343648720125 / 86400</f>
        <v>3.4993477861125577E-5</v>
      </c>
      <c r="J18" s="2">
        <f xml:space="preserve"> 123.603473097799 / 86400</f>
        <v>1.4305957534467477E-3</v>
      </c>
      <c r="K18" s="25">
        <f xml:space="preserve"> 70.7519666610263 / 86400</f>
        <v>8.188885030211378E-4</v>
      </c>
      <c r="L18" s="2">
        <f xml:space="preserve"> 19.4739485408941 / 86400</f>
        <v>2.2539292292701504E-4</v>
      </c>
      <c r="M18" s="2">
        <f t="shared" si="0"/>
        <v>0</v>
      </c>
      <c r="N18" s="3">
        <v>0</v>
      </c>
      <c r="O18" s="9"/>
      <c r="P18" s="13" t="s">
        <v>47</v>
      </c>
      <c r="Q18" s="14">
        <v>0</v>
      </c>
      <c r="R18" s="14">
        <v>0</v>
      </c>
      <c r="S18" s="3">
        <v>0</v>
      </c>
      <c r="T18" s="3">
        <v>100</v>
      </c>
      <c r="U18" s="9"/>
      <c r="V18" s="3">
        <v>0</v>
      </c>
      <c r="W18" s="3">
        <v>0</v>
      </c>
      <c r="X18" s="4" t="s">
        <v>15</v>
      </c>
    </row>
    <row r="19" spans="2:24" x14ac:dyDescent="0.25">
      <c r="B19" s="4" t="s">
        <v>43</v>
      </c>
      <c r="C19" s="9" t="s">
        <v>44</v>
      </c>
      <c r="D19" s="4">
        <v>6</v>
      </c>
      <c r="E19" s="24" t="s">
        <v>53</v>
      </c>
      <c r="F19" s="9" t="s">
        <v>46</v>
      </c>
      <c r="G19" s="4">
        <v>336</v>
      </c>
      <c r="H19" s="9"/>
      <c r="I19" s="2">
        <f xml:space="preserve"> 20.6314084733003 / 86400</f>
        <v>2.3878944992245719E-4</v>
      </c>
      <c r="J19" s="2">
        <f xml:space="preserve"> 71.2759104139004 / 86400</f>
        <v>8.2495266682755097E-4</v>
      </c>
      <c r="K19" s="25">
        <f xml:space="preserve"> 49.2772199138651 / 86400</f>
        <v>5.7033819344751277E-4</v>
      </c>
      <c r="L19" s="2">
        <f xml:space="preserve"> 8.87071358154583 / 86400</f>
        <v>1.0267029608270637E-4</v>
      </c>
      <c r="M19" s="2">
        <f t="shared" si="0"/>
        <v>0</v>
      </c>
      <c r="N19" s="3">
        <v>0</v>
      </c>
      <c r="O19" s="9"/>
      <c r="P19" s="13" t="s">
        <v>47</v>
      </c>
      <c r="Q19" s="14">
        <v>0</v>
      </c>
      <c r="R19" s="14">
        <v>0</v>
      </c>
      <c r="S19" s="3">
        <v>0</v>
      </c>
      <c r="T19" s="3">
        <v>100</v>
      </c>
      <c r="U19" s="9"/>
      <c r="V19" s="3">
        <v>0</v>
      </c>
      <c r="W19" s="3">
        <v>0</v>
      </c>
      <c r="X19" s="4" t="s">
        <v>15</v>
      </c>
    </row>
    <row r="20" spans="2:24" x14ac:dyDescent="0.25">
      <c r="B20" s="4" t="s">
        <v>43</v>
      </c>
      <c r="C20" s="9" t="s">
        <v>44</v>
      </c>
      <c r="D20" s="4">
        <v>7</v>
      </c>
      <c r="E20" s="24" t="s">
        <v>54</v>
      </c>
      <c r="F20" s="9" t="s">
        <v>46</v>
      </c>
      <c r="G20" s="4">
        <v>336</v>
      </c>
      <c r="H20" s="9"/>
      <c r="I20" s="2">
        <f xml:space="preserve"> 39.4654417488018 / 86400</f>
        <v>4.5677594616668751E-4</v>
      </c>
      <c r="J20" s="2">
        <f xml:space="preserve"> 99.5739679375984 / 86400</f>
        <v>1.1524764807592407E-3</v>
      </c>
      <c r="K20" s="25">
        <f xml:space="preserve"> 70.4352062253917 / 86400</f>
        <v>8.1522229427536687E-4</v>
      </c>
      <c r="L20" s="2">
        <f xml:space="preserve"> 10.8270879580625 / 86400</f>
        <v>1.2531351803313077E-4</v>
      </c>
      <c r="M20" s="2">
        <f t="shared" si="0"/>
        <v>0</v>
      </c>
      <c r="N20" s="3">
        <v>0</v>
      </c>
      <c r="O20" s="9"/>
      <c r="P20" s="13" t="s">
        <v>47</v>
      </c>
      <c r="Q20" s="14">
        <v>0</v>
      </c>
      <c r="R20" s="14">
        <v>0</v>
      </c>
      <c r="S20" s="3">
        <v>0</v>
      </c>
      <c r="T20" s="3">
        <v>100</v>
      </c>
      <c r="U20" s="9"/>
      <c r="V20" s="3">
        <v>0</v>
      </c>
      <c r="W20" s="3">
        <v>0</v>
      </c>
      <c r="X20" s="4" t="s">
        <v>15</v>
      </c>
    </row>
    <row r="21" spans="2:24" x14ac:dyDescent="0.25">
      <c r="B21" s="4" t="s">
        <v>43</v>
      </c>
      <c r="C21" s="9" t="s">
        <v>44</v>
      </c>
      <c r="D21" s="4">
        <v>8</v>
      </c>
      <c r="E21" s="24" t="s">
        <v>55</v>
      </c>
      <c r="F21" s="9" t="s">
        <v>46</v>
      </c>
      <c r="G21" s="4">
        <v>336</v>
      </c>
      <c r="H21" s="9"/>
      <c r="I21" s="2">
        <f xml:space="preserve"> 701.163953963805 / 86400</f>
        <v>8.1153235412477435E-3</v>
      </c>
      <c r="J21" s="2">
        <f xml:space="preserve"> 9075.3578234576 / 86400</f>
        <v>0.10503886369742592</v>
      </c>
      <c r="K21" s="25">
        <f xml:space="preserve"> 4263.88134162526 / 86400</f>
        <v>4.9350478491033099E-2</v>
      </c>
      <c r="L21" s="2">
        <f xml:space="preserve"> 1727.06697490626 / 86400</f>
        <v>1.9989201098452081E-2</v>
      </c>
      <c r="M21" s="2">
        <f t="shared" si="0"/>
        <v>0</v>
      </c>
      <c r="N21" s="3">
        <v>0</v>
      </c>
      <c r="O21" s="9"/>
      <c r="P21" s="13" t="s">
        <v>47</v>
      </c>
      <c r="Q21" s="14">
        <v>0</v>
      </c>
      <c r="R21" s="14">
        <v>0</v>
      </c>
      <c r="S21" s="3">
        <v>0</v>
      </c>
      <c r="T21" s="3">
        <v>100</v>
      </c>
      <c r="U21" s="9"/>
      <c r="V21" s="3">
        <v>0</v>
      </c>
      <c r="W21" s="3">
        <v>0</v>
      </c>
      <c r="X21" s="4" t="s">
        <v>15</v>
      </c>
    </row>
    <row r="22" spans="2:24" x14ac:dyDescent="0.25">
      <c r="B22" s="4" t="s">
        <v>43</v>
      </c>
      <c r="C22" s="9" t="s">
        <v>44</v>
      </c>
      <c r="D22" s="4">
        <v>9</v>
      </c>
      <c r="E22" s="24" t="s">
        <v>56</v>
      </c>
      <c r="F22" s="9" t="s">
        <v>46</v>
      </c>
      <c r="G22" s="4">
        <v>55</v>
      </c>
      <c r="H22" s="9"/>
      <c r="I22" s="2">
        <f xml:space="preserve"> 753.829648045599 / 86400</f>
        <v>8.7248801857129511E-3</v>
      </c>
      <c r="J22" s="2">
        <f xml:space="preserve"> 2455.6885405663 / 86400</f>
        <v>2.8422321071369216E-2</v>
      </c>
      <c r="K22" s="25">
        <f xml:space="preserve"> 1509.7750260132 / 86400</f>
        <v>1.7474247986263888E-2</v>
      </c>
      <c r="L22" s="2">
        <f xml:space="preserve"> 483.166876993715 / 86400</f>
        <v>5.5922092244642943E-3</v>
      </c>
      <c r="M22" s="2">
        <f t="shared" si="0"/>
        <v>0</v>
      </c>
      <c r="N22" s="3">
        <v>0</v>
      </c>
      <c r="O22" s="9"/>
      <c r="P22" s="13" t="s">
        <v>47</v>
      </c>
      <c r="Q22" s="14">
        <v>0</v>
      </c>
      <c r="R22" s="14">
        <v>0</v>
      </c>
      <c r="S22" s="3">
        <v>0</v>
      </c>
      <c r="T22" s="3">
        <v>100</v>
      </c>
      <c r="U22" s="9"/>
      <c r="V22" s="3">
        <v>0</v>
      </c>
      <c r="W22" s="3">
        <v>0</v>
      </c>
      <c r="X22" s="4" t="s">
        <v>15</v>
      </c>
    </row>
    <row r="23" spans="2:24" x14ac:dyDescent="0.25">
      <c r="B23" s="4" t="s">
        <v>43</v>
      </c>
      <c r="C23" s="9" t="s">
        <v>44</v>
      </c>
      <c r="D23" s="4">
        <v>10</v>
      </c>
      <c r="E23" s="24" t="s">
        <v>57</v>
      </c>
      <c r="F23" s="9" t="s">
        <v>46</v>
      </c>
      <c r="G23" s="4">
        <v>336</v>
      </c>
      <c r="H23" s="9"/>
      <c r="I23" s="2">
        <f xml:space="preserve"> 643.241791577413 / 86400</f>
        <v>7.4449281432570945E-3</v>
      </c>
      <c r="J23" s="2">
        <f xml:space="preserve"> 1689.2741339904 / 86400</f>
        <v>1.9551783958222223E-2</v>
      </c>
      <c r="K23" s="25">
        <f xml:space="preserve"> 996.025873064384 / 86400</f>
        <v>1.1528077234541481E-2</v>
      </c>
      <c r="L23" s="2">
        <f xml:space="preserve"> 213.146184211614 / 86400</f>
        <v>2.4669697246714585E-3</v>
      </c>
      <c r="M23" s="2">
        <f t="shared" si="0"/>
        <v>0</v>
      </c>
      <c r="N23" s="3">
        <v>0</v>
      </c>
      <c r="O23" s="9"/>
      <c r="P23" s="13" t="s">
        <v>47</v>
      </c>
      <c r="Q23" s="14">
        <v>0</v>
      </c>
      <c r="R23" s="14">
        <v>0</v>
      </c>
      <c r="S23" s="3">
        <v>0</v>
      </c>
      <c r="T23" s="3">
        <v>100</v>
      </c>
      <c r="U23" s="9"/>
      <c r="V23" s="3">
        <v>0</v>
      </c>
      <c r="W23" s="3">
        <v>0</v>
      </c>
      <c r="X23" s="4" t="s">
        <v>15</v>
      </c>
    </row>
    <row r="24" spans="2:24" x14ac:dyDescent="0.25">
      <c r="B24" s="4" t="s">
        <v>43</v>
      </c>
      <c r="C24" s="9" t="s">
        <v>44</v>
      </c>
      <c r="D24" s="4">
        <v>11</v>
      </c>
      <c r="E24" s="24" t="s">
        <v>58</v>
      </c>
      <c r="F24" s="9" t="s">
        <v>46</v>
      </c>
      <c r="G24" s="4">
        <v>336</v>
      </c>
      <c r="H24" s="9"/>
      <c r="I24" s="2">
        <f xml:space="preserve"> 8.14938391473061 / 86400</f>
        <v>9.4321573087159834E-5</v>
      </c>
      <c r="J24" s="2">
        <f xml:space="preserve"> 287.492946256796 / 86400</f>
        <v>3.3274646557499539E-3</v>
      </c>
      <c r="K24" s="25">
        <f xml:space="preserve"> 124.984379152952 / 86400</f>
        <v>1.446578462418426E-3</v>
      </c>
      <c r="L24" s="2">
        <f xml:space="preserve"> 79.267438688335 / 86400</f>
        <v>9.1744720704091441E-4</v>
      </c>
      <c r="M24" s="2">
        <f t="shared" si="0"/>
        <v>0</v>
      </c>
      <c r="N24" s="3">
        <v>0</v>
      </c>
      <c r="O24" s="9"/>
      <c r="P24" s="13" t="s">
        <v>47</v>
      </c>
      <c r="Q24" s="14">
        <v>0</v>
      </c>
      <c r="R24" s="14">
        <v>0</v>
      </c>
      <c r="S24" s="3">
        <v>0</v>
      </c>
      <c r="T24" s="3">
        <v>100</v>
      </c>
      <c r="U24" s="9"/>
      <c r="V24" s="3">
        <v>0</v>
      </c>
      <c r="W24" s="3">
        <v>0</v>
      </c>
      <c r="X24" s="4" t="s">
        <v>15</v>
      </c>
    </row>
    <row r="25" spans="2:24" x14ac:dyDescent="0.25">
      <c r="B25" s="4" t="s">
        <v>43</v>
      </c>
      <c r="C25" s="9" t="s">
        <v>44</v>
      </c>
      <c r="D25" s="4">
        <v>12</v>
      </c>
      <c r="E25" s="24" t="s">
        <v>59</v>
      </c>
      <c r="F25" s="9" t="s">
        <v>46</v>
      </c>
      <c r="G25" s="4">
        <v>336</v>
      </c>
      <c r="H25" s="9"/>
      <c r="I25" s="2">
        <f xml:space="preserve"> 119.81764315864 / 86400</f>
        <v>1.3867782772990741E-3</v>
      </c>
      <c r="J25" s="2">
        <f xml:space="preserve"> 1259.3051731584 / 86400</f>
        <v>1.4575291356000001E-2</v>
      </c>
      <c r="K25" s="25">
        <f xml:space="preserve"> 535.676079447964 / 86400</f>
        <v>6.1999546232403236E-3</v>
      </c>
      <c r="L25" s="2">
        <f xml:space="preserve"> 218.732978839852 / 86400</f>
        <v>2.5316316995353241E-3</v>
      </c>
      <c r="M25" s="2">
        <f t="shared" si="0"/>
        <v>0</v>
      </c>
      <c r="N25" s="3">
        <v>0</v>
      </c>
      <c r="O25" s="9"/>
      <c r="P25" s="13" t="s">
        <v>47</v>
      </c>
      <c r="Q25" s="14">
        <v>0</v>
      </c>
      <c r="R25" s="14">
        <v>0</v>
      </c>
      <c r="S25" s="3">
        <v>0</v>
      </c>
      <c r="T25" s="3">
        <v>100</v>
      </c>
      <c r="U25" s="9"/>
      <c r="V25" s="3">
        <v>0</v>
      </c>
      <c r="W25" s="3">
        <v>0</v>
      </c>
      <c r="X25" s="4" t="s">
        <v>15</v>
      </c>
    </row>
    <row r="26" spans="2:24" x14ac:dyDescent="0.25">
      <c r="B26" s="4" t="s">
        <v>43</v>
      </c>
      <c r="C26" s="9" t="s">
        <v>44</v>
      </c>
      <c r="D26" s="4">
        <v>13</v>
      </c>
      <c r="E26" s="22" t="s">
        <v>60</v>
      </c>
      <c r="F26" s="9" t="s">
        <v>46</v>
      </c>
      <c r="G26" s="4">
        <v>24</v>
      </c>
      <c r="H26" s="9"/>
      <c r="I26" s="2">
        <f xml:space="preserve"> 400.682692789298 / 86400</f>
        <v>4.6375311665428015E-3</v>
      </c>
      <c r="J26" s="2">
        <f xml:space="preserve"> 729.962593745804 / 86400</f>
        <v>8.4486411313171757E-3</v>
      </c>
      <c r="K26" s="23">
        <f xml:space="preserve"> 572.545831640826 / 86400</f>
        <v>6.6266878662132643E-3</v>
      </c>
      <c r="L26" s="2">
        <f xml:space="preserve"> 100.8332361443 / 86400</f>
        <v>1.1670513442627315E-3</v>
      </c>
      <c r="M26" s="2">
        <f t="shared" si="0"/>
        <v>0</v>
      </c>
      <c r="N26" s="3">
        <v>0</v>
      </c>
      <c r="O26" s="9"/>
      <c r="P26" s="13" t="s">
        <v>47</v>
      </c>
      <c r="Q26" s="14">
        <v>0</v>
      </c>
      <c r="R26" s="14">
        <v>0</v>
      </c>
      <c r="S26" s="3">
        <v>0</v>
      </c>
      <c r="T26" s="3">
        <v>100</v>
      </c>
      <c r="U26" s="9"/>
      <c r="V26" s="3">
        <v>0</v>
      </c>
      <c r="W26" s="3">
        <v>0</v>
      </c>
      <c r="X26" s="4" t="s">
        <v>15</v>
      </c>
    </row>
    <row r="27" spans="2:24" x14ac:dyDescent="0.25">
      <c r="B27" s="4" t="s">
        <v>43</v>
      </c>
      <c r="C27" s="9" t="s">
        <v>44</v>
      </c>
      <c r="D27" s="4">
        <v>14</v>
      </c>
      <c r="E27" s="22" t="s">
        <v>61</v>
      </c>
      <c r="F27" s="9" t="s">
        <v>46</v>
      </c>
      <c r="G27" s="4">
        <v>24</v>
      </c>
      <c r="H27" s="9"/>
      <c r="I27" s="2">
        <f xml:space="preserve"> 251.222189933105 / 86400</f>
        <v>2.9076642353368636E-3</v>
      </c>
      <c r="J27" s="2">
        <f xml:space="preserve"> 562.61334394 / 86400</f>
        <v>6.5117285178240749E-3</v>
      </c>
      <c r="K27" s="23">
        <f xml:space="preserve"> 402.632848960583 / 86400</f>
        <v>4.6601024185252658E-3</v>
      </c>
      <c r="L27" s="2">
        <f xml:space="preserve"> 79.4882058036809 / 86400</f>
        <v>9.2000238198704741E-4</v>
      </c>
      <c r="M27" s="2">
        <f t="shared" si="0"/>
        <v>0</v>
      </c>
      <c r="N27" s="3">
        <v>0</v>
      </c>
      <c r="O27" s="9"/>
      <c r="P27" s="13" t="s">
        <v>47</v>
      </c>
      <c r="Q27" s="14">
        <v>0</v>
      </c>
      <c r="R27" s="14">
        <v>0</v>
      </c>
      <c r="S27" s="3">
        <v>0</v>
      </c>
      <c r="T27" s="3">
        <v>100</v>
      </c>
      <c r="U27" s="9"/>
      <c r="V27" s="3">
        <v>0</v>
      </c>
      <c r="W27" s="3">
        <v>0</v>
      </c>
      <c r="X27" s="4" t="s">
        <v>15</v>
      </c>
    </row>
    <row r="28" spans="2:24" x14ac:dyDescent="0.25">
      <c r="B28" s="4" t="s">
        <v>43</v>
      </c>
      <c r="C28" s="9" t="s">
        <v>44</v>
      </c>
      <c r="D28" s="4">
        <v>15</v>
      </c>
      <c r="E28" s="22" t="s">
        <v>62</v>
      </c>
      <c r="F28" s="9" t="s">
        <v>46</v>
      </c>
      <c r="G28" s="4">
        <v>24</v>
      </c>
      <c r="H28" s="9"/>
      <c r="I28" s="2">
        <f xml:space="preserve"> 3334.5286684094 / 86400</f>
        <v>3.859408181029398E-2</v>
      </c>
      <c r="J28" s="2">
        <f xml:space="preserve"> 4948.8272672056 / 86400</f>
        <v>5.7278093370435185E-2</v>
      </c>
      <c r="K28" s="23">
        <f xml:space="preserve"> 4099.25622929844 / 86400</f>
        <v>4.7445095246509729E-2</v>
      </c>
      <c r="L28" s="2">
        <f xml:space="preserve"> 444.160229812978 / 86400</f>
        <v>5.1407434006131717E-3</v>
      </c>
      <c r="M28" s="2">
        <f t="shared" si="0"/>
        <v>0</v>
      </c>
      <c r="N28" s="3">
        <v>0</v>
      </c>
      <c r="O28" s="9"/>
      <c r="P28" s="13" t="s">
        <v>47</v>
      </c>
      <c r="Q28" s="14">
        <v>0</v>
      </c>
      <c r="R28" s="14">
        <v>0</v>
      </c>
      <c r="S28" s="3">
        <v>0</v>
      </c>
      <c r="T28" s="3">
        <v>100</v>
      </c>
      <c r="U28" s="9"/>
      <c r="V28" s="3">
        <v>0</v>
      </c>
      <c r="W28" s="3">
        <v>0</v>
      </c>
      <c r="X28" s="4" t="s">
        <v>15</v>
      </c>
    </row>
    <row r="29" spans="2:24" x14ac:dyDescent="0.25">
      <c r="B29" s="4" t="s">
        <v>43</v>
      </c>
      <c r="C29" s="9" t="s">
        <v>44</v>
      </c>
      <c r="D29" s="4">
        <v>16</v>
      </c>
      <c r="E29" s="22" t="s">
        <v>63</v>
      </c>
      <c r="F29" s="9" t="s">
        <v>46</v>
      </c>
      <c r="G29" s="4">
        <v>24</v>
      </c>
      <c r="H29" s="9"/>
      <c r="I29" s="2">
        <f xml:space="preserve"> 346.078998159297 / 86400</f>
        <v>4.0055439601770484E-3</v>
      </c>
      <c r="J29" s="2">
        <f xml:space="preserve"> 601.887595602195 / 86400</f>
        <v>6.9662916157661459E-3</v>
      </c>
      <c r="K29" s="23">
        <f xml:space="preserve"> 468.821807986533 / 86400</f>
        <v>5.426178333177465E-3</v>
      </c>
      <c r="L29" s="2">
        <f xml:space="preserve"> 53.6012222720407 / 86400</f>
        <v>6.2038451703750816E-4</v>
      </c>
      <c r="M29" s="2">
        <f t="shared" si="0"/>
        <v>0</v>
      </c>
      <c r="N29" s="3">
        <v>0</v>
      </c>
      <c r="O29" s="9"/>
      <c r="P29" s="13" t="s">
        <v>47</v>
      </c>
      <c r="Q29" s="14">
        <v>0</v>
      </c>
      <c r="R29" s="14">
        <v>0</v>
      </c>
      <c r="S29" s="3">
        <v>0</v>
      </c>
      <c r="T29" s="3">
        <v>100</v>
      </c>
      <c r="U29" s="9"/>
      <c r="V29" s="3">
        <v>0</v>
      </c>
      <c r="W29" s="3">
        <v>0</v>
      </c>
      <c r="X29" s="4" t="s">
        <v>15</v>
      </c>
    </row>
    <row r="30" spans="2:24" x14ac:dyDescent="0.25">
      <c r="B30" s="4" t="s">
        <v>43</v>
      </c>
      <c r="C30" s="9" t="s">
        <v>44</v>
      </c>
      <c r="D30" s="4">
        <v>17</v>
      </c>
      <c r="E30" s="22" t="s">
        <v>64</v>
      </c>
      <c r="F30" s="9" t="s">
        <v>46</v>
      </c>
      <c r="G30" s="4">
        <v>24</v>
      </c>
      <c r="H30" s="9"/>
      <c r="I30" s="2">
        <f xml:space="preserve"> 131.470994777701 / 86400</f>
        <v>1.5216550321493173E-3</v>
      </c>
      <c r="J30" s="2">
        <f xml:space="preserve"> 268.346866466207 / 86400</f>
        <v>3.105866510025544E-3</v>
      </c>
      <c r="K30" s="23">
        <f xml:space="preserve"> 200.359966977092 / 86400</f>
        <v>2.3189810992718983E-3</v>
      </c>
      <c r="L30" s="2">
        <f xml:space="preserve"> 41.9671073879129 / 86400</f>
        <v>4.8573040958232517E-4</v>
      </c>
      <c r="M30" s="2">
        <f t="shared" si="0"/>
        <v>0</v>
      </c>
      <c r="N30" s="3">
        <v>0</v>
      </c>
      <c r="O30" s="9"/>
      <c r="P30" s="13" t="s">
        <v>47</v>
      </c>
      <c r="Q30" s="14">
        <v>0</v>
      </c>
      <c r="R30" s="14">
        <v>0</v>
      </c>
      <c r="S30" s="3">
        <v>0</v>
      </c>
      <c r="T30" s="3">
        <v>100</v>
      </c>
      <c r="U30" s="9"/>
      <c r="V30" s="3">
        <v>0</v>
      </c>
      <c r="W30" s="3">
        <v>0</v>
      </c>
      <c r="X30" s="4" t="s">
        <v>15</v>
      </c>
    </row>
    <row r="31" spans="2:24" x14ac:dyDescent="0.25">
      <c r="B31" s="4" t="s">
        <v>43</v>
      </c>
      <c r="C31" s="9" t="s">
        <v>44</v>
      </c>
      <c r="D31" s="4">
        <v>999</v>
      </c>
      <c r="E31" s="9" t="s">
        <v>65</v>
      </c>
      <c r="F31" s="9" t="s">
        <v>46</v>
      </c>
      <c r="G31" s="4">
        <v>24</v>
      </c>
      <c r="H31" s="9"/>
      <c r="I31" s="2">
        <f xml:space="preserve"> 0 / 86400</f>
        <v>0</v>
      </c>
      <c r="J31" s="2">
        <f xml:space="preserve"> 0 / 86400</f>
        <v>0</v>
      </c>
      <c r="K31" s="2">
        <f xml:space="preserve"> 0 / 86400</f>
        <v>0</v>
      </c>
      <c r="L31" s="2">
        <f xml:space="preserve"> 0 / 86400</f>
        <v>0</v>
      </c>
      <c r="M31" s="2">
        <f t="shared" si="0"/>
        <v>0</v>
      </c>
      <c r="N31" s="3">
        <v>100</v>
      </c>
      <c r="O31" s="9"/>
      <c r="P31" s="13" t="s">
        <v>47</v>
      </c>
      <c r="Q31" s="14">
        <v>0</v>
      </c>
      <c r="R31" s="14">
        <v>0</v>
      </c>
      <c r="S31" s="3">
        <v>0</v>
      </c>
      <c r="T31" s="3">
        <v>100</v>
      </c>
      <c r="U31" s="9"/>
      <c r="V31" s="3">
        <v>0</v>
      </c>
      <c r="W31" s="3">
        <v>100</v>
      </c>
      <c r="X31" s="4" t="s">
        <v>15</v>
      </c>
    </row>
    <row r="32" spans="2:24" x14ac:dyDescent="0.25">
      <c r="B32" s="4"/>
      <c r="C32" s="9"/>
      <c r="D32" s="4"/>
      <c r="E32" s="9"/>
      <c r="F32" s="9"/>
      <c r="G32" s="4"/>
      <c r="H32" s="9"/>
      <c r="I32" s="2"/>
      <c r="J32" s="2"/>
      <c r="K32" s="2"/>
      <c r="L32" s="2"/>
      <c r="M32" s="2"/>
      <c r="N32" s="3"/>
      <c r="O32" s="9"/>
      <c r="P32" s="13"/>
      <c r="Q32" s="14"/>
      <c r="R32" s="14"/>
      <c r="S32" s="3"/>
      <c r="T32" s="3"/>
      <c r="U32" s="9"/>
      <c r="V32" s="3"/>
      <c r="W32" s="3"/>
      <c r="X32" s="4"/>
    </row>
    <row r="35" spans="4:6" x14ac:dyDescent="0.25">
      <c r="E35" s="12" t="s">
        <v>71</v>
      </c>
      <c r="F35" s="17" t="s">
        <v>73</v>
      </c>
    </row>
    <row r="36" spans="4:6" x14ac:dyDescent="0.25">
      <c r="D36" s="30"/>
      <c r="E36" t="s">
        <v>48</v>
      </c>
      <c r="F36" s="19">
        <f>(K14*86400)/60</f>
        <v>3.3787544297383834</v>
      </c>
    </row>
    <row r="37" spans="4:6" x14ac:dyDescent="0.25">
      <c r="D37" s="30"/>
      <c r="E37" t="s">
        <v>49</v>
      </c>
      <c r="F37" s="19">
        <f>(K15*86400)/60</f>
        <v>0.252355017020015</v>
      </c>
    </row>
    <row r="38" spans="4:6" x14ac:dyDescent="0.25">
      <c r="D38" s="30"/>
      <c r="E38" s="18" t="s">
        <v>50</v>
      </c>
      <c r="F38" s="20">
        <f>(K16*86400)/60</f>
        <v>0.79598676291110337</v>
      </c>
    </row>
    <row r="39" spans="4:6" x14ac:dyDescent="0.25">
      <c r="E39" s="16" t="s">
        <v>72</v>
      </c>
      <c r="F39" s="21">
        <f>SUM(F36:F38)</f>
        <v>4.4270962096695019</v>
      </c>
    </row>
    <row r="40" spans="4:6" x14ac:dyDescent="0.25">
      <c r="F40" s="15"/>
    </row>
    <row r="41" spans="4:6" x14ac:dyDescent="0.25">
      <c r="F41" s="15"/>
    </row>
    <row r="42" spans="4:6" x14ac:dyDescent="0.25">
      <c r="E42" s="12" t="s">
        <v>71</v>
      </c>
      <c r="F42" s="17" t="s">
        <v>73</v>
      </c>
    </row>
    <row r="43" spans="4:6" x14ac:dyDescent="0.25">
      <c r="D43" s="29"/>
      <c r="E43" t="s">
        <v>51</v>
      </c>
      <c r="F43" s="19">
        <f t="shared" ref="F43:F48" si="1">(K17*86400)/60</f>
        <v>3.2627693631098831</v>
      </c>
    </row>
    <row r="44" spans="4:6" x14ac:dyDescent="0.25">
      <c r="D44" s="29"/>
      <c r="E44" t="s">
        <v>52</v>
      </c>
      <c r="F44" s="19">
        <f t="shared" si="1"/>
        <v>1.1791994443504383</v>
      </c>
    </row>
    <row r="45" spans="4:6" x14ac:dyDescent="0.25">
      <c r="D45" s="29"/>
      <c r="E45" t="s">
        <v>53</v>
      </c>
      <c r="F45" s="19">
        <f t="shared" si="1"/>
        <v>0.82128699856441834</v>
      </c>
    </row>
    <row r="46" spans="4:6" x14ac:dyDescent="0.25">
      <c r="D46" s="29"/>
      <c r="E46" t="s">
        <v>54</v>
      </c>
      <c r="F46" s="19">
        <f t="shared" si="1"/>
        <v>1.1739201037565283</v>
      </c>
    </row>
    <row r="47" spans="4:6" x14ac:dyDescent="0.25">
      <c r="D47" s="29"/>
      <c r="E47" t="s">
        <v>55</v>
      </c>
      <c r="F47" s="19">
        <f t="shared" si="1"/>
        <v>71.064689027087667</v>
      </c>
    </row>
    <row r="48" spans="4:6" x14ac:dyDescent="0.25">
      <c r="D48" s="29"/>
      <c r="E48" t="s">
        <v>56</v>
      </c>
      <c r="F48" s="19">
        <f t="shared" si="1"/>
        <v>25.16291710022</v>
      </c>
    </row>
    <row r="49" spans="4:6" x14ac:dyDescent="0.25">
      <c r="D49" s="29"/>
      <c r="E49" t="s">
        <v>57</v>
      </c>
      <c r="F49" s="19">
        <f t="shared" ref="F49" si="2">(K23*86400)/60</f>
        <v>16.600431217739732</v>
      </c>
    </row>
    <row r="50" spans="4:6" x14ac:dyDescent="0.25">
      <c r="D50" s="29"/>
      <c r="E50" t="s">
        <v>58</v>
      </c>
      <c r="F50" s="19">
        <f>(K24*86400)/60</f>
        <v>2.0830729858825334</v>
      </c>
    </row>
    <row r="51" spans="4:6" x14ac:dyDescent="0.25">
      <c r="D51" s="29"/>
      <c r="E51" s="18" t="s">
        <v>59</v>
      </c>
      <c r="F51" s="20">
        <f>(K25*86400)/60</f>
        <v>8.9279346574660661</v>
      </c>
    </row>
    <row r="52" spans="4:6" x14ac:dyDescent="0.25">
      <c r="E52" s="16" t="s">
        <v>74</v>
      </c>
      <c r="F52" s="21">
        <f>SUM(F43:F51)</f>
        <v>130.27622089817726</v>
      </c>
    </row>
    <row r="53" spans="4:6" x14ac:dyDescent="0.25">
      <c r="F53" s="15"/>
    </row>
    <row r="54" spans="4:6" x14ac:dyDescent="0.25">
      <c r="F54" s="15"/>
    </row>
    <row r="55" spans="4:6" x14ac:dyDescent="0.25">
      <c r="E55" s="12" t="s">
        <v>75</v>
      </c>
      <c r="F55" s="17" t="s">
        <v>73</v>
      </c>
    </row>
    <row r="56" spans="4:6" x14ac:dyDescent="0.25">
      <c r="D56" s="28"/>
      <c r="E56" t="s">
        <v>60</v>
      </c>
      <c r="F56" s="19">
        <f>(K26*86400)/60</f>
        <v>9.5424305273471006</v>
      </c>
    </row>
    <row r="57" spans="4:6" x14ac:dyDescent="0.25">
      <c r="D57" s="28"/>
      <c r="E57" t="s">
        <v>61</v>
      </c>
      <c r="F57" s="19">
        <f>(K27*86400)/60</f>
        <v>6.7105474826763833</v>
      </c>
    </row>
    <row r="58" spans="4:6" x14ac:dyDescent="0.25">
      <c r="D58" s="28"/>
      <c r="E58" t="s">
        <v>62</v>
      </c>
      <c r="F58" s="19">
        <f>(K28*86400)/60</f>
        <v>68.320937154974004</v>
      </c>
    </row>
    <row r="59" spans="4:6" x14ac:dyDescent="0.25">
      <c r="D59" s="28"/>
      <c r="E59" t="s">
        <v>63</v>
      </c>
      <c r="F59" s="19">
        <f>(K29*86400)/60</f>
        <v>7.81369679977555</v>
      </c>
    </row>
    <row r="60" spans="4:6" x14ac:dyDescent="0.25">
      <c r="D60" s="28"/>
      <c r="E60" s="18" t="s">
        <v>64</v>
      </c>
      <c r="F60" s="20">
        <f>(K30*86400)/60</f>
        <v>3.339332782951534</v>
      </c>
    </row>
    <row r="61" spans="4:6" x14ac:dyDescent="0.25">
      <c r="E61" s="16" t="s">
        <v>74</v>
      </c>
      <c r="F61" s="21">
        <f>SUM(F56:F60)</f>
        <v>95.726944747724573</v>
      </c>
    </row>
    <row r="62" spans="4:6" x14ac:dyDescent="0.25">
      <c r="F62" s="15"/>
    </row>
    <row r="63" spans="4:6" x14ac:dyDescent="0.25">
      <c r="F63" s="15"/>
    </row>
    <row r="64" spans="4:6" x14ac:dyDescent="0.25">
      <c r="D64" s="31"/>
      <c r="E64" s="16" t="s">
        <v>76</v>
      </c>
      <c r="F64" s="21">
        <f>F52+SUM(F56:F59)</f>
        <v>222.6638328629503</v>
      </c>
    </row>
    <row r="65" spans="6:6" x14ac:dyDescent="0.25">
      <c r="F65" s="15"/>
    </row>
    <row r="66" spans="6:6" x14ac:dyDescent="0.25">
      <c r="F66" s="15"/>
    </row>
    <row r="67" spans="6:6" x14ac:dyDescent="0.25">
      <c r="F67" s="15"/>
    </row>
    <row r="68" spans="6:6" x14ac:dyDescent="0.25">
      <c r="F68" s="15"/>
    </row>
    <row r="69" spans="6:6" x14ac:dyDescent="0.25">
      <c r="F69" s="15"/>
    </row>
    <row r="70" spans="6:6" x14ac:dyDescent="0.25">
      <c r="F70" s="15"/>
    </row>
  </sheetData>
  <mergeCells count="9">
    <mergeCell ref="V11:X11"/>
    <mergeCell ref="F11:F12"/>
    <mergeCell ref="N11:N12"/>
    <mergeCell ref="T11:T12"/>
    <mergeCell ref="A1:A4"/>
    <mergeCell ref="B11:C11"/>
    <mergeCell ref="D11:E11"/>
    <mergeCell ref="I11:M11"/>
    <mergeCell ref="P11:S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19FAB-1F6A-479C-8BA0-E78A4FFCF27E}">
  <dimension ref="A1:L70"/>
  <sheetViews>
    <sheetView tabSelected="1" topLeftCell="A19" workbookViewId="0">
      <selection activeCell="K44" sqref="K44"/>
    </sheetView>
  </sheetViews>
  <sheetFormatPr defaultRowHeight="15" x14ac:dyDescent="0.25"/>
  <cols>
    <col min="1" max="1" width="16.7109375" customWidth="1"/>
    <col min="2" max="2" width="9.140625" bestFit="1" customWidth="1"/>
    <col min="3" max="3" width="6.5703125" bestFit="1" customWidth="1"/>
    <col min="4" max="4" width="4" bestFit="1" customWidth="1"/>
    <col min="5" max="5" width="49.28515625" bestFit="1" customWidth="1"/>
    <col min="6" max="6" width="16.140625" bestFit="1" customWidth="1"/>
    <col min="7" max="7" width="16.42578125" bestFit="1" customWidth="1"/>
    <col min="8" max="8" width="15.140625" bestFit="1" customWidth="1"/>
    <col min="9" max="9" width="22.140625" bestFit="1" customWidth="1"/>
    <col min="10" max="12" width="10.7109375" bestFit="1" customWidth="1"/>
  </cols>
  <sheetData>
    <row r="1" spans="1:12" x14ac:dyDescent="0.25">
      <c r="A1" s="44"/>
    </row>
    <row r="2" spans="1:12" ht="18.75" x14ac:dyDescent="0.3">
      <c r="A2" s="44"/>
      <c r="B2" s="6" t="s">
        <v>16</v>
      </c>
    </row>
    <row r="3" spans="1:12" ht="17.25" x14ac:dyDescent="0.3">
      <c r="A3" s="44"/>
      <c r="B3" s="7" t="s">
        <v>66</v>
      </c>
    </row>
    <row r="4" spans="1:12" x14ac:dyDescent="0.25">
      <c r="A4" s="44"/>
      <c r="B4" s="9"/>
    </row>
    <row r="5" spans="1:12" x14ac:dyDescent="0.25">
      <c r="A5" s="5" t="s">
        <v>18</v>
      </c>
      <c r="B5" s="8" t="s">
        <v>69</v>
      </c>
    </row>
    <row r="6" spans="1:12" x14ac:dyDescent="0.25">
      <c r="A6" s="5" t="s">
        <v>19</v>
      </c>
      <c r="B6" s="8" t="s">
        <v>70</v>
      </c>
    </row>
    <row r="7" spans="1:12" x14ac:dyDescent="0.25">
      <c r="A7" s="5" t="s">
        <v>20</v>
      </c>
      <c r="B7" s="11">
        <v>54983</v>
      </c>
    </row>
    <row r="8" spans="1:12" x14ac:dyDescent="0.25">
      <c r="A8" s="5"/>
      <c r="B8" s="10"/>
    </row>
    <row r="9" spans="1:12" x14ac:dyDescent="0.25">
      <c r="A9" s="5" t="s">
        <v>67</v>
      </c>
      <c r="B9" s="9" t="s">
        <v>68</v>
      </c>
    </row>
    <row r="11" spans="1:12" s="12" customFormat="1" x14ac:dyDescent="0.25">
      <c r="B11" s="45" t="s">
        <v>22</v>
      </c>
      <c r="C11" s="46"/>
      <c r="D11" s="45" t="s">
        <v>23</v>
      </c>
      <c r="E11" s="46"/>
      <c r="F11" s="47" t="s">
        <v>24</v>
      </c>
      <c r="I11" s="45" t="s">
        <v>25</v>
      </c>
      <c r="J11" s="46"/>
      <c r="K11" s="46"/>
      <c r="L11" s="46"/>
    </row>
    <row r="12" spans="1:12" s="12" customFormat="1" x14ac:dyDescent="0.25">
      <c r="B12" s="12" t="s">
        <v>30</v>
      </c>
      <c r="C12" s="12" t="s">
        <v>31</v>
      </c>
      <c r="D12" s="12" t="s">
        <v>30</v>
      </c>
      <c r="E12" s="12" t="s">
        <v>31</v>
      </c>
      <c r="F12" s="48"/>
      <c r="G12" s="12" t="s">
        <v>32</v>
      </c>
      <c r="I12" s="12" t="s">
        <v>33</v>
      </c>
      <c r="J12" s="12" t="s">
        <v>34</v>
      </c>
      <c r="K12" s="12" t="s">
        <v>35</v>
      </c>
      <c r="L12" s="12" t="s">
        <v>36</v>
      </c>
    </row>
    <row r="13" spans="1:12" x14ac:dyDescent="0.25">
      <c r="B13" s="4" t="s">
        <v>43</v>
      </c>
      <c r="C13" s="9" t="s">
        <v>44</v>
      </c>
      <c r="D13" s="4">
        <v>0</v>
      </c>
      <c r="E13" s="9" t="s">
        <v>45</v>
      </c>
      <c r="F13" s="9" t="s">
        <v>46</v>
      </c>
      <c r="G13" s="4">
        <v>24</v>
      </c>
      <c r="H13" s="9"/>
      <c r="I13" s="2">
        <f xml:space="preserve"> 0 / 86400</f>
        <v>0</v>
      </c>
      <c r="J13" s="2">
        <f xml:space="preserve"> 0 / 86400</f>
        <v>0</v>
      </c>
      <c r="K13" s="2">
        <f xml:space="preserve"> 0 / 86400</f>
        <v>0</v>
      </c>
      <c r="L13" s="2">
        <f xml:space="preserve"> 0 / 86400</f>
        <v>0</v>
      </c>
    </row>
    <row r="14" spans="1:12" x14ac:dyDescent="0.25">
      <c r="B14" s="4" t="s">
        <v>43</v>
      </c>
      <c r="C14" s="9" t="s">
        <v>44</v>
      </c>
      <c r="D14" s="4">
        <v>1</v>
      </c>
      <c r="E14" s="26" t="s">
        <v>48</v>
      </c>
      <c r="F14" s="9" t="s">
        <v>46</v>
      </c>
      <c r="G14" s="4">
        <v>25</v>
      </c>
      <c r="H14" s="9" t="s">
        <v>84</v>
      </c>
      <c r="I14" s="2">
        <f xml:space="preserve"> 94.9485191213659 / 86400</f>
        <v>1.0989411935343277E-3</v>
      </c>
      <c r="J14" s="2">
        <f xml:space="preserve"> 303.798825886938 / 86400</f>
        <v>3.5161901144321528E-3</v>
      </c>
      <c r="K14" s="27">
        <f xml:space="preserve"> 202.725265784303 / 86400</f>
        <v>2.3463572428738771E-3</v>
      </c>
      <c r="L14" s="2">
        <f xml:space="preserve"> 49.4001677175089 / 86400</f>
        <v>5.7176120043413083E-4</v>
      </c>
    </row>
    <row r="15" spans="1:12" x14ac:dyDescent="0.25">
      <c r="B15" s="4" t="s">
        <v>43</v>
      </c>
      <c r="C15" s="9" t="s">
        <v>44</v>
      </c>
      <c r="D15" s="4">
        <v>2</v>
      </c>
      <c r="E15" s="26" t="s">
        <v>49</v>
      </c>
      <c r="F15" s="9" t="s">
        <v>46</v>
      </c>
      <c r="G15" s="4">
        <v>24</v>
      </c>
      <c r="H15" s="9"/>
      <c r="I15" s="2">
        <f xml:space="preserve"> 8.38290433044699 / 86400</f>
        <v>9.7024355676469801E-5</v>
      </c>
      <c r="J15" s="2">
        <f xml:space="preserve"> 24.727585573088 / 86400</f>
        <v>2.8619890709592592E-4</v>
      </c>
      <c r="K15" s="27">
        <f xml:space="preserve"> 15.1413010212009 / 86400</f>
        <v>1.7524653959723264E-4</v>
      </c>
      <c r="L15" s="2">
        <f xml:space="preserve"> 4.57008977319018 / 86400</f>
        <v>5.2894557560071523E-5</v>
      </c>
    </row>
    <row r="16" spans="1:12" x14ac:dyDescent="0.25">
      <c r="B16" s="4" t="s">
        <v>43</v>
      </c>
      <c r="C16" s="9" t="s">
        <v>44</v>
      </c>
      <c r="D16" s="4">
        <v>3</v>
      </c>
      <c r="E16" s="26" t="s">
        <v>50</v>
      </c>
      <c r="F16" s="9" t="s">
        <v>46</v>
      </c>
      <c r="G16" s="4">
        <v>24</v>
      </c>
      <c r="H16" s="9"/>
      <c r="I16" s="2">
        <f xml:space="preserve"> 35.167268775383 / 86400</f>
        <v>4.0702857378915511E-4</v>
      </c>
      <c r="J16" s="2">
        <f xml:space="preserve"> 61.065947707022 / 86400</f>
        <v>7.0678180216460641E-4</v>
      </c>
      <c r="K16" s="27">
        <f xml:space="preserve"> 47.7592057746662 / 86400</f>
        <v>5.5276858535493285E-4</v>
      </c>
      <c r="L16" s="2">
        <f xml:space="preserve"> 8.14514911958291 / 86400</f>
        <v>9.4272559254431835E-5</v>
      </c>
    </row>
    <row r="17" spans="2:12" x14ac:dyDescent="0.25">
      <c r="B17" s="4" t="s">
        <v>43</v>
      </c>
      <c r="C17" s="9" t="s">
        <v>44</v>
      </c>
      <c r="D17" s="4">
        <v>4</v>
      </c>
      <c r="E17" s="24" t="s">
        <v>51</v>
      </c>
      <c r="F17" s="9" t="s">
        <v>46</v>
      </c>
      <c r="G17" s="4">
        <v>24</v>
      </c>
      <c r="H17" s="9"/>
      <c r="I17" s="2">
        <f xml:space="preserve"> 92.991071428089 / 86400</f>
        <v>1.0762855489362152E-3</v>
      </c>
      <c r="J17" s="2">
        <f xml:space="preserve"> 368.059650053768 / 86400</f>
        <v>4.2599496534000926E-3</v>
      </c>
      <c r="K17" s="25">
        <f xml:space="preserve"> 195.766161786593 / 86400</f>
        <v>2.2658120577151966E-3</v>
      </c>
      <c r="L17" s="2">
        <f xml:space="preserve"> 83.1437766456471 / 86400</f>
        <v>9.6231222969498948E-4</v>
      </c>
    </row>
    <row r="18" spans="2:12" x14ac:dyDescent="0.25">
      <c r="B18" s="4" t="s">
        <v>43</v>
      </c>
      <c r="C18" s="9" t="s">
        <v>44</v>
      </c>
      <c r="D18" s="4">
        <v>5</v>
      </c>
      <c r="E18" s="24" t="s">
        <v>52</v>
      </c>
      <c r="F18" s="9" t="s">
        <v>46</v>
      </c>
      <c r="G18" s="4">
        <v>336</v>
      </c>
      <c r="H18" s="9"/>
      <c r="I18" s="2">
        <f xml:space="preserve"> 3.02343648720125 / 86400</f>
        <v>3.4993477861125577E-5</v>
      </c>
      <c r="J18" s="2">
        <f xml:space="preserve"> 123.603473097799 / 86400</f>
        <v>1.4305957534467477E-3</v>
      </c>
      <c r="K18" s="25">
        <f xml:space="preserve"> 70.7519666610263 / 86400</f>
        <v>8.188885030211378E-4</v>
      </c>
      <c r="L18" s="2">
        <f xml:space="preserve"> 19.4739485408941 / 86400</f>
        <v>2.2539292292701504E-4</v>
      </c>
    </row>
    <row r="19" spans="2:12" x14ac:dyDescent="0.25">
      <c r="B19" s="4" t="s">
        <v>43</v>
      </c>
      <c r="C19" s="9" t="s">
        <v>44</v>
      </c>
      <c r="D19" s="4">
        <v>6</v>
      </c>
      <c r="E19" s="24" t="s">
        <v>53</v>
      </c>
      <c r="F19" s="9" t="s">
        <v>46</v>
      </c>
      <c r="G19" s="4">
        <v>336</v>
      </c>
      <c r="H19" s="9"/>
      <c r="I19" s="2">
        <f xml:space="preserve"> 20.6314084733003 / 86400</f>
        <v>2.3878944992245719E-4</v>
      </c>
      <c r="J19" s="2">
        <f xml:space="preserve"> 71.2759104139004 / 86400</f>
        <v>8.2495266682755097E-4</v>
      </c>
      <c r="K19" s="25">
        <f xml:space="preserve"> 49.2772199138651 / 86400</f>
        <v>5.7033819344751277E-4</v>
      </c>
      <c r="L19" s="2">
        <f xml:space="preserve"> 8.87071358154583 / 86400</f>
        <v>1.0267029608270637E-4</v>
      </c>
    </row>
    <row r="20" spans="2:12" x14ac:dyDescent="0.25">
      <c r="B20" s="4" t="s">
        <v>43</v>
      </c>
      <c r="C20" s="9" t="s">
        <v>44</v>
      </c>
      <c r="D20" s="4">
        <v>7</v>
      </c>
      <c r="E20" s="24" t="s">
        <v>54</v>
      </c>
      <c r="F20" s="9" t="s">
        <v>46</v>
      </c>
      <c r="G20" s="4">
        <v>336</v>
      </c>
      <c r="H20" s="9"/>
      <c r="I20" s="2">
        <f xml:space="preserve"> 39.4654417488018 / 86400</f>
        <v>4.5677594616668751E-4</v>
      </c>
      <c r="J20" s="2">
        <f xml:space="preserve"> 99.5739679375984 / 86400</f>
        <v>1.1524764807592407E-3</v>
      </c>
      <c r="K20" s="25">
        <f xml:space="preserve"> 70.4352062253917 / 86400</f>
        <v>8.1522229427536687E-4</v>
      </c>
      <c r="L20" s="2">
        <f xml:space="preserve"> 10.8270879580625 / 86400</f>
        <v>1.2531351803313077E-4</v>
      </c>
    </row>
    <row r="21" spans="2:12" x14ac:dyDescent="0.25">
      <c r="B21" s="4" t="s">
        <v>43</v>
      </c>
      <c r="C21" s="9" t="s">
        <v>44</v>
      </c>
      <c r="D21" s="4">
        <v>8</v>
      </c>
      <c r="E21" s="24" t="s">
        <v>55</v>
      </c>
      <c r="F21" s="9" t="s">
        <v>46</v>
      </c>
      <c r="G21" s="4">
        <v>336</v>
      </c>
      <c r="H21" s="9"/>
      <c r="I21" s="2">
        <f xml:space="preserve"> 701.163953963805 / 86400</f>
        <v>8.1153235412477435E-3</v>
      </c>
      <c r="J21" s="2">
        <f xml:space="preserve"> 9075.3578234576 / 86400</f>
        <v>0.10503886369742592</v>
      </c>
      <c r="K21" s="25">
        <f xml:space="preserve"> 4263.88134162526 / 86400</f>
        <v>4.9350478491033099E-2</v>
      </c>
      <c r="L21" s="2">
        <f xml:space="preserve"> 1727.06697490626 / 86400</f>
        <v>1.9989201098452081E-2</v>
      </c>
    </row>
    <row r="22" spans="2:12" x14ac:dyDescent="0.25">
      <c r="B22" s="4" t="s">
        <v>43</v>
      </c>
      <c r="C22" s="9" t="s">
        <v>44</v>
      </c>
      <c r="D22" s="4">
        <v>9</v>
      </c>
      <c r="E22" s="24" t="s">
        <v>56</v>
      </c>
      <c r="F22" s="9" t="s">
        <v>46</v>
      </c>
      <c r="G22" s="4">
        <v>55</v>
      </c>
      <c r="H22" s="9"/>
      <c r="I22" s="2">
        <f xml:space="preserve"> 753.829648045599 / 86400</f>
        <v>8.7248801857129511E-3</v>
      </c>
      <c r="J22" s="2">
        <f xml:space="preserve"> 2455.6885405663 / 86400</f>
        <v>2.8422321071369216E-2</v>
      </c>
      <c r="K22" s="25">
        <f xml:space="preserve"> 1509.7750260132 / 86400</f>
        <v>1.7474247986263888E-2</v>
      </c>
      <c r="L22" s="2">
        <f xml:space="preserve"> 483.166876993715 / 86400</f>
        <v>5.5922092244642943E-3</v>
      </c>
    </row>
    <row r="23" spans="2:12" x14ac:dyDescent="0.25">
      <c r="B23" s="4" t="s">
        <v>43</v>
      </c>
      <c r="C23" s="9" t="s">
        <v>44</v>
      </c>
      <c r="D23" s="4">
        <v>10</v>
      </c>
      <c r="E23" s="24" t="s">
        <v>57</v>
      </c>
      <c r="F23" s="9" t="s">
        <v>46</v>
      </c>
      <c r="G23" s="4">
        <v>336</v>
      </c>
      <c r="H23" s="9"/>
      <c r="I23" s="2">
        <f xml:space="preserve"> 643.241791577413 / 86400</f>
        <v>7.4449281432570945E-3</v>
      </c>
      <c r="J23" s="2">
        <f xml:space="preserve"> 1689.2741339904 / 86400</f>
        <v>1.9551783958222223E-2</v>
      </c>
      <c r="K23" s="25">
        <f xml:space="preserve"> 996.025873064384 / 86400</f>
        <v>1.1528077234541481E-2</v>
      </c>
      <c r="L23" s="2">
        <f xml:space="preserve"> 213.146184211614 / 86400</f>
        <v>2.4669697246714585E-3</v>
      </c>
    </row>
    <row r="24" spans="2:12" x14ac:dyDescent="0.25">
      <c r="B24" s="4" t="s">
        <v>43</v>
      </c>
      <c r="C24" s="9" t="s">
        <v>44</v>
      </c>
      <c r="D24" s="4">
        <v>11</v>
      </c>
      <c r="E24" s="24" t="s">
        <v>58</v>
      </c>
      <c r="F24" s="9" t="s">
        <v>46</v>
      </c>
      <c r="G24" s="4">
        <v>336</v>
      </c>
      <c r="H24" s="9"/>
      <c r="I24" s="2">
        <f xml:space="preserve"> 8.14938391473061 / 86400</f>
        <v>9.4321573087159834E-5</v>
      </c>
      <c r="J24" s="2">
        <f xml:space="preserve"> 287.492946256796 / 86400</f>
        <v>3.3274646557499539E-3</v>
      </c>
      <c r="K24" s="25">
        <f xml:space="preserve"> 124.984379152952 / 86400</f>
        <v>1.446578462418426E-3</v>
      </c>
      <c r="L24" s="2">
        <f xml:space="preserve"> 79.267438688335 / 86400</f>
        <v>9.1744720704091441E-4</v>
      </c>
    </row>
    <row r="25" spans="2:12" x14ac:dyDescent="0.25">
      <c r="B25" s="4" t="s">
        <v>43</v>
      </c>
      <c r="C25" s="9" t="s">
        <v>44</v>
      </c>
      <c r="D25" s="4">
        <v>12</v>
      </c>
      <c r="E25" s="24" t="s">
        <v>59</v>
      </c>
      <c r="F25" s="9" t="s">
        <v>46</v>
      </c>
      <c r="G25" s="4">
        <v>336</v>
      </c>
      <c r="H25" s="9"/>
      <c r="I25" s="2">
        <f xml:space="preserve"> 119.81764315864 / 86400</f>
        <v>1.3867782772990741E-3</v>
      </c>
      <c r="J25" s="2">
        <f xml:space="preserve"> 1259.3051731584 / 86400</f>
        <v>1.4575291356000001E-2</v>
      </c>
      <c r="K25" s="25">
        <f xml:space="preserve"> 535.676079447964 / 86400</f>
        <v>6.1999546232403236E-3</v>
      </c>
      <c r="L25" s="2">
        <f xml:space="preserve"> 218.732978839852 / 86400</f>
        <v>2.5316316995353241E-3</v>
      </c>
    </row>
    <row r="26" spans="2:12" x14ac:dyDescent="0.25">
      <c r="B26" s="4" t="s">
        <v>43</v>
      </c>
      <c r="C26" s="9" t="s">
        <v>44</v>
      </c>
      <c r="D26" s="4">
        <v>13</v>
      </c>
      <c r="E26" s="22" t="s">
        <v>60</v>
      </c>
      <c r="F26" s="9" t="s">
        <v>46</v>
      </c>
      <c r="G26" s="4">
        <v>24</v>
      </c>
      <c r="H26" s="9"/>
      <c r="I26" s="2">
        <f xml:space="preserve"> 400.682692789298 / 86400</f>
        <v>4.6375311665428015E-3</v>
      </c>
      <c r="J26" s="2">
        <f xml:space="preserve"> 729.962593745804 / 86400</f>
        <v>8.4486411313171757E-3</v>
      </c>
      <c r="K26" s="23">
        <f xml:space="preserve"> 572.545831640826 / 86400</f>
        <v>6.6266878662132643E-3</v>
      </c>
      <c r="L26" s="2">
        <f xml:space="preserve"> 100.8332361443 / 86400</f>
        <v>1.1670513442627315E-3</v>
      </c>
    </row>
    <row r="27" spans="2:12" x14ac:dyDescent="0.25">
      <c r="B27" s="4" t="s">
        <v>43</v>
      </c>
      <c r="C27" s="9" t="s">
        <v>44</v>
      </c>
      <c r="D27" s="4">
        <v>14</v>
      </c>
      <c r="E27" s="22" t="s">
        <v>61</v>
      </c>
      <c r="F27" s="9" t="s">
        <v>46</v>
      </c>
      <c r="G27" s="4">
        <v>24</v>
      </c>
      <c r="H27" s="9"/>
      <c r="I27" s="2">
        <f xml:space="preserve"> 251.222189933105 / 86400</f>
        <v>2.9076642353368636E-3</v>
      </c>
      <c r="J27" s="2">
        <f xml:space="preserve"> 562.61334394 / 86400</f>
        <v>6.5117285178240749E-3</v>
      </c>
      <c r="K27" s="23">
        <f xml:space="preserve"> 402.632848960583 / 86400</f>
        <v>4.6601024185252658E-3</v>
      </c>
      <c r="L27" s="2">
        <f xml:space="preserve"> 79.4882058036809 / 86400</f>
        <v>9.2000238198704741E-4</v>
      </c>
    </row>
    <row r="28" spans="2:12" x14ac:dyDescent="0.25">
      <c r="B28" s="4" t="s">
        <v>43</v>
      </c>
      <c r="C28" s="9" t="s">
        <v>44</v>
      </c>
      <c r="D28" s="4">
        <v>15</v>
      </c>
      <c r="E28" s="22" t="s">
        <v>62</v>
      </c>
      <c r="F28" s="9" t="s">
        <v>46</v>
      </c>
      <c r="G28" s="4">
        <v>24</v>
      </c>
      <c r="H28" s="9"/>
      <c r="I28" s="2">
        <f xml:space="preserve"> 3334.5286684094 / 86400</f>
        <v>3.859408181029398E-2</v>
      </c>
      <c r="J28" s="2">
        <f xml:space="preserve"> 4948.8272672056 / 86400</f>
        <v>5.7278093370435185E-2</v>
      </c>
      <c r="K28" s="23">
        <f xml:space="preserve"> 4099.25622929844 / 86400</f>
        <v>4.7445095246509729E-2</v>
      </c>
      <c r="L28" s="2">
        <f xml:space="preserve"> 444.160229812978 / 86400</f>
        <v>5.1407434006131717E-3</v>
      </c>
    </row>
    <row r="29" spans="2:12" x14ac:dyDescent="0.25">
      <c r="B29" s="4" t="s">
        <v>43</v>
      </c>
      <c r="C29" s="9" t="s">
        <v>44</v>
      </c>
      <c r="D29" s="4">
        <v>16</v>
      </c>
      <c r="E29" s="22" t="s">
        <v>63</v>
      </c>
      <c r="F29" s="9" t="s">
        <v>46</v>
      </c>
      <c r="G29" s="4">
        <v>24</v>
      </c>
      <c r="H29" s="9"/>
      <c r="I29" s="2">
        <f xml:space="preserve"> 346.078998159297 / 86400</f>
        <v>4.0055439601770484E-3</v>
      </c>
      <c r="J29" s="2">
        <f xml:space="preserve"> 601.887595602195 / 86400</f>
        <v>6.9662916157661459E-3</v>
      </c>
      <c r="K29" s="23">
        <f xml:space="preserve"> 468.821807986533 / 86400</f>
        <v>5.426178333177465E-3</v>
      </c>
      <c r="L29" s="2">
        <f xml:space="preserve"> 53.6012222720407 / 86400</f>
        <v>6.2038451703750816E-4</v>
      </c>
    </row>
    <row r="30" spans="2:12" x14ac:dyDescent="0.25">
      <c r="B30" s="4" t="s">
        <v>43</v>
      </c>
      <c r="C30" s="9" t="s">
        <v>44</v>
      </c>
      <c r="D30" s="4">
        <v>17</v>
      </c>
      <c r="E30" s="22" t="s">
        <v>64</v>
      </c>
      <c r="F30" s="9" t="s">
        <v>46</v>
      </c>
      <c r="G30" s="4">
        <v>24</v>
      </c>
      <c r="H30" s="9"/>
      <c r="I30" s="2">
        <f xml:space="preserve"> 131.470994777701 / 86400</f>
        <v>1.5216550321493173E-3</v>
      </c>
      <c r="J30" s="2">
        <f xml:space="preserve"> 268.346866466207 / 86400</f>
        <v>3.105866510025544E-3</v>
      </c>
      <c r="K30" s="23">
        <f xml:space="preserve"> 200.359966977092 / 86400</f>
        <v>2.3189810992718983E-3</v>
      </c>
      <c r="L30" s="2">
        <f xml:space="preserve"> 41.9671073879129 / 86400</f>
        <v>4.8573040958232517E-4</v>
      </c>
    </row>
    <row r="31" spans="2:12" x14ac:dyDescent="0.25">
      <c r="B31" s="4" t="s">
        <v>43</v>
      </c>
      <c r="C31" s="9" t="s">
        <v>44</v>
      </c>
      <c r="D31" s="4">
        <v>999</v>
      </c>
      <c r="E31" s="9" t="s">
        <v>65</v>
      </c>
      <c r="F31" s="9" t="s">
        <v>46</v>
      </c>
      <c r="G31" s="4">
        <v>24</v>
      </c>
      <c r="H31" s="9"/>
      <c r="I31" s="2">
        <f xml:space="preserve"> 0 / 86400</f>
        <v>0</v>
      </c>
      <c r="J31" s="2">
        <f xml:space="preserve"> 0 / 86400</f>
        <v>0</v>
      </c>
      <c r="K31" s="2">
        <f xml:space="preserve"> 0 / 86400</f>
        <v>0</v>
      </c>
      <c r="L31" s="2">
        <f xml:space="preserve"> 0 / 86400</f>
        <v>0</v>
      </c>
    </row>
    <row r="32" spans="2:12" x14ac:dyDescent="0.25">
      <c r="B32" s="4"/>
      <c r="C32" s="9"/>
      <c r="D32" s="4"/>
      <c r="E32" s="9"/>
      <c r="F32" s="9"/>
      <c r="G32" s="4"/>
      <c r="H32" s="9"/>
      <c r="I32" s="2"/>
      <c r="J32" s="2"/>
      <c r="K32" s="2"/>
      <c r="L32" s="2"/>
    </row>
    <row r="35" spans="4:12" x14ac:dyDescent="0.25">
      <c r="E35" s="12" t="s">
        <v>78</v>
      </c>
      <c r="F35" s="17" t="s">
        <v>73</v>
      </c>
      <c r="G35" s="15" t="s">
        <v>80</v>
      </c>
      <c r="H35" s="15" t="s">
        <v>81</v>
      </c>
      <c r="I35" s="32" t="s">
        <v>82</v>
      </c>
      <c r="J35" s="15"/>
      <c r="K35" s="15"/>
      <c r="L35" s="15"/>
    </row>
    <row r="36" spans="4:12" x14ac:dyDescent="0.25">
      <c r="D36" s="30"/>
      <c r="E36" t="s">
        <v>48</v>
      </c>
      <c r="F36" s="19">
        <f>(K14*86400)/60</f>
        <v>3.3787544297383834</v>
      </c>
      <c r="G36" s="4">
        <v>25</v>
      </c>
      <c r="H36" s="37">
        <f>G36/24</f>
        <v>1.0416666666666667</v>
      </c>
      <c r="I36" s="38">
        <f>F36*H36</f>
        <v>3.5195358643108161</v>
      </c>
      <c r="J36" s="15"/>
      <c r="K36" s="15"/>
      <c r="L36" s="15"/>
    </row>
    <row r="37" spans="4:12" x14ac:dyDescent="0.25">
      <c r="D37" s="30"/>
      <c r="E37" t="s">
        <v>49</v>
      </c>
      <c r="F37" s="19">
        <f>(K15*86400)/60</f>
        <v>0.252355017020015</v>
      </c>
      <c r="G37" s="4">
        <v>24</v>
      </c>
      <c r="H37" s="37">
        <f>G37/24</f>
        <v>1</v>
      </c>
      <c r="I37" s="38">
        <f>F37*H37</f>
        <v>0.252355017020015</v>
      </c>
      <c r="J37" s="15"/>
      <c r="K37" s="15"/>
      <c r="L37" s="15"/>
    </row>
    <row r="38" spans="4:12" x14ac:dyDescent="0.25">
      <c r="D38" s="30"/>
      <c r="E38" s="18" t="s">
        <v>50</v>
      </c>
      <c r="F38" s="20">
        <f>(K16*86400)/60</f>
        <v>0.79598676291110337</v>
      </c>
      <c r="G38" s="4">
        <v>24</v>
      </c>
      <c r="H38" s="37">
        <f>G38/24</f>
        <v>1</v>
      </c>
      <c r="I38" s="42">
        <f>F38*H38</f>
        <v>0.79598676291110337</v>
      </c>
      <c r="J38" s="32" t="s">
        <v>86</v>
      </c>
      <c r="K38" s="15"/>
      <c r="L38" s="15"/>
    </row>
    <row r="39" spans="4:12" x14ac:dyDescent="0.25">
      <c r="E39" s="16" t="s">
        <v>72</v>
      </c>
      <c r="F39" s="21">
        <f>SUM(F36:F38)</f>
        <v>4.4270962096695019</v>
      </c>
      <c r="G39" s="37"/>
      <c r="H39" s="37"/>
      <c r="I39" s="40">
        <f>SUM(I36:I38)</f>
        <v>4.5678776442419347</v>
      </c>
      <c r="J39" s="15"/>
      <c r="K39" s="15"/>
      <c r="L39" s="15"/>
    </row>
    <row r="40" spans="4:12" x14ac:dyDescent="0.25">
      <c r="F40" s="15"/>
      <c r="G40" s="37"/>
      <c r="H40" s="37"/>
      <c r="I40" s="38"/>
      <c r="J40" s="15"/>
      <c r="K40" s="15"/>
      <c r="L40" s="15"/>
    </row>
    <row r="41" spans="4:12" x14ac:dyDescent="0.25">
      <c r="F41" s="15"/>
      <c r="G41" s="37"/>
      <c r="H41" s="37"/>
      <c r="I41" s="38"/>
      <c r="J41" s="15"/>
      <c r="K41" s="15"/>
      <c r="L41" s="15"/>
    </row>
    <row r="42" spans="4:12" x14ac:dyDescent="0.25">
      <c r="E42" s="12" t="s">
        <v>79</v>
      </c>
      <c r="F42" s="17" t="s">
        <v>73</v>
      </c>
      <c r="G42" s="37"/>
      <c r="H42" s="37"/>
      <c r="I42" s="38"/>
      <c r="J42" s="15"/>
      <c r="K42" s="15"/>
      <c r="L42" s="15"/>
    </row>
    <row r="43" spans="4:12" x14ac:dyDescent="0.25">
      <c r="D43" s="29"/>
      <c r="E43" t="s">
        <v>51</v>
      </c>
      <c r="F43" s="19">
        <f t="shared" ref="F43:F49" si="0">(K17*86400)/60</f>
        <v>3.2627693631098831</v>
      </c>
      <c r="G43" s="4">
        <v>24</v>
      </c>
      <c r="H43" s="37">
        <f t="shared" ref="H43:H51" si="1">G43/24</f>
        <v>1</v>
      </c>
      <c r="I43" s="38">
        <f t="shared" ref="I43:I60" si="2">F43*H43</f>
        <v>3.2627693631098831</v>
      </c>
      <c r="J43" s="15"/>
      <c r="K43" s="15"/>
      <c r="L43" s="15"/>
    </row>
    <row r="44" spans="4:12" x14ac:dyDescent="0.25">
      <c r="D44" s="29"/>
      <c r="E44" t="s">
        <v>52</v>
      </c>
      <c r="F44" s="19">
        <f t="shared" si="0"/>
        <v>1.1791994443504383</v>
      </c>
      <c r="G44" s="4">
        <v>336</v>
      </c>
      <c r="H44" s="37">
        <f t="shared" si="1"/>
        <v>14</v>
      </c>
      <c r="I44" s="38">
        <f t="shared" si="2"/>
        <v>16.508792220906138</v>
      </c>
      <c r="J44" s="15"/>
      <c r="K44" s="15"/>
      <c r="L44" s="15"/>
    </row>
    <row r="45" spans="4:12" x14ac:dyDescent="0.25">
      <c r="D45" s="29"/>
      <c r="E45" t="s">
        <v>53</v>
      </c>
      <c r="F45" s="19">
        <f t="shared" si="0"/>
        <v>0.82128699856441834</v>
      </c>
      <c r="G45" s="4">
        <v>336</v>
      </c>
      <c r="H45" s="37">
        <f t="shared" si="1"/>
        <v>14</v>
      </c>
      <c r="I45" s="38">
        <f t="shared" si="2"/>
        <v>11.498017979901856</v>
      </c>
      <c r="J45" s="15"/>
      <c r="K45" s="15"/>
      <c r="L45" s="15"/>
    </row>
    <row r="46" spans="4:12" x14ac:dyDescent="0.25">
      <c r="D46" s="29"/>
      <c r="E46" t="s">
        <v>54</v>
      </c>
      <c r="F46" s="19">
        <f t="shared" si="0"/>
        <v>1.1739201037565283</v>
      </c>
      <c r="G46" s="4">
        <v>336</v>
      </c>
      <c r="H46" s="37">
        <f t="shared" si="1"/>
        <v>14</v>
      </c>
      <c r="I46" s="38">
        <f t="shared" si="2"/>
        <v>16.434881452591398</v>
      </c>
      <c r="J46" s="15"/>
      <c r="K46" s="15"/>
      <c r="L46" s="15"/>
    </row>
    <row r="47" spans="4:12" x14ac:dyDescent="0.25">
      <c r="D47" s="29"/>
      <c r="E47" t="s">
        <v>55</v>
      </c>
      <c r="F47" s="19">
        <f t="shared" si="0"/>
        <v>71.064689027087667</v>
      </c>
      <c r="G47" s="4">
        <v>336</v>
      </c>
      <c r="H47" s="37">
        <f t="shared" si="1"/>
        <v>14</v>
      </c>
      <c r="I47" s="38">
        <f t="shared" si="2"/>
        <v>994.90564637922739</v>
      </c>
      <c r="J47" s="15"/>
      <c r="K47" s="15"/>
      <c r="L47" s="15"/>
    </row>
    <row r="48" spans="4:12" x14ac:dyDescent="0.25">
      <c r="D48" s="29"/>
      <c r="E48" t="s">
        <v>56</v>
      </c>
      <c r="F48" s="19">
        <f t="shared" si="0"/>
        <v>25.16291710022</v>
      </c>
      <c r="G48" s="4">
        <v>55</v>
      </c>
      <c r="H48" s="37">
        <f t="shared" si="1"/>
        <v>2.2916666666666665</v>
      </c>
      <c r="I48" s="38">
        <f>F48*H48</f>
        <v>57.665018354670828</v>
      </c>
      <c r="J48" s="15"/>
      <c r="K48" s="15"/>
      <c r="L48" s="15"/>
    </row>
    <row r="49" spans="4:12" x14ac:dyDescent="0.25">
      <c r="D49" s="29"/>
      <c r="E49" t="s">
        <v>57</v>
      </c>
      <c r="F49" s="19">
        <f t="shared" si="0"/>
        <v>16.600431217739732</v>
      </c>
      <c r="G49" s="4">
        <v>336</v>
      </c>
      <c r="H49" s="37">
        <f t="shared" si="1"/>
        <v>14</v>
      </c>
      <c r="I49" s="38">
        <f t="shared" si="2"/>
        <v>232.40603704835627</v>
      </c>
      <c r="J49" s="15"/>
      <c r="K49" s="15"/>
      <c r="L49" s="15"/>
    </row>
    <row r="50" spans="4:12" x14ac:dyDescent="0.25">
      <c r="D50" s="29"/>
      <c r="E50" t="s">
        <v>58</v>
      </c>
      <c r="F50" s="19">
        <f>(K24*86400)/60</f>
        <v>2.0830729858825334</v>
      </c>
      <c r="G50" s="4">
        <v>336</v>
      </c>
      <c r="H50" s="37">
        <f t="shared" si="1"/>
        <v>14</v>
      </c>
      <c r="I50" s="38">
        <f>F50*H50</f>
        <v>29.163021802355466</v>
      </c>
      <c r="J50" s="15"/>
      <c r="K50" s="15"/>
      <c r="L50" s="15"/>
    </row>
    <row r="51" spans="4:12" x14ac:dyDescent="0.25">
      <c r="D51" s="29"/>
      <c r="E51" s="18" t="s">
        <v>59</v>
      </c>
      <c r="F51" s="20">
        <f>(K25*86400)/60</f>
        <v>8.9279346574660661</v>
      </c>
      <c r="G51" s="4">
        <v>336</v>
      </c>
      <c r="H51" s="37">
        <f t="shared" si="1"/>
        <v>14</v>
      </c>
      <c r="I51" s="39">
        <f t="shared" si="2"/>
        <v>124.99108520452492</v>
      </c>
      <c r="J51" s="15"/>
      <c r="K51" s="15"/>
      <c r="L51" s="15"/>
    </row>
    <row r="52" spans="4:12" x14ac:dyDescent="0.25">
      <c r="E52" s="16" t="s">
        <v>74</v>
      </c>
      <c r="F52" s="21">
        <f>SUM(F43:F51)</f>
        <v>130.27622089817726</v>
      </c>
      <c r="G52" s="37"/>
      <c r="H52" s="37"/>
      <c r="I52" s="40">
        <f>SUM(I43:I51)</f>
        <v>1486.835269805644</v>
      </c>
      <c r="J52" s="15"/>
      <c r="K52" s="15"/>
      <c r="L52" s="15"/>
    </row>
    <row r="53" spans="4:12" x14ac:dyDescent="0.25">
      <c r="F53" s="15"/>
      <c r="G53" s="37"/>
      <c r="H53" s="37"/>
      <c r="I53" s="38"/>
      <c r="J53" s="15"/>
      <c r="K53" s="15"/>
      <c r="L53" s="15"/>
    </row>
    <row r="54" spans="4:12" x14ac:dyDescent="0.25">
      <c r="F54" s="15"/>
      <c r="G54" s="37"/>
      <c r="H54" s="37"/>
      <c r="I54" s="38"/>
      <c r="J54" s="15"/>
      <c r="K54" s="15"/>
      <c r="L54" s="15"/>
    </row>
    <row r="55" spans="4:12" x14ac:dyDescent="0.25">
      <c r="E55" s="12" t="s">
        <v>75</v>
      </c>
      <c r="F55" s="17" t="s">
        <v>73</v>
      </c>
      <c r="G55" s="37"/>
      <c r="H55" s="37"/>
      <c r="I55" s="38"/>
      <c r="J55" s="15"/>
      <c r="K55" s="15"/>
      <c r="L55" s="15"/>
    </row>
    <row r="56" spans="4:12" x14ac:dyDescent="0.25">
      <c r="D56" s="28"/>
      <c r="E56" t="s">
        <v>60</v>
      </c>
      <c r="F56" s="19">
        <f>(K26*86400)/60</f>
        <v>9.5424305273471006</v>
      </c>
      <c r="G56" s="4">
        <v>24</v>
      </c>
      <c r="H56" s="37">
        <f>G56/24</f>
        <v>1</v>
      </c>
      <c r="I56" s="38">
        <f t="shared" si="2"/>
        <v>9.5424305273471006</v>
      </c>
      <c r="J56" s="15"/>
      <c r="K56" s="15"/>
      <c r="L56" s="15"/>
    </row>
    <row r="57" spans="4:12" x14ac:dyDescent="0.25">
      <c r="D57" s="28"/>
      <c r="E57" t="s">
        <v>61</v>
      </c>
      <c r="F57" s="19">
        <f>(K27*86400)/60</f>
        <v>6.7105474826763833</v>
      </c>
      <c r="G57" s="4">
        <v>24</v>
      </c>
      <c r="H57" s="37">
        <f>G57/24</f>
        <v>1</v>
      </c>
      <c r="I57" s="38">
        <f t="shared" si="2"/>
        <v>6.7105474826763833</v>
      </c>
      <c r="J57" s="15"/>
      <c r="K57" s="15"/>
      <c r="L57" s="15"/>
    </row>
    <row r="58" spans="4:12" x14ac:dyDescent="0.25">
      <c r="D58" s="28"/>
      <c r="E58" t="s">
        <v>62</v>
      </c>
      <c r="F58" s="19">
        <f>(K28*86400)/60</f>
        <v>68.320937154974004</v>
      </c>
      <c r="G58" s="4">
        <v>24</v>
      </c>
      <c r="H58" s="37">
        <f>G58/24</f>
        <v>1</v>
      </c>
      <c r="I58" s="38">
        <f t="shared" si="2"/>
        <v>68.320937154974004</v>
      </c>
      <c r="J58" s="15"/>
      <c r="K58" s="15"/>
      <c r="L58" s="15"/>
    </row>
    <row r="59" spans="4:12" x14ac:dyDescent="0.25">
      <c r="D59" s="28"/>
      <c r="E59" t="s">
        <v>63</v>
      </c>
      <c r="F59" s="19">
        <f>(K29*86400)/60</f>
        <v>7.81369679977555</v>
      </c>
      <c r="G59" s="4">
        <v>24</v>
      </c>
      <c r="H59" s="37">
        <f>G59/24</f>
        <v>1</v>
      </c>
      <c r="I59" s="38">
        <f t="shared" si="2"/>
        <v>7.81369679977555</v>
      </c>
      <c r="J59" s="15"/>
      <c r="K59" s="15"/>
      <c r="L59" s="15"/>
    </row>
    <row r="60" spans="4:12" x14ac:dyDescent="0.25">
      <c r="D60" s="28"/>
      <c r="E60" s="18" t="s">
        <v>64</v>
      </c>
      <c r="F60" s="20">
        <f>(K30*86400)/60</f>
        <v>3.339332782951534</v>
      </c>
      <c r="G60" s="4">
        <v>24</v>
      </c>
      <c r="H60" s="37">
        <f>G60/24</f>
        <v>1</v>
      </c>
      <c r="I60" s="39">
        <f t="shared" si="2"/>
        <v>3.339332782951534</v>
      </c>
      <c r="J60" s="15"/>
      <c r="K60" s="15"/>
      <c r="L60" s="15"/>
    </row>
    <row r="61" spans="4:12" x14ac:dyDescent="0.25">
      <c r="E61" s="16" t="s">
        <v>74</v>
      </c>
      <c r="F61" s="21">
        <f>SUM(F56:F60)</f>
        <v>95.726944747724573</v>
      </c>
      <c r="G61" s="15"/>
      <c r="H61" s="15"/>
      <c r="I61" s="40">
        <f>SUM(I56:I60)</f>
        <v>95.726944747724573</v>
      </c>
      <c r="J61" s="15"/>
      <c r="K61" s="15"/>
      <c r="L61" s="15"/>
    </row>
    <row r="62" spans="4:12" x14ac:dyDescent="0.25">
      <c r="F62" s="15"/>
      <c r="G62" s="15"/>
      <c r="H62" s="15"/>
      <c r="I62" s="38"/>
      <c r="J62" s="15"/>
      <c r="K62" s="15"/>
      <c r="L62" s="15"/>
    </row>
    <row r="63" spans="4:12" x14ac:dyDescent="0.25">
      <c r="F63" s="15"/>
      <c r="G63" s="15"/>
      <c r="H63" s="15"/>
      <c r="I63" s="38"/>
      <c r="J63" s="15"/>
      <c r="K63" s="15"/>
      <c r="L63" s="15"/>
    </row>
    <row r="64" spans="4:12" x14ac:dyDescent="0.25">
      <c r="D64" s="31"/>
      <c r="E64" s="16" t="s">
        <v>76</v>
      </c>
      <c r="F64" s="21">
        <f>I52+SUM(I56:I59)</f>
        <v>1579.222881770417</v>
      </c>
      <c r="G64" s="15"/>
      <c r="H64" s="35" t="s">
        <v>83</v>
      </c>
      <c r="I64" s="41">
        <f>I39+I52+I61</f>
        <v>1587.1300921976103</v>
      </c>
      <c r="J64" s="15"/>
      <c r="K64" s="15"/>
      <c r="L64" s="15"/>
    </row>
    <row r="65" spans="4:12" x14ac:dyDescent="0.25">
      <c r="F65" s="15"/>
      <c r="G65" s="15"/>
      <c r="H65" s="15"/>
      <c r="I65" s="15"/>
      <c r="J65" s="15"/>
      <c r="K65" s="15"/>
      <c r="L65" s="15"/>
    </row>
    <row r="66" spans="4:12" x14ac:dyDescent="0.25">
      <c r="D66" s="43"/>
      <c r="E66" s="16" t="s">
        <v>85</v>
      </c>
      <c r="F66" s="40">
        <f>I52+I61</f>
        <v>1582.5622145533684</v>
      </c>
    </row>
    <row r="67" spans="4:12" x14ac:dyDescent="0.25">
      <c r="F67" s="15"/>
    </row>
    <row r="68" spans="4:12" x14ac:dyDescent="0.25">
      <c r="F68" s="15"/>
    </row>
    <row r="69" spans="4:12" x14ac:dyDescent="0.25">
      <c r="F69" s="15"/>
    </row>
    <row r="70" spans="4:12" x14ac:dyDescent="0.25">
      <c r="F70" s="15"/>
    </row>
  </sheetData>
  <mergeCells count="5">
    <mergeCell ref="A1:A4"/>
    <mergeCell ref="B11:C11"/>
    <mergeCell ref="D11:E11"/>
    <mergeCell ref="F11:F12"/>
    <mergeCell ref="I11:L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Performance</vt:lpstr>
      <vt:lpstr>Task Performance</vt:lpstr>
      <vt:lpstr>Task Performance (Cleaned)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 Fridley</dc:creator>
  <cp:lastModifiedBy>Nila Fridley</cp:lastModifiedBy>
  <dcterms:created xsi:type="dcterms:W3CDTF">2025-05-10T03:13:11Z</dcterms:created>
  <dcterms:modified xsi:type="dcterms:W3CDTF">2025-06-03T04:45:33Z</dcterms:modified>
</cp:coreProperties>
</file>